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135" windowWidth="15480" windowHeight="5520" firstSheet="6" activeTab="6"/>
  </bookViews>
  <sheets>
    <sheet name="свод по подпрограммам" sheetId="2" state="hidden" r:id="rId1"/>
    <sheet name="оценка эффективности" sheetId="8" state="hidden" r:id="rId2"/>
    <sheet name="Выполнение работ" sheetId="3" state="hidden" r:id="rId3"/>
    <sheet name="на 01.01.2018" sheetId="34" r:id="rId4"/>
    <sheet name="на 01.02.2018" sheetId="35" r:id="rId5"/>
    <sheet name="на 01.04.2018" sheetId="37" r:id="rId6"/>
    <sheet name="на 01.04.2021" sheetId="45" r:id="rId7"/>
  </sheets>
  <definedNames>
    <definedName name="_xlnm._FilterDatabase" localSheetId="2" hidden="1">'Выполнение работ'!$A$3:$O$70</definedName>
    <definedName name="_xlnm.Print_Titles" localSheetId="2">'Выполнение работ'!$3:$3</definedName>
    <definedName name="_xlnm.Print_Titles" localSheetId="3">'на 01.01.2018'!$5:$6</definedName>
    <definedName name="_xlnm.Print_Titles" localSheetId="6">'на 01.04.2021'!$9:$10</definedName>
    <definedName name="_xlnm.Print_Area" localSheetId="2">'Выполнение работ'!$A$1:$Q$81</definedName>
  </definedNames>
  <calcPr calcId="125725" iterate="1"/>
</workbook>
</file>

<file path=xl/calcChain.xml><?xml version="1.0" encoding="utf-8"?>
<calcChain xmlns="http://schemas.openxmlformats.org/spreadsheetml/2006/main">
  <c r="E93" i="45"/>
  <c r="O14"/>
  <c r="N14"/>
  <c r="L14"/>
  <c r="K14"/>
  <c r="I14"/>
  <c r="H14"/>
  <c r="AO92"/>
  <c r="AN92"/>
  <c r="AM92"/>
  <c r="AL92"/>
  <c r="AK92"/>
  <c r="AJ92"/>
  <c r="AI92"/>
  <c r="AH92"/>
  <c r="AG92"/>
  <c r="AF92"/>
  <c r="AE92"/>
  <c r="AD92"/>
  <c r="AC92"/>
  <c r="AB92"/>
  <c r="AA92"/>
  <c r="Z92"/>
  <c r="Y92"/>
  <c r="X92"/>
  <c r="W92"/>
  <c r="V92"/>
  <c r="U92"/>
  <c r="T92"/>
  <c r="S92"/>
  <c r="Q92"/>
  <c r="O92"/>
  <c r="N92"/>
  <c r="L92"/>
  <c r="K92"/>
  <c r="I92"/>
  <c r="H92"/>
  <c r="F20"/>
  <c r="E20"/>
  <c r="L113" l="1"/>
  <c r="K113"/>
  <c r="I113"/>
  <c r="H113"/>
  <c r="L25"/>
  <c r="K25"/>
  <c r="I25"/>
  <c r="H25"/>
  <c r="AF34" l="1"/>
  <c r="Z34"/>
  <c r="Z35"/>
  <c r="AF35"/>
  <c r="AF40"/>
  <c r="Z40"/>
  <c r="K112"/>
  <c r="O112"/>
  <c r="N112"/>
  <c r="Q112"/>
  <c r="T112"/>
  <c r="W112"/>
  <c r="Z112"/>
  <c r="AC112"/>
  <c r="AF112"/>
  <c r="AI112"/>
  <c r="AL112"/>
  <c r="AO112"/>
  <c r="L112"/>
  <c r="AL113"/>
  <c r="AI113"/>
  <c r="AF113"/>
  <c r="AC113"/>
  <c r="Z113"/>
  <c r="W113"/>
  <c r="T113"/>
  <c r="Q113"/>
  <c r="O113"/>
  <c r="N113"/>
  <c r="AO25" l="1"/>
  <c r="AL25"/>
  <c r="AI25"/>
  <c r="AF25"/>
  <c r="AC25"/>
  <c r="Z25"/>
  <c r="W25"/>
  <c r="T25"/>
  <c r="Q25"/>
  <c r="O25"/>
  <c r="N25"/>
  <c r="P144"/>
  <c r="M144"/>
  <c r="J144"/>
  <c r="AL19"/>
  <c r="AF19"/>
  <c r="W19"/>
  <c r="N19"/>
  <c r="AO21" l="1"/>
  <c r="AC21"/>
  <c r="W21"/>
  <c r="N21"/>
  <c r="AO35" l="1"/>
  <c r="N35"/>
  <c r="N40"/>
  <c r="P58"/>
  <c r="AQ21"/>
  <c r="AN21"/>
  <c r="AK21"/>
  <c r="AH21"/>
  <c r="AE21"/>
  <c r="AB21"/>
  <c r="Y21"/>
  <c r="V21"/>
  <c r="S21"/>
  <c r="P21"/>
  <c r="M21"/>
  <c r="J21"/>
  <c r="AQ70"/>
  <c r="AN70"/>
  <c r="AK70"/>
  <c r="AH70"/>
  <c r="AE70"/>
  <c r="AB70"/>
  <c r="Y70"/>
  <c r="V70"/>
  <c r="S70"/>
  <c r="P70"/>
  <c r="S58"/>
  <c r="AQ40"/>
  <c r="AN40"/>
  <c r="AK40"/>
  <c r="AH40"/>
  <c r="AE40"/>
  <c r="AB40"/>
  <c r="Y40"/>
  <c r="V40"/>
  <c r="S40"/>
  <c r="P40"/>
  <c r="M40"/>
  <c r="AQ34"/>
  <c r="AN34"/>
  <c r="AK34"/>
  <c r="AH34"/>
  <c r="AE34"/>
  <c r="AB34"/>
  <c r="Y34"/>
  <c r="V34"/>
  <c r="S34"/>
  <c r="P34"/>
  <c r="M34"/>
  <c r="J34"/>
  <c r="AQ35"/>
  <c r="AN35"/>
  <c r="AK35"/>
  <c r="AH35"/>
  <c r="AE35"/>
  <c r="AB35"/>
  <c r="Y35"/>
  <c r="V35"/>
  <c r="S35"/>
  <c r="P35"/>
  <c r="M35"/>
  <c r="J35"/>
  <c r="AQ30"/>
  <c r="AN30"/>
  <c r="AK30"/>
  <c r="AH30"/>
  <c r="AE30"/>
  <c r="AB30"/>
  <c r="Y30"/>
  <c r="V30"/>
  <c r="S30"/>
  <c r="P30"/>
  <c r="M30"/>
  <c r="J30"/>
  <c r="AQ25"/>
  <c r="AN25"/>
  <c r="AK25"/>
  <c r="AH25"/>
  <c r="AE25"/>
  <c r="AB25"/>
  <c r="Y25"/>
  <c r="V25"/>
  <c r="S25"/>
  <c r="P25"/>
  <c r="M25"/>
  <c r="J25"/>
  <c r="AQ19"/>
  <c r="AN19"/>
  <c r="AK19"/>
  <c r="AH19"/>
  <c r="AE19"/>
  <c r="AB19"/>
  <c r="Y19"/>
  <c r="V19"/>
  <c r="S19"/>
  <c r="P19"/>
  <c r="M19"/>
  <c r="J19"/>
  <c r="I75"/>
  <c r="H75"/>
  <c r="I74"/>
  <c r="I118" s="1"/>
  <c r="H74"/>
  <c r="H118" s="1"/>
  <c r="L75"/>
  <c r="K75"/>
  <c r="L74"/>
  <c r="L118" s="1"/>
  <c r="K74"/>
  <c r="K118" s="1"/>
  <c r="O75"/>
  <c r="N75"/>
  <c r="O74"/>
  <c r="O118" s="1"/>
  <c r="N74"/>
  <c r="N118" s="1"/>
  <c r="R75"/>
  <c r="Q75"/>
  <c r="R74"/>
  <c r="R118" s="1"/>
  <c r="Q74"/>
  <c r="Q118" s="1"/>
  <c r="U75"/>
  <c r="T75"/>
  <c r="U74"/>
  <c r="U118" s="1"/>
  <c r="T74"/>
  <c r="T118" s="1"/>
  <c r="X75"/>
  <c r="W75"/>
  <c r="X74"/>
  <c r="X118" s="1"/>
  <c r="W74"/>
  <c r="W118" s="1"/>
  <c r="AA75"/>
  <c r="Z75"/>
  <c r="AA74"/>
  <c r="AA118" s="1"/>
  <c r="Z74"/>
  <c r="Z118" s="1"/>
  <c r="AD75"/>
  <c r="AC75"/>
  <c r="AD74"/>
  <c r="AD118" s="1"/>
  <c r="AC74"/>
  <c r="AC118" s="1"/>
  <c r="AG75"/>
  <c r="AF75"/>
  <c r="AG74"/>
  <c r="AG118" s="1"/>
  <c r="AF74"/>
  <c r="AF118" s="1"/>
  <c r="AJ75"/>
  <c r="AI75"/>
  <c r="AJ74"/>
  <c r="AJ118" s="1"/>
  <c r="AI74"/>
  <c r="AI118" s="1"/>
  <c r="AM75"/>
  <c r="AL75"/>
  <c r="AM74"/>
  <c r="AM118" s="1"/>
  <c r="AL74"/>
  <c r="AL118" s="1"/>
  <c r="AO74"/>
  <c r="AO118" s="1"/>
  <c r="AP74"/>
  <c r="AP118" s="1"/>
  <c r="AO75"/>
  <c r="AP75"/>
  <c r="AP76"/>
  <c r="AO76"/>
  <c r="AM76"/>
  <c r="AL76"/>
  <c r="AJ76"/>
  <c r="AI76"/>
  <c r="AG76"/>
  <c r="AF76"/>
  <c r="AD76"/>
  <c r="AC76"/>
  <c r="AA76"/>
  <c r="Z76"/>
  <c r="X76"/>
  <c r="W76"/>
  <c r="U76"/>
  <c r="T76"/>
  <c r="R76"/>
  <c r="Q76"/>
  <c r="O76"/>
  <c r="N76"/>
  <c r="L76"/>
  <c r="K76"/>
  <c r="I76"/>
  <c r="H76"/>
  <c r="F87"/>
  <c r="E87"/>
  <c r="F86"/>
  <c r="E86"/>
  <c r="AH83"/>
  <c r="F85"/>
  <c r="F84"/>
  <c r="E84"/>
  <c r="AP83"/>
  <c r="AO83"/>
  <c r="AN83"/>
  <c r="AM83"/>
  <c r="AL83"/>
  <c r="AK83"/>
  <c r="AJ83"/>
  <c r="AI83"/>
  <c r="AG83"/>
  <c r="O83"/>
  <c r="L83"/>
  <c r="H83"/>
  <c r="F82"/>
  <c r="E82"/>
  <c r="F81"/>
  <c r="E80"/>
  <c r="F79"/>
  <c r="E79"/>
  <c r="F77"/>
  <c r="E77"/>
  <c r="AQ144"/>
  <c r="F146"/>
  <c r="E146"/>
  <c r="F145"/>
  <c r="E145"/>
  <c r="F144"/>
  <c r="E144"/>
  <c r="F143"/>
  <c r="E143"/>
  <c r="AP142"/>
  <c r="AO142"/>
  <c r="AM142"/>
  <c r="AL142"/>
  <c r="AJ142"/>
  <c r="AI142"/>
  <c r="AG142"/>
  <c r="AF142"/>
  <c r="X142"/>
  <c r="W142"/>
  <c r="U142"/>
  <c r="T142"/>
  <c r="R142"/>
  <c r="Q142"/>
  <c r="O142"/>
  <c r="N142"/>
  <c r="L142"/>
  <c r="K142"/>
  <c r="I142"/>
  <c r="J142" s="1"/>
  <c r="H142"/>
  <c r="E134"/>
  <c r="T137"/>
  <c r="F124"/>
  <c r="AK123"/>
  <c r="AQ123"/>
  <c r="AN123"/>
  <c r="AQ112"/>
  <c r="AK112"/>
  <c r="M18"/>
  <c r="M142" l="1"/>
  <c r="P142"/>
  <c r="F83"/>
  <c r="F80"/>
  <c r="F75" s="1"/>
  <c r="E81"/>
  <c r="AF83"/>
  <c r="E85"/>
  <c r="E83" s="1"/>
  <c r="E139"/>
  <c r="F142"/>
  <c r="AO17"/>
  <c r="AQ142"/>
  <c r="G144"/>
  <c r="E142"/>
  <c r="E25"/>
  <c r="F25"/>
  <c r="F18"/>
  <c r="E75" l="1"/>
  <c r="G142"/>
  <c r="E78"/>
  <c r="F78"/>
  <c r="AQ63"/>
  <c r="AN38"/>
  <c r="AK38"/>
  <c r="F141"/>
  <c r="E141"/>
  <c r="F140"/>
  <c r="E140"/>
  <c r="AH139"/>
  <c r="AE139"/>
  <c r="AB139"/>
  <c r="Y139"/>
  <c r="V139"/>
  <c r="S139"/>
  <c r="P139"/>
  <c r="M139"/>
  <c r="F139"/>
  <c r="G139" s="1"/>
  <c r="F138"/>
  <c r="E138"/>
  <c r="AP137"/>
  <c r="AM137"/>
  <c r="AL137"/>
  <c r="AJ137"/>
  <c r="AI137"/>
  <c r="AG137"/>
  <c r="AF137"/>
  <c r="AD137"/>
  <c r="AC137"/>
  <c r="AA137"/>
  <c r="Z137"/>
  <c r="X137"/>
  <c r="W137"/>
  <c r="U137"/>
  <c r="V137" s="1"/>
  <c r="R137"/>
  <c r="Q137"/>
  <c r="O137"/>
  <c r="N137"/>
  <c r="L137"/>
  <c r="K137"/>
  <c r="I137"/>
  <c r="H137"/>
  <c r="F136"/>
  <c r="E136"/>
  <c r="E135"/>
  <c r="F134"/>
  <c r="F133"/>
  <c r="E133"/>
  <c r="AO132"/>
  <c r="AL132"/>
  <c r="AJ132"/>
  <c r="AI132"/>
  <c r="AG132"/>
  <c r="AF132"/>
  <c r="AD132"/>
  <c r="AC132"/>
  <c r="AA132"/>
  <c r="Z132"/>
  <c r="X132"/>
  <c r="W132"/>
  <c r="U132"/>
  <c r="T132"/>
  <c r="R132"/>
  <c r="Q132"/>
  <c r="O132"/>
  <c r="N132"/>
  <c r="L132"/>
  <c r="K132"/>
  <c r="I132"/>
  <c r="H132"/>
  <c r="F131"/>
  <c r="E131"/>
  <c r="E130"/>
  <c r="F129"/>
  <c r="E129"/>
  <c r="F128"/>
  <c r="E128"/>
  <c r="AO127"/>
  <c r="AL127"/>
  <c r="AJ127"/>
  <c r="AI127"/>
  <c r="AG127"/>
  <c r="AF127"/>
  <c r="AD127"/>
  <c r="AC127"/>
  <c r="AA127"/>
  <c r="Z127"/>
  <c r="X127"/>
  <c r="W127"/>
  <c r="U127"/>
  <c r="T127"/>
  <c r="R127"/>
  <c r="Q127"/>
  <c r="O127"/>
  <c r="N127"/>
  <c r="L127"/>
  <c r="K127"/>
  <c r="I127"/>
  <c r="H127"/>
  <c r="F126"/>
  <c r="E126"/>
  <c r="F125"/>
  <c r="E125"/>
  <c r="E124"/>
  <c r="AH123"/>
  <c r="AB123"/>
  <c r="W122"/>
  <c r="V123"/>
  <c r="AO122"/>
  <c r="AL122"/>
  <c r="AI122"/>
  <c r="AG122"/>
  <c r="AF122"/>
  <c r="AD122"/>
  <c r="AC122"/>
  <c r="AA122"/>
  <c r="Z122"/>
  <c r="X122"/>
  <c r="U122"/>
  <c r="R122"/>
  <c r="O122"/>
  <c r="L122"/>
  <c r="K122"/>
  <c r="I122"/>
  <c r="H122"/>
  <c r="F121"/>
  <c r="E121"/>
  <c r="R120"/>
  <c r="E120"/>
  <c r="AH118"/>
  <c r="AE118"/>
  <c r="AB118"/>
  <c r="Y118"/>
  <c r="V118"/>
  <c r="M118"/>
  <c r="F116"/>
  <c r="E116"/>
  <c r="AP115"/>
  <c r="AO115"/>
  <c r="AM115"/>
  <c r="AM111" s="1"/>
  <c r="AL115"/>
  <c r="AJ115"/>
  <c r="AI115"/>
  <c r="AI111" s="1"/>
  <c r="AG115"/>
  <c r="AF115"/>
  <c r="AD115"/>
  <c r="AC115"/>
  <c r="AA115"/>
  <c r="Z115"/>
  <c r="X115"/>
  <c r="W115"/>
  <c r="U115"/>
  <c r="T115"/>
  <c r="R115"/>
  <c r="Q115"/>
  <c r="O115"/>
  <c r="N115"/>
  <c r="L115"/>
  <c r="K115"/>
  <c r="I115"/>
  <c r="H115"/>
  <c r="F115"/>
  <c r="E115"/>
  <c r="F114"/>
  <c r="E114"/>
  <c r="AG111"/>
  <c r="Y113"/>
  <c r="AN112"/>
  <c r="AE112"/>
  <c r="Y112"/>
  <c r="P112"/>
  <c r="I112"/>
  <c r="H112"/>
  <c r="Q111"/>
  <c r="F110"/>
  <c r="E110"/>
  <c r="F104"/>
  <c r="E104"/>
  <c r="F98"/>
  <c r="E98"/>
  <c r="F97"/>
  <c r="E97"/>
  <c r="F96"/>
  <c r="E96"/>
  <c r="F95"/>
  <c r="E95"/>
  <c r="AP94"/>
  <c r="AO94"/>
  <c r="AM94"/>
  <c r="AL94"/>
  <c r="AJ94"/>
  <c r="AI94"/>
  <c r="AG94"/>
  <c r="AF94"/>
  <c r="AD94"/>
  <c r="AC94"/>
  <c r="AA94"/>
  <c r="Z94"/>
  <c r="X94"/>
  <c r="W94"/>
  <c r="U94"/>
  <c r="T94"/>
  <c r="R94"/>
  <c r="Q94"/>
  <c r="O94"/>
  <c r="N94"/>
  <c r="L94"/>
  <c r="K94"/>
  <c r="I94"/>
  <c r="H94"/>
  <c r="F94"/>
  <c r="E94"/>
  <c r="F93"/>
  <c r="F72"/>
  <c r="E72"/>
  <c r="F71"/>
  <c r="F64" s="1"/>
  <c r="E71"/>
  <c r="E64" s="1"/>
  <c r="AK68"/>
  <c r="AH63"/>
  <c r="AE63"/>
  <c r="V63"/>
  <c r="S63"/>
  <c r="N63"/>
  <c r="N119" s="1"/>
  <c r="K68"/>
  <c r="F70"/>
  <c r="F69"/>
  <c r="F62" s="1"/>
  <c r="E69"/>
  <c r="E62" s="1"/>
  <c r="AP68"/>
  <c r="AO68"/>
  <c r="AN68"/>
  <c r="AM68"/>
  <c r="AL68"/>
  <c r="AJ68"/>
  <c r="AI68"/>
  <c r="AG68"/>
  <c r="AF68"/>
  <c r="AD68"/>
  <c r="AC68"/>
  <c r="AB68"/>
  <c r="AA68"/>
  <c r="Z68"/>
  <c r="Y68"/>
  <c r="X68"/>
  <c r="W68"/>
  <c r="U68"/>
  <c r="T68"/>
  <c r="R68"/>
  <c r="Q68"/>
  <c r="O68"/>
  <c r="N68"/>
  <c r="L68"/>
  <c r="I68"/>
  <c r="H68"/>
  <c r="F65"/>
  <c r="E65"/>
  <c r="AQ64"/>
  <c r="AP64"/>
  <c r="AO64"/>
  <c r="AN64"/>
  <c r="AM64"/>
  <c r="AL64"/>
  <c r="AK64"/>
  <c r="AJ64"/>
  <c r="AI64"/>
  <c r="AH64"/>
  <c r="AG64"/>
  <c r="AF64"/>
  <c r="AE64"/>
  <c r="AD64"/>
  <c r="AC64"/>
  <c r="AB64"/>
  <c r="AA64"/>
  <c r="Z64"/>
  <c r="Y64"/>
  <c r="X64"/>
  <c r="W64"/>
  <c r="V64"/>
  <c r="U64"/>
  <c r="T64"/>
  <c r="S64"/>
  <c r="R64"/>
  <c r="Q64"/>
  <c r="P64"/>
  <c r="O64"/>
  <c r="N64"/>
  <c r="L64"/>
  <c r="K64"/>
  <c r="J64"/>
  <c r="I64"/>
  <c r="H64"/>
  <c r="AP63"/>
  <c r="AP119" s="1"/>
  <c r="AO63"/>
  <c r="AO119" s="1"/>
  <c r="AN63"/>
  <c r="AM63"/>
  <c r="AM119" s="1"/>
  <c r="AL63"/>
  <c r="AL119" s="1"/>
  <c r="AJ63"/>
  <c r="AJ119" s="1"/>
  <c r="AI63"/>
  <c r="AI119" s="1"/>
  <c r="AG63"/>
  <c r="AG119" s="1"/>
  <c r="AG117" s="1"/>
  <c r="AF63"/>
  <c r="AF119" s="1"/>
  <c r="AD63"/>
  <c r="AD119" s="1"/>
  <c r="AD117" s="1"/>
  <c r="AC63"/>
  <c r="AC119" s="1"/>
  <c r="AB63"/>
  <c r="AA63"/>
  <c r="AA119" s="1"/>
  <c r="AA117" s="1"/>
  <c r="Z63"/>
  <c r="Z119" s="1"/>
  <c r="Y63"/>
  <c r="X63"/>
  <c r="X119" s="1"/>
  <c r="X117" s="1"/>
  <c r="W63"/>
  <c r="W119" s="1"/>
  <c r="U63"/>
  <c r="U119" s="1"/>
  <c r="T63"/>
  <c r="T119" s="1"/>
  <c r="R63"/>
  <c r="R119" s="1"/>
  <c r="R117" s="1"/>
  <c r="Q63"/>
  <c r="Q119" s="1"/>
  <c r="O63"/>
  <c r="O119" s="1"/>
  <c r="L63"/>
  <c r="L119" s="1"/>
  <c r="I63"/>
  <c r="I119" s="1"/>
  <c r="H63"/>
  <c r="H119" s="1"/>
  <c r="AQ62"/>
  <c r="AP62"/>
  <c r="AO62"/>
  <c r="AO61" s="1"/>
  <c r="AN62"/>
  <c r="AM62"/>
  <c r="AL62"/>
  <c r="AK62"/>
  <c r="AJ62"/>
  <c r="AI62"/>
  <c r="AH62"/>
  <c r="AG62"/>
  <c r="AG61" s="1"/>
  <c r="AF62"/>
  <c r="AE62"/>
  <c r="AD62"/>
  <c r="AC62"/>
  <c r="AB62"/>
  <c r="AA62"/>
  <c r="Z62"/>
  <c r="Y62"/>
  <c r="X62"/>
  <c r="W62"/>
  <c r="V62"/>
  <c r="U62"/>
  <c r="U61" s="1"/>
  <c r="T62"/>
  <c r="S62"/>
  <c r="R62"/>
  <c r="Q62"/>
  <c r="O62"/>
  <c r="N62"/>
  <c r="L62"/>
  <c r="K62"/>
  <c r="I62"/>
  <c r="H62"/>
  <c r="F60"/>
  <c r="E60"/>
  <c r="F59"/>
  <c r="E59"/>
  <c r="E53" s="1"/>
  <c r="AQ52"/>
  <c r="F58"/>
  <c r="AQ51"/>
  <c r="AO117"/>
  <c r="AK51"/>
  <c r="AH51"/>
  <c r="AB51"/>
  <c r="Y51"/>
  <c r="V51"/>
  <c r="F57"/>
  <c r="F51" s="1"/>
  <c r="E57"/>
  <c r="AP56"/>
  <c r="AO56"/>
  <c r="AM56"/>
  <c r="AL56"/>
  <c r="AJ56"/>
  <c r="AI56"/>
  <c r="AG56"/>
  <c r="AF56"/>
  <c r="AD56"/>
  <c r="AC56"/>
  <c r="AA56"/>
  <c r="Z56"/>
  <c r="X56"/>
  <c r="W56"/>
  <c r="U56"/>
  <c r="T56"/>
  <c r="R56"/>
  <c r="Q56"/>
  <c r="O56"/>
  <c r="N56"/>
  <c r="L56"/>
  <c r="I56"/>
  <c r="H56"/>
  <c r="F54"/>
  <c r="E54"/>
  <c r="AQ53"/>
  <c r="AP53"/>
  <c r="AO53"/>
  <c r="AN53"/>
  <c r="AM53"/>
  <c r="AL53"/>
  <c r="AK53"/>
  <c r="AJ53"/>
  <c r="AI53"/>
  <c r="AH53"/>
  <c r="AG53"/>
  <c r="AF53"/>
  <c r="AE53"/>
  <c r="AD53"/>
  <c r="AC53"/>
  <c r="AB53"/>
  <c r="AA53"/>
  <c r="Z53"/>
  <c r="Y53"/>
  <c r="X53"/>
  <c r="W53"/>
  <c r="V53"/>
  <c r="U53"/>
  <c r="T53"/>
  <c r="R53"/>
  <c r="Q53"/>
  <c r="P53"/>
  <c r="O53"/>
  <c r="O120" s="1"/>
  <c r="N53"/>
  <c r="L53"/>
  <c r="L120" s="1"/>
  <c r="K53"/>
  <c r="I53"/>
  <c r="I120" s="1"/>
  <c r="H53"/>
  <c r="F53"/>
  <c r="AP52"/>
  <c r="AO52"/>
  <c r="AN52"/>
  <c r="AM52"/>
  <c r="AL52"/>
  <c r="AK52"/>
  <c r="AJ52"/>
  <c r="AI52"/>
  <c r="AH52"/>
  <c r="AG52"/>
  <c r="AF52"/>
  <c r="AD52"/>
  <c r="AC52"/>
  <c r="AB52"/>
  <c r="AA52"/>
  <c r="Z52"/>
  <c r="Y52"/>
  <c r="X52"/>
  <c r="W52"/>
  <c r="V52"/>
  <c r="U52"/>
  <c r="T52"/>
  <c r="R52"/>
  <c r="Q52"/>
  <c r="O52"/>
  <c r="P52" s="1"/>
  <c r="N52"/>
  <c r="L52"/>
  <c r="K52"/>
  <c r="I52"/>
  <c r="AP51"/>
  <c r="AO51"/>
  <c r="AM51"/>
  <c r="AL51"/>
  <c r="AJ51"/>
  <c r="AI51"/>
  <c r="AG51"/>
  <c r="AF51"/>
  <c r="AD51"/>
  <c r="AC51"/>
  <c r="AA51"/>
  <c r="Z51"/>
  <c r="X51"/>
  <c r="W51"/>
  <c r="U51"/>
  <c r="T51"/>
  <c r="R51"/>
  <c r="Q51"/>
  <c r="O51"/>
  <c r="N51"/>
  <c r="L51"/>
  <c r="K51"/>
  <c r="I51"/>
  <c r="H51"/>
  <c r="F48"/>
  <c r="E48"/>
  <c r="F47"/>
  <c r="E47"/>
  <c r="F46"/>
  <c r="E46"/>
  <c r="F45"/>
  <c r="E45"/>
  <c r="AP44"/>
  <c r="AO44"/>
  <c r="AM44"/>
  <c r="AL44"/>
  <c r="AJ44"/>
  <c r="AI44"/>
  <c r="AG44"/>
  <c r="AF44"/>
  <c r="AD44"/>
  <c r="AC44"/>
  <c r="AA44"/>
  <c r="Z44"/>
  <c r="Y44"/>
  <c r="X44"/>
  <c r="W44"/>
  <c r="V44"/>
  <c r="U44"/>
  <c r="T44"/>
  <c r="R44"/>
  <c r="Q44"/>
  <c r="O44"/>
  <c r="N44"/>
  <c r="L44"/>
  <c r="K44"/>
  <c r="I44"/>
  <c r="H44"/>
  <c r="F44"/>
  <c r="E44"/>
  <c r="F43"/>
  <c r="E43"/>
  <c r="F42"/>
  <c r="E42"/>
  <c r="F41"/>
  <c r="F14" s="1"/>
  <c r="F92" s="1"/>
  <c r="F102" s="1"/>
  <c r="E41"/>
  <c r="E14" s="1"/>
  <c r="E92" s="1"/>
  <c r="E102" s="1"/>
  <c r="AB119"/>
  <c r="T117"/>
  <c r="F40"/>
  <c r="F39"/>
  <c r="E39"/>
  <c r="AQ38"/>
  <c r="AP38"/>
  <c r="AO38"/>
  <c r="AM38"/>
  <c r="AL38"/>
  <c r="AJ38"/>
  <c r="AI38"/>
  <c r="AG38"/>
  <c r="AF38"/>
  <c r="AD38"/>
  <c r="AC38"/>
  <c r="AA38"/>
  <c r="X38"/>
  <c r="U38"/>
  <c r="T38"/>
  <c r="R38"/>
  <c r="O38"/>
  <c r="L38"/>
  <c r="K38"/>
  <c r="J38"/>
  <c r="I38"/>
  <c r="H38"/>
  <c r="F37"/>
  <c r="E37"/>
  <c r="F36"/>
  <c r="E36"/>
  <c r="F35"/>
  <c r="E35"/>
  <c r="F34"/>
  <c r="AP33"/>
  <c r="AO33"/>
  <c r="AM33"/>
  <c r="AJ33"/>
  <c r="AI33"/>
  <c r="AG33"/>
  <c r="AF33"/>
  <c r="AD33"/>
  <c r="AC33"/>
  <c r="AA33"/>
  <c r="Z33"/>
  <c r="X33"/>
  <c r="W33"/>
  <c r="V33"/>
  <c r="U33"/>
  <c r="T33"/>
  <c r="R33"/>
  <c r="Q33"/>
  <c r="O33"/>
  <c r="N33"/>
  <c r="L33"/>
  <c r="K33"/>
  <c r="I33"/>
  <c r="H33"/>
  <c r="F32"/>
  <c r="E32"/>
  <c r="F31"/>
  <c r="E31"/>
  <c r="AQ28"/>
  <c r="AN28"/>
  <c r="AK28"/>
  <c r="Y28"/>
  <c r="F30"/>
  <c r="F29"/>
  <c r="E29"/>
  <c r="AP28"/>
  <c r="AM28"/>
  <c r="AL28"/>
  <c r="AJ28"/>
  <c r="AI28"/>
  <c r="AG28"/>
  <c r="AF28"/>
  <c r="AD28"/>
  <c r="AA28"/>
  <c r="Z28"/>
  <c r="X28"/>
  <c r="U28"/>
  <c r="R28"/>
  <c r="O28"/>
  <c r="N28"/>
  <c r="L28"/>
  <c r="K28"/>
  <c r="I28"/>
  <c r="H28"/>
  <c r="F27"/>
  <c r="E27"/>
  <c r="F26"/>
  <c r="E26"/>
  <c r="AQ113"/>
  <c r="AN113"/>
  <c r="AK113"/>
  <c r="AH113"/>
  <c r="AE113"/>
  <c r="AC111"/>
  <c r="AB113"/>
  <c r="Y23"/>
  <c r="V23"/>
  <c r="S23"/>
  <c r="F24"/>
  <c r="E24"/>
  <c r="AP23"/>
  <c r="AO23"/>
  <c r="AM23"/>
  <c r="AL23"/>
  <c r="AJ23"/>
  <c r="AI23"/>
  <c r="AG23"/>
  <c r="AF23"/>
  <c r="AD23"/>
  <c r="AC23"/>
  <c r="AA23"/>
  <c r="Z23"/>
  <c r="X23"/>
  <c r="W23"/>
  <c r="U23"/>
  <c r="T23"/>
  <c r="R23"/>
  <c r="Q23"/>
  <c r="O23"/>
  <c r="N23"/>
  <c r="L23"/>
  <c r="K23"/>
  <c r="I23"/>
  <c r="H23"/>
  <c r="F22"/>
  <c r="E22"/>
  <c r="F21"/>
  <c r="AQ18"/>
  <c r="AN18"/>
  <c r="AK18"/>
  <c r="AH18"/>
  <c r="AE18"/>
  <c r="Z12"/>
  <c r="Z89" s="1"/>
  <c r="Y18"/>
  <c r="V18"/>
  <c r="S18"/>
  <c r="P18"/>
  <c r="J18"/>
  <c r="AP17"/>
  <c r="AM17"/>
  <c r="AL17"/>
  <c r="AJ17"/>
  <c r="AG17"/>
  <c r="AD17"/>
  <c r="AA17"/>
  <c r="X17"/>
  <c r="U17"/>
  <c r="R17"/>
  <c r="N17"/>
  <c r="L17"/>
  <c r="I17"/>
  <c r="H17"/>
  <c r="F16"/>
  <c r="E16"/>
  <c r="AP15"/>
  <c r="AP91" s="1"/>
  <c r="AO15"/>
  <c r="AO91" s="1"/>
  <c r="AM15"/>
  <c r="AM91" s="1"/>
  <c r="AL15"/>
  <c r="AJ15"/>
  <c r="AJ91" s="1"/>
  <c r="AI15"/>
  <c r="AI91" s="1"/>
  <c r="AG15"/>
  <c r="AG91" s="1"/>
  <c r="AD15"/>
  <c r="AA15"/>
  <c r="AA91" s="1"/>
  <c r="X15"/>
  <c r="U15"/>
  <c r="U91" s="1"/>
  <c r="R15"/>
  <c r="R91" s="1"/>
  <c r="O15"/>
  <c r="O91" s="1"/>
  <c r="N15"/>
  <c r="N91" s="1"/>
  <c r="L15"/>
  <c r="L91" s="1"/>
  <c r="I15"/>
  <c r="H15"/>
  <c r="H91" s="1"/>
  <c r="AP13"/>
  <c r="AO13"/>
  <c r="AO90" s="1"/>
  <c r="AM13"/>
  <c r="AM90" s="1"/>
  <c r="AL13"/>
  <c r="AL90" s="1"/>
  <c r="AJ13"/>
  <c r="AG13"/>
  <c r="AG90" s="1"/>
  <c r="AF13"/>
  <c r="AD13"/>
  <c r="AD90" s="1"/>
  <c r="AA13"/>
  <c r="X13"/>
  <c r="X90" s="1"/>
  <c r="U13"/>
  <c r="R13"/>
  <c r="R90" s="1"/>
  <c r="N13"/>
  <c r="N90" s="1"/>
  <c r="L13"/>
  <c r="L90" s="1"/>
  <c r="I13"/>
  <c r="H13"/>
  <c r="AP12"/>
  <c r="AP89" s="1"/>
  <c r="AO12"/>
  <c r="AO89" s="1"/>
  <c r="AM12"/>
  <c r="AM89" s="1"/>
  <c r="AJ12"/>
  <c r="AJ89" s="1"/>
  <c r="AI12"/>
  <c r="AG12"/>
  <c r="AG89" s="1"/>
  <c r="AF12"/>
  <c r="AD12"/>
  <c r="AD89" s="1"/>
  <c r="AA12"/>
  <c r="AA89" s="1"/>
  <c r="X12"/>
  <c r="X89" s="1"/>
  <c r="W12"/>
  <c r="U12"/>
  <c r="U89" s="1"/>
  <c r="T12"/>
  <c r="R12"/>
  <c r="R89" s="1"/>
  <c r="Q12"/>
  <c r="O12"/>
  <c r="O89" s="1"/>
  <c r="N12"/>
  <c r="L12"/>
  <c r="L89" s="1"/>
  <c r="K12"/>
  <c r="K89" s="1"/>
  <c r="I12"/>
  <c r="I89" s="1"/>
  <c r="H12"/>
  <c r="H89" s="1"/>
  <c r="N89" l="1"/>
  <c r="Q89"/>
  <c r="T89"/>
  <c r="W89"/>
  <c r="AF89"/>
  <c r="AI89"/>
  <c r="I90"/>
  <c r="U90"/>
  <c r="AA90"/>
  <c r="AF90"/>
  <c r="AJ90"/>
  <c r="I91"/>
  <c r="X91"/>
  <c r="AD91"/>
  <c r="AL91"/>
  <c r="AH119"/>
  <c r="AQ119"/>
  <c r="P56"/>
  <c r="AA11"/>
  <c r="W13"/>
  <c r="W90" s="1"/>
  <c r="R103"/>
  <c r="R109" s="1"/>
  <c r="W15"/>
  <c r="W91" s="1"/>
  <c r="AM103"/>
  <c r="AM109" s="1"/>
  <c r="K17"/>
  <c r="F120"/>
  <c r="L117"/>
  <c r="H117"/>
  <c r="AB61"/>
  <c r="X61"/>
  <c r="Z111"/>
  <c r="T122"/>
  <c r="V122" s="1"/>
  <c r="Q13"/>
  <c r="AC13"/>
  <c r="AC90" s="1"/>
  <c r="AI13"/>
  <c r="AI90" s="1"/>
  <c r="K15"/>
  <c r="K91" s="1"/>
  <c r="Q15"/>
  <c r="Q91" s="1"/>
  <c r="AC15"/>
  <c r="AC91" s="1"/>
  <c r="Q17"/>
  <c r="S17" s="1"/>
  <c r="AC50"/>
  <c r="AI50"/>
  <c r="L50"/>
  <c r="H61"/>
  <c r="N61"/>
  <c r="Y61"/>
  <c r="AA61"/>
  <c r="AI61"/>
  <c r="R61"/>
  <c r="Z61"/>
  <c r="I11"/>
  <c r="U11"/>
  <c r="AG11"/>
  <c r="AL12"/>
  <c r="AL89" s="1"/>
  <c r="T13"/>
  <c r="T90" s="1"/>
  <c r="Z13"/>
  <c r="Z90" s="1"/>
  <c r="T15"/>
  <c r="Z15"/>
  <c r="AF15"/>
  <c r="E23"/>
  <c r="Z50"/>
  <c r="AL50"/>
  <c r="AN51"/>
  <c r="U50"/>
  <c r="R11"/>
  <c r="X11"/>
  <c r="AD11"/>
  <c r="AC12"/>
  <c r="AC89" s="1"/>
  <c r="K13"/>
  <c r="T17"/>
  <c r="V17" s="1"/>
  <c r="W17"/>
  <c r="Z17"/>
  <c r="AB17" s="1"/>
  <c r="AC17"/>
  <c r="AE17" s="1"/>
  <c r="AF17"/>
  <c r="AH17" s="1"/>
  <c r="AI17"/>
  <c r="E21"/>
  <c r="E15" s="1"/>
  <c r="E91" s="1"/>
  <c r="J23"/>
  <c r="P23"/>
  <c r="AK23"/>
  <c r="K63"/>
  <c r="P68"/>
  <c r="V68"/>
  <c r="J17"/>
  <c r="E123"/>
  <c r="E122" s="1"/>
  <c r="E18"/>
  <c r="G18" s="1"/>
  <c r="F19"/>
  <c r="F17" s="1"/>
  <c r="O50"/>
  <c r="P63"/>
  <c r="T111"/>
  <c r="J28"/>
  <c r="P28"/>
  <c r="AF50"/>
  <c r="AL61"/>
  <c r="AP61"/>
  <c r="M112"/>
  <c r="V112"/>
  <c r="AB122"/>
  <c r="P137"/>
  <c r="AB137"/>
  <c r="AH137"/>
  <c r="O13"/>
  <c r="O17"/>
  <c r="P17" s="1"/>
  <c r="F15"/>
  <c r="F12"/>
  <c r="F89" s="1"/>
  <c r="AB28"/>
  <c r="E30"/>
  <c r="E28" s="1"/>
  <c r="P33"/>
  <c r="Q38"/>
  <c r="S38" s="1"/>
  <c r="W38"/>
  <c r="AH38"/>
  <c r="F38"/>
  <c r="I50"/>
  <c r="R50"/>
  <c r="X50"/>
  <c r="AA50"/>
  <c r="AJ50"/>
  <c r="H52"/>
  <c r="H50" s="1"/>
  <c r="N50"/>
  <c r="AD50"/>
  <c r="AE50" s="1"/>
  <c r="AG50"/>
  <c r="AM50"/>
  <c r="I61"/>
  <c r="L61"/>
  <c r="O61"/>
  <c r="P61" s="1"/>
  <c r="T61"/>
  <c r="V61"/>
  <c r="AD61"/>
  <c r="Q61"/>
  <c r="E70"/>
  <c r="AE61"/>
  <c r="K111"/>
  <c r="AB112"/>
  <c r="I111"/>
  <c r="S113"/>
  <c r="N88"/>
  <c r="N73" s="1"/>
  <c r="N117"/>
  <c r="Y17"/>
  <c r="AB18"/>
  <c r="AK17"/>
  <c r="M23"/>
  <c r="F23"/>
  <c r="G23" s="1"/>
  <c r="M28"/>
  <c r="T28"/>
  <c r="V28" s="1"/>
  <c r="AH28"/>
  <c r="J33"/>
  <c r="AB33"/>
  <c r="AH33"/>
  <c r="AL33"/>
  <c r="AN33" s="1"/>
  <c r="E34"/>
  <c r="E33" s="1"/>
  <c r="N38"/>
  <c r="P38" s="1"/>
  <c r="Y38"/>
  <c r="Z38"/>
  <c r="AB38" s="1"/>
  <c r="AE38"/>
  <c r="K50"/>
  <c r="Q50"/>
  <c r="T50"/>
  <c r="W50"/>
  <c r="AO50"/>
  <c r="AE52"/>
  <c r="K56"/>
  <c r="E58"/>
  <c r="E52" s="1"/>
  <c r="W61"/>
  <c r="AC61"/>
  <c r="AF61"/>
  <c r="AK63"/>
  <c r="AK61" s="1"/>
  <c r="AM61"/>
  <c r="AE68"/>
  <c r="AH61"/>
  <c r="O111"/>
  <c r="U111"/>
  <c r="AA111"/>
  <c r="AB111" s="1"/>
  <c r="S112"/>
  <c r="E113"/>
  <c r="M113"/>
  <c r="V113"/>
  <c r="P118"/>
  <c r="F119"/>
  <c r="N122"/>
  <c r="AH122"/>
  <c r="M137"/>
  <c r="S137"/>
  <c r="Y137"/>
  <c r="AE137"/>
  <c r="AQ61"/>
  <c r="AJ61"/>
  <c r="AN61"/>
  <c r="L111"/>
  <c r="R111"/>
  <c r="S111" s="1"/>
  <c r="X111"/>
  <c r="AD111"/>
  <c r="AE111" s="1"/>
  <c r="G138"/>
  <c r="F137"/>
  <c r="E127"/>
  <c r="G129"/>
  <c r="S68"/>
  <c r="S61" s="1"/>
  <c r="AF101"/>
  <c r="AF108" s="1"/>
  <c r="AH68"/>
  <c r="AL117"/>
  <c r="AO100"/>
  <c r="AO107" s="1"/>
  <c r="AI100"/>
  <c r="AI107" s="1"/>
  <c r="AK118"/>
  <c r="AF100"/>
  <c r="AF107" s="1"/>
  <c r="AC117"/>
  <c r="AE117" s="1"/>
  <c r="AE51"/>
  <c r="S51"/>
  <c r="S56"/>
  <c r="S118"/>
  <c r="W100"/>
  <c r="W107" s="1"/>
  <c r="E51"/>
  <c r="L11"/>
  <c r="M38"/>
  <c r="AQ33"/>
  <c r="Y33"/>
  <c r="AE23"/>
  <c r="AB23"/>
  <c r="AH23"/>
  <c r="H11"/>
  <c r="M17"/>
  <c r="N11"/>
  <c r="Q11"/>
  <c r="S33"/>
  <c r="AE33"/>
  <c r="G35"/>
  <c r="AK33"/>
  <c r="AQ23"/>
  <c r="AL11"/>
  <c r="AI11"/>
  <c r="AP50"/>
  <c r="AP90"/>
  <c r="F52"/>
  <c r="F50" s="1"/>
  <c r="AP117"/>
  <c r="AQ117" s="1"/>
  <c r="AN118"/>
  <c r="AM117"/>
  <c r="AQ68"/>
  <c r="F63"/>
  <c r="F68"/>
  <c r="F56"/>
  <c r="AJ88"/>
  <c r="AJ73" s="1"/>
  <c r="AJ117"/>
  <c r="AO11"/>
  <c r="AN119"/>
  <c r="AK119"/>
  <c r="F33"/>
  <c r="F28"/>
  <c r="AP111"/>
  <c r="AN23"/>
  <c r="AJ111"/>
  <c r="AK111" s="1"/>
  <c r="G25"/>
  <c r="AN17"/>
  <c r="AM11"/>
  <c r="AQ17"/>
  <c r="AP11"/>
  <c r="AJ11"/>
  <c r="H100"/>
  <c r="H107" s="1"/>
  <c r="L100"/>
  <c r="L107" s="1"/>
  <c r="L88"/>
  <c r="N100"/>
  <c r="N107" s="1"/>
  <c r="R100"/>
  <c r="R107" s="1"/>
  <c r="R88"/>
  <c r="R73" s="1"/>
  <c r="X100"/>
  <c r="X107" s="1"/>
  <c r="X88"/>
  <c r="Z100"/>
  <c r="Z107" s="1"/>
  <c r="AD100"/>
  <c r="AD107" s="1"/>
  <c r="AD88"/>
  <c r="AD73" s="1"/>
  <c r="AL100"/>
  <c r="AL107" s="1"/>
  <c r="AP100"/>
  <c r="AP107" s="1"/>
  <c r="I101"/>
  <c r="I108" s="1"/>
  <c r="U101"/>
  <c r="U108" s="1"/>
  <c r="W101"/>
  <c r="W108" s="1"/>
  <c r="AA101"/>
  <c r="AA108" s="1"/>
  <c r="AG101"/>
  <c r="AG108" s="1"/>
  <c r="AI101"/>
  <c r="AI108" s="1"/>
  <c r="AM101"/>
  <c r="AM108" s="1"/>
  <c r="AO101"/>
  <c r="AO108" s="1"/>
  <c r="I103"/>
  <c r="I109" s="1"/>
  <c r="L103"/>
  <c r="L109" s="1"/>
  <c r="M91"/>
  <c r="N103"/>
  <c r="N109" s="1"/>
  <c r="X103"/>
  <c r="X109" s="1"/>
  <c r="AD103"/>
  <c r="AD109" s="1"/>
  <c r="AJ103"/>
  <c r="AJ109" s="1"/>
  <c r="AL103"/>
  <c r="AL109" s="1"/>
  <c r="AP103"/>
  <c r="AP109" s="1"/>
  <c r="AQ91"/>
  <c r="N111"/>
  <c r="AO111"/>
  <c r="J12"/>
  <c r="P12"/>
  <c r="V12"/>
  <c r="V89" s="1"/>
  <c r="AB12"/>
  <c r="AB89" s="1"/>
  <c r="AH12"/>
  <c r="AH89" s="1"/>
  <c r="S13"/>
  <c r="S90" s="1"/>
  <c r="AK13"/>
  <c r="AK90" s="1"/>
  <c r="AQ13"/>
  <c r="P15"/>
  <c r="AB15"/>
  <c r="AB91" s="1"/>
  <c r="AN15"/>
  <c r="AN91" s="1"/>
  <c r="E19"/>
  <c r="Q28"/>
  <c r="S28" s="1"/>
  <c r="W28"/>
  <c r="AC28"/>
  <c r="AE28" s="1"/>
  <c r="AO28"/>
  <c r="M33"/>
  <c r="I100"/>
  <c r="I107" s="1"/>
  <c r="J89"/>
  <c r="I88"/>
  <c r="I73" s="1"/>
  <c r="P89"/>
  <c r="O100"/>
  <c r="O107" s="1"/>
  <c r="U100"/>
  <c r="U107" s="1"/>
  <c r="U88"/>
  <c r="AA88"/>
  <c r="AA100"/>
  <c r="AA107" s="1"/>
  <c r="AC100"/>
  <c r="AC107" s="1"/>
  <c r="AG100"/>
  <c r="AG107" s="1"/>
  <c r="AG88"/>
  <c r="AM88"/>
  <c r="AM73" s="1"/>
  <c r="AM100"/>
  <c r="AM107" s="1"/>
  <c r="L101"/>
  <c r="L108" s="1"/>
  <c r="N101"/>
  <c r="N108" s="1"/>
  <c r="R101"/>
  <c r="R108" s="1"/>
  <c r="X101"/>
  <c r="X108" s="1"/>
  <c r="Z101"/>
  <c r="Z108" s="1"/>
  <c r="AD101"/>
  <c r="AD108" s="1"/>
  <c r="AL101"/>
  <c r="AL108" s="1"/>
  <c r="H103"/>
  <c r="H109" s="1"/>
  <c r="K103"/>
  <c r="K109" s="1"/>
  <c r="O103"/>
  <c r="O109" s="1"/>
  <c r="P91"/>
  <c r="Q103"/>
  <c r="Q109" s="1"/>
  <c r="U103"/>
  <c r="U109" s="1"/>
  <c r="W103"/>
  <c r="W109" s="1"/>
  <c r="AA103"/>
  <c r="AA109" s="1"/>
  <c r="AC103"/>
  <c r="AC109" s="1"/>
  <c r="AG103"/>
  <c r="AG109" s="1"/>
  <c r="AI103"/>
  <c r="AI109" s="1"/>
  <c r="AO103"/>
  <c r="AO109" s="1"/>
  <c r="Q117"/>
  <c r="S117" s="1"/>
  <c r="S119"/>
  <c r="W117"/>
  <c r="Y117" s="1"/>
  <c r="Y119"/>
  <c r="M12"/>
  <c r="S12"/>
  <c r="S89" s="1"/>
  <c r="Y12"/>
  <c r="Y89" s="1"/>
  <c r="AK12"/>
  <c r="AK89" s="1"/>
  <c r="AQ12"/>
  <c r="J13"/>
  <c r="V13"/>
  <c r="V90" s="1"/>
  <c r="AH13"/>
  <c r="AH90" s="1"/>
  <c r="AN13"/>
  <c r="AN90" s="1"/>
  <c r="M15"/>
  <c r="Y15"/>
  <c r="Y91" s="1"/>
  <c r="AE15"/>
  <c r="AE91" s="1"/>
  <c r="AK15"/>
  <c r="AK91" s="1"/>
  <c r="AQ15"/>
  <c r="O117"/>
  <c r="V119"/>
  <c r="U117"/>
  <c r="V117" s="1"/>
  <c r="AO137"/>
  <c r="AQ137" s="1"/>
  <c r="W111"/>
  <c r="F112"/>
  <c r="AL111"/>
  <c r="AN111" s="1"/>
  <c r="Z117"/>
  <c r="AB117" s="1"/>
  <c r="AF117"/>
  <c r="AH117" s="1"/>
  <c r="E118"/>
  <c r="G128"/>
  <c r="E132"/>
  <c r="E137"/>
  <c r="E112"/>
  <c r="H111"/>
  <c r="AH112"/>
  <c r="AF111"/>
  <c r="AH111" s="1"/>
  <c r="J113"/>
  <c r="F113"/>
  <c r="F118"/>
  <c r="I117"/>
  <c r="S123"/>
  <c r="Q122"/>
  <c r="S122" s="1"/>
  <c r="E40"/>
  <c r="E38" s="1"/>
  <c r="V38"/>
  <c r="AI117"/>
  <c r="P113"/>
  <c r="AQ118"/>
  <c r="AE119"/>
  <c r="K61" l="1"/>
  <c r="K119"/>
  <c r="Z103"/>
  <c r="Z109" s="1"/>
  <c r="Z91"/>
  <c r="Z88" s="1"/>
  <c r="Z73" s="1"/>
  <c r="Q101"/>
  <c r="Q108" s="1"/>
  <c r="Q90"/>
  <c r="H90"/>
  <c r="E68"/>
  <c r="E63"/>
  <c r="G15"/>
  <c r="F91"/>
  <c r="P13"/>
  <c r="O90"/>
  <c r="K11"/>
  <c r="K90"/>
  <c r="AF91"/>
  <c r="AF103" s="1"/>
  <c r="T91"/>
  <c r="T103" s="1"/>
  <c r="G21"/>
  <c r="G38"/>
  <c r="S15"/>
  <c r="S91" s="1"/>
  <c r="AB13"/>
  <c r="AB90" s="1"/>
  <c r="AE12"/>
  <c r="AE89" s="1"/>
  <c r="AB108"/>
  <c r="AE107"/>
  <c r="Y13"/>
  <c r="Y90" s="1"/>
  <c r="AN12"/>
  <c r="AN89" s="1"/>
  <c r="AL88"/>
  <c r="W11"/>
  <c r="Y11" s="1"/>
  <c r="AA73"/>
  <c r="U73"/>
  <c r="L73"/>
  <c r="AG73"/>
  <c r="AL73"/>
  <c r="X73"/>
  <c r="Y101"/>
  <c r="F13"/>
  <c r="F90" s="1"/>
  <c r="V111"/>
  <c r="AN50"/>
  <c r="AK50"/>
  <c r="AC11"/>
  <c r="AE11" s="1"/>
  <c r="J111"/>
  <c r="T101"/>
  <c r="AE13"/>
  <c r="AE90" s="1"/>
  <c r="G30"/>
  <c r="S11"/>
  <c r="J11"/>
  <c r="T88"/>
  <c r="T73" s="1"/>
  <c r="M50"/>
  <c r="Y111"/>
  <c r="AB103"/>
  <c r="P103"/>
  <c r="K100"/>
  <c r="AH15"/>
  <c r="AH91" s="1"/>
  <c r="V15"/>
  <c r="V91" s="1"/>
  <c r="M13"/>
  <c r="P111"/>
  <c r="AF11"/>
  <c r="AH11" s="1"/>
  <c r="E61"/>
  <c r="T11"/>
  <c r="V11" s="1"/>
  <c r="Y50"/>
  <c r="AB50"/>
  <c r="G91"/>
  <c r="G68"/>
  <c r="Z11"/>
  <c r="AB11" s="1"/>
  <c r="G70"/>
  <c r="AC88"/>
  <c r="M111"/>
  <c r="V50"/>
  <c r="AH50"/>
  <c r="P50"/>
  <c r="AQ50"/>
  <c r="K88"/>
  <c r="S50"/>
  <c r="E12"/>
  <c r="E89" s="1"/>
  <c r="O11"/>
  <c r="P11" s="1"/>
  <c r="G33"/>
  <c r="J50"/>
  <c r="AQ90"/>
  <c r="AN109"/>
  <c r="AB109"/>
  <c r="P109"/>
  <c r="AJ101"/>
  <c r="G34"/>
  <c r="G58"/>
  <c r="E56"/>
  <c r="G56" s="1"/>
  <c r="AK117"/>
  <c r="AN117"/>
  <c r="AI88"/>
  <c r="AH107"/>
  <c r="G137"/>
  <c r="AP88"/>
  <c r="AP73" s="1"/>
  <c r="AH108"/>
  <c r="M89"/>
  <c r="Y107"/>
  <c r="T100"/>
  <c r="T107" s="1"/>
  <c r="AO88"/>
  <c r="AO106"/>
  <c r="AQ89"/>
  <c r="AF88"/>
  <c r="Q88"/>
  <c r="Q100"/>
  <c r="W88"/>
  <c r="E50"/>
  <c r="G50" s="1"/>
  <c r="M11"/>
  <c r="AB88"/>
  <c r="Y108"/>
  <c r="E111"/>
  <c r="AN11"/>
  <c r="AN103"/>
  <c r="S101"/>
  <c r="AC101"/>
  <c r="AQ11"/>
  <c r="G28"/>
  <c r="G113"/>
  <c r="AK11"/>
  <c r="AQ111"/>
  <c r="AP101"/>
  <c r="G52"/>
  <c r="F61"/>
  <c r="AJ100"/>
  <c r="G118"/>
  <c r="F117"/>
  <c r="AN108"/>
  <c r="AN100"/>
  <c r="AM99"/>
  <c r="AH100"/>
  <c r="AG99"/>
  <c r="AB100"/>
  <c r="AA99"/>
  <c r="U99"/>
  <c r="P100"/>
  <c r="J100"/>
  <c r="I99"/>
  <c r="E17"/>
  <c r="G17" s="1"/>
  <c r="E13"/>
  <c r="E90" s="1"/>
  <c r="AQ100"/>
  <c r="AE100"/>
  <c r="AD99"/>
  <c r="X106"/>
  <c r="R99"/>
  <c r="L106"/>
  <c r="P117"/>
  <c r="AI99"/>
  <c r="W99"/>
  <c r="G40"/>
  <c r="AQ103"/>
  <c r="AE103"/>
  <c r="S103"/>
  <c r="F109"/>
  <c r="AH101"/>
  <c r="AL106"/>
  <c r="G19"/>
  <c r="G112"/>
  <c r="F111"/>
  <c r="AG106"/>
  <c r="AB107"/>
  <c r="AA106"/>
  <c r="U106"/>
  <c r="P107"/>
  <c r="J107"/>
  <c r="I106"/>
  <c r="AD106"/>
  <c r="Y100"/>
  <c r="X99"/>
  <c r="R106"/>
  <c r="L99"/>
  <c r="E119"/>
  <c r="E117" s="1"/>
  <c r="P119"/>
  <c r="AO99"/>
  <c r="AQ109"/>
  <c r="AK109"/>
  <c r="AK103"/>
  <c r="AE109"/>
  <c r="Y109"/>
  <c r="Y103"/>
  <c r="S109"/>
  <c r="M109"/>
  <c r="M103"/>
  <c r="F103"/>
  <c r="AN101"/>
  <c r="AB101"/>
  <c r="AL99"/>
  <c r="Z99"/>
  <c r="N99"/>
  <c r="AF109" l="1"/>
  <c r="AH109" s="1"/>
  <c r="AH103"/>
  <c r="AF99"/>
  <c r="T109"/>
  <c r="V109" s="1"/>
  <c r="V103"/>
  <c r="E103"/>
  <c r="AK100"/>
  <c r="AJ107"/>
  <c r="F107" s="1"/>
  <c r="AK101"/>
  <c r="AJ108"/>
  <c r="M100"/>
  <c r="K107"/>
  <c r="M107" s="1"/>
  <c r="AQ101"/>
  <c r="AP108"/>
  <c r="AE101"/>
  <c r="AC108"/>
  <c r="AE108" s="1"/>
  <c r="S100"/>
  <c r="Q107"/>
  <c r="V101"/>
  <c r="T108"/>
  <c r="V108" s="1"/>
  <c r="M119"/>
  <c r="K117"/>
  <c r="M117" s="1"/>
  <c r="Z106"/>
  <c r="AB106" s="1"/>
  <c r="E109"/>
  <c r="G109" s="1"/>
  <c r="AN88"/>
  <c r="F11"/>
  <c r="Y88"/>
  <c r="S88"/>
  <c r="AH88"/>
  <c r="AO73"/>
  <c r="AK88"/>
  <c r="M88"/>
  <c r="AE88"/>
  <c r="V88"/>
  <c r="G61"/>
  <c r="G63"/>
  <c r="T99"/>
  <c r="V99" s="1"/>
  <c r="T106"/>
  <c r="V106" s="1"/>
  <c r="AC106"/>
  <c r="AE106" s="1"/>
  <c r="F100"/>
  <c r="AJ99"/>
  <c r="K101"/>
  <c r="K108" s="1"/>
  <c r="M90"/>
  <c r="V100"/>
  <c r="H88"/>
  <c r="J90"/>
  <c r="H101"/>
  <c r="H108" s="1"/>
  <c r="G12"/>
  <c r="G89"/>
  <c r="P90"/>
  <c r="O88"/>
  <c r="O101"/>
  <c r="V107"/>
  <c r="AQ88"/>
  <c r="Q99"/>
  <c r="S99" s="1"/>
  <c r="AF106"/>
  <c r="AH106" s="1"/>
  <c r="G111"/>
  <c r="S108"/>
  <c r="W106"/>
  <c r="Y106" s="1"/>
  <c r="E107"/>
  <c r="E100"/>
  <c r="Y99"/>
  <c r="N106"/>
  <c r="AC99"/>
  <c r="AE99" s="1"/>
  <c r="G103"/>
  <c r="F88"/>
  <c r="AP99"/>
  <c r="AQ108"/>
  <c r="F135"/>
  <c r="F132" s="1"/>
  <c r="AN99"/>
  <c r="AI106"/>
  <c r="AB99"/>
  <c r="AH99"/>
  <c r="AK99"/>
  <c r="E11"/>
  <c r="G13"/>
  <c r="G119"/>
  <c r="G117"/>
  <c r="F101" l="1"/>
  <c r="F99" s="1"/>
  <c r="O108"/>
  <c r="O106" s="1"/>
  <c r="Q106"/>
  <c r="S106" s="1"/>
  <c r="S107"/>
  <c r="P108"/>
  <c r="G11"/>
  <c r="P88"/>
  <c r="J88"/>
  <c r="H73"/>
  <c r="AC73"/>
  <c r="K73"/>
  <c r="AI73"/>
  <c r="AF73"/>
  <c r="Q73"/>
  <c r="W73"/>
  <c r="E108"/>
  <c r="E106" s="1"/>
  <c r="G100"/>
  <c r="M101"/>
  <c r="K99"/>
  <c r="M99" s="1"/>
  <c r="M108"/>
  <c r="K106"/>
  <c r="M106" s="1"/>
  <c r="J101"/>
  <c r="H99"/>
  <c r="J99" s="1"/>
  <c r="H106"/>
  <c r="J106" s="1"/>
  <c r="J108"/>
  <c r="E101"/>
  <c r="E99" s="1"/>
  <c r="P106"/>
  <c r="O99"/>
  <c r="P99" s="1"/>
  <c r="P101"/>
  <c r="AQ99"/>
  <c r="E88"/>
  <c r="G90"/>
  <c r="F123"/>
  <c r="AJ122"/>
  <c r="AK122" s="1"/>
  <c r="AP122"/>
  <c r="AQ122" s="1"/>
  <c r="AM122"/>
  <c r="AN122" s="1"/>
  <c r="AK108"/>
  <c r="F108"/>
  <c r="G88" l="1"/>
  <c r="O73"/>
  <c r="G108"/>
  <c r="G99"/>
  <c r="G101"/>
  <c r="F130"/>
  <c r="F127" s="1"/>
  <c r="G127" s="1"/>
  <c r="AQ107"/>
  <c r="AP106"/>
  <c r="AQ106" s="1"/>
  <c r="AK107"/>
  <c r="AJ106"/>
  <c r="AK106" s="1"/>
  <c r="F122"/>
  <c r="G122" s="1"/>
  <c r="G123"/>
  <c r="AN107"/>
  <c r="AM106"/>
  <c r="AN106" s="1"/>
  <c r="G107" l="1"/>
  <c r="F106"/>
  <c r="G106" s="1"/>
  <c r="AG15" i="37" l="1"/>
  <c r="O15"/>
  <c r="AG14"/>
  <c r="X14"/>
  <c r="X15"/>
  <c r="AP15"/>
  <c r="AP14"/>
  <c r="AD14"/>
  <c r="U14"/>
  <c r="AP16"/>
  <c r="AA16"/>
  <c r="X16"/>
  <c r="O16"/>
  <c r="U79" l="1"/>
  <c r="O79"/>
  <c r="L79"/>
  <c r="L71"/>
  <c r="O71"/>
  <c r="AM71"/>
  <c r="Q24" l="1"/>
  <c r="N24"/>
  <c r="N26" l="1"/>
  <c r="AM26"/>
  <c r="AJ26"/>
  <c r="AG26"/>
  <c r="AD26"/>
  <c r="AA26"/>
  <c r="X26"/>
  <c r="U26"/>
  <c r="R26"/>
  <c r="O26"/>
  <c r="Q26" s="1"/>
  <c r="L15" l="1"/>
  <c r="AM16"/>
  <c r="Q16"/>
  <c r="N16"/>
  <c r="O14"/>
  <c r="Q14" s="1"/>
  <c r="Q15" l="1"/>
  <c r="R15"/>
  <c r="T15" s="1"/>
  <c r="AP11"/>
  <c r="AP71"/>
  <c r="F71" s="1"/>
  <c r="O58"/>
  <c r="Q58" s="1"/>
  <c r="R79"/>
  <c r="R77" s="1"/>
  <c r="N79"/>
  <c r="R79" i="35"/>
  <c r="T79" s="1"/>
  <c r="O79"/>
  <c r="L79"/>
  <c r="L64" s="1"/>
  <c r="G80" i="37"/>
  <c r="F80"/>
  <c r="AP79"/>
  <c r="AM79"/>
  <c r="AM77" s="1"/>
  <c r="AJ79"/>
  <c r="AI79"/>
  <c r="AG79"/>
  <c r="AG77" s="1"/>
  <c r="AF79"/>
  <c r="AD79"/>
  <c r="AC79"/>
  <c r="AA79"/>
  <c r="Z79"/>
  <c r="Z77" s="1"/>
  <c r="X79"/>
  <c r="W79"/>
  <c r="U77"/>
  <c r="Q79"/>
  <c r="G79"/>
  <c r="G78"/>
  <c r="F78"/>
  <c r="AP77"/>
  <c r="AO77"/>
  <c r="AN77"/>
  <c r="AL77"/>
  <c r="AK77"/>
  <c r="AJ77"/>
  <c r="AH77"/>
  <c r="AE77"/>
  <c r="AD77"/>
  <c r="AB77"/>
  <c r="AA77"/>
  <c r="Y77"/>
  <c r="X77"/>
  <c r="V77"/>
  <c r="S77"/>
  <c r="P77"/>
  <c r="O77"/>
  <c r="M77"/>
  <c r="L77"/>
  <c r="J77"/>
  <c r="I77"/>
  <c r="G76"/>
  <c r="F76"/>
  <c r="G75"/>
  <c r="F75"/>
  <c r="G74"/>
  <c r="F74"/>
  <c r="F73" s="1"/>
  <c r="AP73"/>
  <c r="AO73"/>
  <c r="AN73"/>
  <c r="AM73"/>
  <c r="AL73"/>
  <c r="AK73"/>
  <c r="AJ73"/>
  <c r="AI73"/>
  <c r="AH73"/>
  <c r="AG73"/>
  <c r="AF73"/>
  <c r="AE73"/>
  <c r="AD73"/>
  <c r="AC73"/>
  <c r="AB73"/>
  <c r="AA73"/>
  <c r="Z73"/>
  <c r="Y73"/>
  <c r="X73"/>
  <c r="W73"/>
  <c r="V73"/>
  <c r="U73"/>
  <c r="S73"/>
  <c r="R73"/>
  <c r="P73"/>
  <c r="O73"/>
  <c r="M73"/>
  <c r="L73"/>
  <c r="J73"/>
  <c r="I73"/>
  <c r="G72"/>
  <c r="G65" s="1"/>
  <c r="F72"/>
  <c r="AI71"/>
  <c r="AF71"/>
  <c r="AC71"/>
  <c r="AC64" s="1"/>
  <c r="Z71"/>
  <c r="W71"/>
  <c r="T71"/>
  <c r="Q71"/>
  <c r="N71"/>
  <c r="G71"/>
  <c r="G69" s="1"/>
  <c r="G70"/>
  <c r="F70"/>
  <c r="AO69"/>
  <c r="AN69"/>
  <c r="AM69"/>
  <c r="AL69"/>
  <c r="AK69"/>
  <c r="AJ69"/>
  <c r="AH69"/>
  <c r="AG69"/>
  <c r="AE69"/>
  <c r="AD69"/>
  <c r="AB69"/>
  <c r="AA69"/>
  <c r="Y69"/>
  <c r="X69"/>
  <c r="V69"/>
  <c r="U69"/>
  <c r="S69"/>
  <c r="R69"/>
  <c r="P69"/>
  <c r="O69"/>
  <c r="M69"/>
  <c r="L69"/>
  <c r="J69"/>
  <c r="I69"/>
  <c r="AR65"/>
  <c r="AQ65"/>
  <c r="AP65"/>
  <c r="AO65"/>
  <c r="AN65"/>
  <c r="AM65"/>
  <c r="AL65"/>
  <c r="AK65"/>
  <c r="AJ65"/>
  <c r="AI65"/>
  <c r="AH65"/>
  <c r="AG65"/>
  <c r="AF65"/>
  <c r="AE65"/>
  <c r="AD65"/>
  <c r="AC65"/>
  <c r="AB65"/>
  <c r="AA65"/>
  <c r="Z65"/>
  <c r="Y65"/>
  <c r="X65"/>
  <c r="W65"/>
  <c r="V65"/>
  <c r="U65"/>
  <c r="S65"/>
  <c r="R65"/>
  <c r="P65"/>
  <c r="O65"/>
  <c r="N65"/>
  <c r="M65"/>
  <c r="L65"/>
  <c r="J65"/>
  <c r="I65"/>
  <c r="AR64"/>
  <c r="AQ64"/>
  <c r="AO64"/>
  <c r="AN64"/>
  <c r="AM64"/>
  <c r="AL64"/>
  <c r="AK64"/>
  <c r="AJ64"/>
  <c r="AI64"/>
  <c r="AH64"/>
  <c r="AE64"/>
  <c r="AF64" s="1"/>
  <c r="AD64"/>
  <c r="AB64"/>
  <c r="AA64"/>
  <c r="Z64"/>
  <c r="Y64"/>
  <c r="X64"/>
  <c r="V64"/>
  <c r="S64"/>
  <c r="P64"/>
  <c r="O64"/>
  <c r="M64"/>
  <c r="L64"/>
  <c r="J64"/>
  <c r="I64"/>
  <c r="AR63"/>
  <c r="AQ63"/>
  <c r="AP63"/>
  <c r="AO63"/>
  <c r="AO62" s="1"/>
  <c r="AN63"/>
  <c r="AM63"/>
  <c r="AL63"/>
  <c r="AK63"/>
  <c r="AJ63"/>
  <c r="AI63"/>
  <c r="AH63"/>
  <c r="AG63"/>
  <c r="AF63"/>
  <c r="AE63"/>
  <c r="AD63"/>
  <c r="AC63"/>
  <c r="AC62" s="1"/>
  <c r="AB63"/>
  <c r="AA63"/>
  <c r="Z63"/>
  <c r="Y63"/>
  <c r="X63"/>
  <c r="W63"/>
  <c r="V63"/>
  <c r="U63"/>
  <c r="S63"/>
  <c r="R63"/>
  <c r="P63"/>
  <c r="O63"/>
  <c r="N63"/>
  <c r="M63"/>
  <c r="L63"/>
  <c r="J63"/>
  <c r="J62" s="1"/>
  <c r="I63"/>
  <c r="G63"/>
  <c r="AR62"/>
  <c r="AQ62"/>
  <c r="AJ62"/>
  <c r="X62"/>
  <c r="L62"/>
  <c r="G59"/>
  <c r="F59"/>
  <c r="F51" s="1"/>
  <c r="AI58"/>
  <c r="Z58"/>
  <c r="G58"/>
  <c r="G50" s="1"/>
  <c r="F58"/>
  <c r="F50" s="1"/>
  <c r="G57"/>
  <c r="F57"/>
  <c r="F49" s="1"/>
  <c r="AP56"/>
  <c r="AO56"/>
  <c r="AN56"/>
  <c r="AM56"/>
  <c r="AL56"/>
  <c r="AK56"/>
  <c r="AJ56"/>
  <c r="AH56"/>
  <c r="AG56"/>
  <c r="AF56"/>
  <c r="AE56"/>
  <c r="AD56"/>
  <c r="AC56"/>
  <c r="AB56"/>
  <c r="AA56"/>
  <c r="Z56"/>
  <c r="Y56"/>
  <c r="X56"/>
  <c r="V56"/>
  <c r="U56"/>
  <c r="T56"/>
  <c r="S56"/>
  <c r="R56"/>
  <c r="P56"/>
  <c r="O56"/>
  <c r="M56"/>
  <c r="L56"/>
  <c r="J56"/>
  <c r="I56"/>
  <c r="G56"/>
  <c r="AR51"/>
  <c r="AQ51"/>
  <c r="AP51"/>
  <c r="AO51"/>
  <c r="AN51"/>
  <c r="AM51"/>
  <c r="AL51"/>
  <c r="AK51"/>
  <c r="AJ51"/>
  <c r="AI51"/>
  <c r="AH51"/>
  <c r="AG51"/>
  <c r="AF51"/>
  <c r="AE51"/>
  <c r="AD51"/>
  <c r="AC51"/>
  <c r="AB51"/>
  <c r="AA51"/>
  <c r="Z51"/>
  <c r="Y51"/>
  <c r="X51"/>
  <c r="W51"/>
  <c r="V51"/>
  <c r="U51"/>
  <c r="T51"/>
  <c r="S51"/>
  <c r="R51"/>
  <c r="Q51"/>
  <c r="P51"/>
  <c r="O51"/>
  <c r="M51"/>
  <c r="L51"/>
  <c r="K51"/>
  <c r="J51"/>
  <c r="I51"/>
  <c r="G51"/>
  <c r="AR50"/>
  <c r="AQ50"/>
  <c r="AP50"/>
  <c r="AO50"/>
  <c r="AN50"/>
  <c r="AM50"/>
  <c r="AL50"/>
  <c r="AK50"/>
  <c r="AJ50"/>
  <c r="AI50"/>
  <c r="AH50"/>
  <c r="AG50"/>
  <c r="AF50"/>
  <c r="AE50"/>
  <c r="AD50"/>
  <c r="AC50"/>
  <c r="AB50"/>
  <c r="AA50"/>
  <c r="Z50"/>
  <c r="Y50"/>
  <c r="X50"/>
  <c r="W50"/>
  <c r="V50"/>
  <c r="U50"/>
  <c r="T50"/>
  <c r="S50"/>
  <c r="R50"/>
  <c r="P50"/>
  <c r="O50"/>
  <c r="M50"/>
  <c r="L50"/>
  <c r="J50"/>
  <c r="I50"/>
  <c r="AR49"/>
  <c r="AQ49"/>
  <c r="AP49"/>
  <c r="AO49"/>
  <c r="AN49"/>
  <c r="AM49"/>
  <c r="AM48" s="1"/>
  <c r="AL49"/>
  <c r="AK49"/>
  <c r="AJ49"/>
  <c r="AI49"/>
  <c r="AI48" s="1"/>
  <c r="AH49"/>
  <c r="AG49"/>
  <c r="AF49"/>
  <c r="AE49"/>
  <c r="AE48" s="1"/>
  <c r="AD49"/>
  <c r="AC49"/>
  <c r="AB49"/>
  <c r="AA49"/>
  <c r="Z49"/>
  <c r="Y49"/>
  <c r="X49"/>
  <c r="W49"/>
  <c r="W48" s="1"/>
  <c r="V49"/>
  <c r="U49"/>
  <c r="T49"/>
  <c r="S49"/>
  <c r="S48" s="1"/>
  <c r="R49"/>
  <c r="P49"/>
  <c r="P48" s="1"/>
  <c r="O49"/>
  <c r="M49"/>
  <c r="M48" s="1"/>
  <c r="L49"/>
  <c r="J49"/>
  <c r="J48" s="1"/>
  <c r="I49"/>
  <c r="G49"/>
  <c r="AQ48"/>
  <c r="AA48"/>
  <c r="G45"/>
  <c r="G36" s="1"/>
  <c r="F45"/>
  <c r="AI44"/>
  <c r="AI35" s="1"/>
  <c r="AF44"/>
  <c r="AC44"/>
  <c r="Z44"/>
  <c r="Z35" s="1"/>
  <c r="W44"/>
  <c r="W35" s="1"/>
  <c r="T44"/>
  <c r="Q44"/>
  <c r="N44"/>
  <c r="K44"/>
  <c r="G44"/>
  <c r="G35" s="1"/>
  <c r="F44"/>
  <c r="AI43"/>
  <c r="AF43"/>
  <c r="AC43"/>
  <c r="Z43"/>
  <c r="Z34" s="1"/>
  <c r="W43"/>
  <c r="T43"/>
  <c r="Q43"/>
  <c r="N43"/>
  <c r="G43"/>
  <c r="F43"/>
  <c r="F34" s="1"/>
  <c r="AP42"/>
  <c r="AO42"/>
  <c r="AN42"/>
  <c r="AM42"/>
  <c r="AL42"/>
  <c r="AK42"/>
  <c r="AJ42"/>
  <c r="AH42"/>
  <c r="AI42" s="1"/>
  <c r="AG42"/>
  <c r="AE42"/>
  <c r="AF42" s="1"/>
  <c r="AD42"/>
  <c r="AB42"/>
  <c r="AC42" s="1"/>
  <c r="AA42"/>
  <c r="Y42"/>
  <c r="X42"/>
  <c r="V42"/>
  <c r="W42" s="1"/>
  <c r="U42"/>
  <c r="S42"/>
  <c r="T42" s="1"/>
  <c r="R42"/>
  <c r="P42"/>
  <c r="Q42" s="1"/>
  <c r="O42"/>
  <c r="M42"/>
  <c r="N42" s="1"/>
  <c r="L42"/>
  <c r="J42"/>
  <c r="I42"/>
  <c r="AR36"/>
  <c r="AQ36"/>
  <c r="AP36"/>
  <c r="AO36"/>
  <c r="AN36"/>
  <c r="AM36"/>
  <c r="AL36"/>
  <c r="AK36"/>
  <c r="AJ36"/>
  <c r="AI36"/>
  <c r="AH36"/>
  <c r="AG36"/>
  <c r="AF36"/>
  <c r="AE36"/>
  <c r="AD36"/>
  <c r="AC36"/>
  <c r="AB36"/>
  <c r="AA36"/>
  <c r="Z36"/>
  <c r="Y36"/>
  <c r="X36"/>
  <c r="W36"/>
  <c r="V36"/>
  <c r="U36"/>
  <c r="S36"/>
  <c r="R36"/>
  <c r="Q36"/>
  <c r="P36"/>
  <c r="O36"/>
  <c r="M36"/>
  <c r="L36"/>
  <c r="J36"/>
  <c r="I36"/>
  <c r="F36"/>
  <c r="AR35"/>
  <c r="AQ35"/>
  <c r="AP35"/>
  <c r="AO35"/>
  <c r="AN35"/>
  <c r="AM35"/>
  <c r="AL35"/>
  <c r="AK35"/>
  <c r="AJ35"/>
  <c r="AH35"/>
  <c r="AG35"/>
  <c r="AE35"/>
  <c r="AD35"/>
  <c r="AC35"/>
  <c r="AB35"/>
  <c r="AA35"/>
  <c r="Y35"/>
  <c r="X35"/>
  <c r="V35"/>
  <c r="U35"/>
  <c r="S35"/>
  <c r="R35"/>
  <c r="P35"/>
  <c r="O35"/>
  <c r="M35"/>
  <c r="L35"/>
  <c r="J35"/>
  <c r="I35"/>
  <c r="AR34"/>
  <c r="AQ34"/>
  <c r="AP34"/>
  <c r="AO34"/>
  <c r="AN34"/>
  <c r="AM34"/>
  <c r="AL34"/>
  <c r="AK34"/>
  <c r="AJ34"/>
  <c r="AI34"/>
  <c r="AH34"/>
  <c r="AG34"/>
  <c r="AE34"/>
  <c r="AD34"/>
  <c r="AC34"/>
  <c r="AB34"/>
  <c r="AA34"/>
  <c r="Y34"/>
  <c r="X34"/>
  <c r="W34"/>
  <c r="V34"/>
  <c r="U34"/>
  <c r="S34"/>
  <c r="R34"/>
  <c r="P34"/>
  <c r="O34"/>
  <c r="M34"/>
  <c r="L34"/>
  <c r="J34"/>
  <c r="I34"/>
  <c r="G34"/>
  <c r="AQ33"/>
  <c r="AA33"/>
  <c r="O33"/>
  <c r="G31"/>
  <c r="F31"/>
  <c r="G30"/>
  <c r="G29" s="1"/>
  <c r="F30"/>
  <c r="F29" s="1"/>
  <c r="AR29"/>
  <c r="AQ29"/>
  <c r="AP29"/>
  <c r="AO29"/>
  <c r="AN29"/>
  <c r="AM29"/>
  <c r="AL29"/>
  <c r="AK29"/>
  <c r="AJ29"/>
  <c r="AH29"/>
  <c r="AG29"/>
  <c r="AF29"/>
  <c r="AE29"/>
  <c r="AD29"/>
  <c r="AC29"/>
  <c r="AB29"/>
  <c r="AA29"/>
  <c r="Z29"/>
  <c r="Y29"/>
  <c r="X29"/>
  <c r="W29"/>
  <c r="V29"/>
  <c r="U29"/>
  <c r="S29"/>
  <c r="R29"/>
  <c r="P29"/>
  <c r="O29"/>
  <c r="M29"/>
  <c r="L29"/>
  <c r="K29"/>
  <c r="J29"/>
  <c r="I29"/>
  <c r="G28"/>
  <c r="F28"/>
  <c r="G27"/>
  <c r="F27"/>
  <c r="AI26"/>
  <c r="AI10" s="1"/>
  <c r="AI82" s="1"/>
  <c r="AF26"/>
  <c r="AC26"/>
  <c r="AC25" s="1"/>
  <c r="Z26"/>
  <c r="K26"/>
  <c r="G26"/>
  <c r="F26"/>
  <c r="AR25"/>
  <c r="AQ25"/>
  <c r="AP25"/>
  <c r="AO25"/>
  <c r="AN25"/>
  <c r="AM25"/>
  <c r="AL25"/>
  <c r="AK25"/>
  <c r="AJ25"/>
  <c r="AH25"/>
  <c r="AI25" s="1"/>
  <c r="AG25"/>
  <c r="AE25"/>
  <c r="AD25"/>
  <c r="AB25"/>
  <c r="AA25"/>
  <c r="Z25"/>
  <c r="Y25"/>
  <c r="X25"/>
  <c r="W25"/>
  <c r="V25"/>
  <c r="U25"/>
  <c r="S25"/>
  <c r="R25"/>
  <c r="P25"/>
  <c r="Q25" s="1"/>
  <c r="O25"/>
  <c r="M25"/>
  <c r="N25" s="1"/>
  <c r="L25"/>
  <c r="J25"/>
  <c r="K25" s="1"/>
  <c r="I25"/>
  <c r="K24"/>
  <c r="G24"/>
  <c r="F24"/>
  <c r="G23"/>
  <c r="F23"/>
  <c r="AR22"/>
  <c r="AQ22"/>
  <c r="AP22"/>
  <c r="AO22"/>
  <c r="AN22"/>
  <c r="AM22"/>
  <c r="AL22"/>
  <c r="AK22"/>
  <c r="AJ22"/>
  <c r="AI22"/>
  <c r="AH22"/>
  <c r="AG22"/>
  <c r="AE22"/>
  <c r="AD22"/>
  <c r="AC22"/>
  <c r="AB22"/>
  <c r="AA22"/>
  <c r="Z22"/>
  <c r="Y22"/>
  <c r="X22"/>
  <c r="V22"/>
  <c r="U22"/>
  <c r="W22" s="1"/>
  <c r="S22"/>
  <c r="R22"/>
  <c r="P22"/>
  <c r="O22"/>
  <c r="M22"/>
  <c r="L22"/>
  <c r="J22"/>
  <c r="I22"/>
  <c r="K22" s="1"/>
  <c r="G20"/>
  <c r="F20"/>
  <c r="K19"/>
  <c r="G19"/>
  <c r="F19"/>
  <c r="G18"/>
  <c r="F18"/>
  <c r="AR17"/>
  <c r="AQ17"/>
  <c r="AP17"/>
  <c r="AO17"/>
  <c r="AN17"/>
  <c r="AM17"/>
  <c r="AL17"/>
  <c r="AK17"/>
  <c r="AJ17"/>
  <c r="AI17"/>
  <c r="AH17"/>
  <c r="AG17"/>
  <c r="AE17"/>
  <c r="AF17" s="1"/>
  <c r="AD17"/>
  <c r="AC17"/>
  <c r="AB17"/>
  <c r="AA17"/>
  <c r="Y17"/>
  <c r="X17"/>
  <c r="V17"/>
  <c r="U17"/>
  <c r="S17"/>
  <c r="R17"/>
  <c r="P17"/>
  <c r="O17"/>
  <c r="M17"/>
  <c r="L17"/>
  <c r="J17"/>
  <c r="I17"/>
  <c r="AD16"/>
  <c r="AD12" s="1"/>
  <c r="K16"/>
  <c r="G16"/>
  <c r="AM15"/>
  <c r="AM13" s="1"/>
  <c r="AJ15"/>
  <c r="AG11"/>
  <c r="AD15"/>
  <c r="AF15" s="1"/>
  <c r="AA15"/>
  <c r="AA11" s="1"/>
  <c r="AA83" s="1"/>
  <c r="Z15"/>
  <c r="Z11" s="1"/>
  <c r="U15"/>
  <c r="U13" s="1"/>
  <c r="N15"/>
  <c r="K15"/>
  <c r="G15"/>
  <c r="AP10"/>
  <c r="AM14"/>
  <c r="AJ14"/>
  <c r="AJ13" s="1"/>
  <c r="AD10"/>
  <c r="AA14"/>
  <c r="AA13" s="1"/>
  <c r="R14"/>
  <c r="R10" s="1"/>
  <c r="L14"/>
  <c r="N14" s="1"/>
  <c r="I14"/>
  <c r="G14"/>
  <c r="AR13"/>
  <c r="AQ13"/>
  <c r="AO13"/>
  <c r="AN13"/>
  <c r="AL13"/>
  <c r="AK13"/>
  <c r="AH13"/>
  <c r="AE13"/>
  <c r="AD13"/>
  <c r="AB13"/>
  <c r="Z13"/>
  <c r="Y13"/>
  <c r="X13"/>
  <c r="V13"/>
  <c r="S13"/>
  <c r="P13"/>
  <c r="M13"/>
  <c r="J13"/>
  <c r="AR12"/>
  <c r="AQ12"/>
  <c r="AQ84" s="1"/>
  <c r="AP12"/>
  <c r="AO12"/>
  <c r="AO84" s="1"/>
  <c r="AN12"/>
  <c r="AM12"/>
  <c r="AM84" s="1"/>
  <c r="AL12"/>
  <c r="AK12"/>
  <c r="AK84" s="1"/>
  <c r="AJ12"/>
  <c r="AI12"/>
  <c r="AI84" s="1"/>
  <c r="AH12"/>
  <c r="AG12"/>
  <c r="AG84" s="1"/>
  <c r="AE12"/>
  <c r="AC12"/>
  <c r="AC84" s="1"/>
  <c r="AB12"/>
  <c r="AA12"/>
  <c r="AA84" s="1"/>
  <c r="Z12"/>
  <c r="Y12"/>
  <c r="Y84" s="1"/>
  <c r="X12"/>
  <c r="V12"/>
  <c r="W12" s="1"/>
  <c r="W84" s="1"/>
  <c r="U12"/>
  <c r="S12"/>
  <c r="R12"/>
  <c r="P12"/>
  <c r="P84" s="1"/>
  <c r="O12"/>
  <c r="M12"/>
  <c r="M84" s="1"/>
  <c r="L12"/>
  <c r="J12"/>
  <c r="I12"/>
  <c r="AR11"/>
  <c r="AR83" s="1"/>
  <c r="AQ11"/>
  <c r="AO11"/>
  <c r="AN11"/>
  <c r="AM11"/>
  <c r="AM83" s="1"/>
  <c r="AL11"/>
  <c r="AK11"/>
  <c r="AJ11"/>
  <c r="AI11"/>
  <c r="AH11"/>
  <c r="AE11"/>
  <c r="AE83" s="1"/>
  <c r="AD11"/>
  <c r="AB11"/>
  <c r="AB83" s="1"/>
  <c r="Y11"/>
  <c r="X11"/>
  <c r="X83" s="1"/>
  <c r="V11"/>
  <c r="S11"/>
  <c r="S83" s="1"/>
  <c r="P11"/>
  <c r="P83" s="1"/>
  <c r="M11"/>
  <c r="L11"/>
  <c r="J11"/>
  <c r="AR10"/>
  <c r="AQ10"/>
  <c r="AQ82" s="1"/>
  <c r="AO10"/>
  <c r="AN10"/>
  <c r="AM10"/>
  <c r="AL10"/>
  <c r="AL82" s="1"/>
  <c r="AK10"/>
  <c r="AJ10"/>
  <c r="AH10"/>
  <c r="AH82" s="1"/>
  <c r="AG10"/>
  <c r="AE10"/>
  <c r="AB10"/>
  <c r="Z10"/>
  <c r="Z82" s="1"/>
  <c r="Y10"/>
  <c r="X10"/>
  <c r="V10"/>
  <c r="V82" s="1"/>
  <c r="U10"/>
  <c r="S10"/>
  <c r="P10"/>
  <c r="O10"/>
  <c r="M10"/>
  <c r="M82" s="1"/>
  <c r="J10"/>
  <c r="J82" s="1"/>
  <c r="AR9"/>
  <c r="AQ9"/>
  <c r="AH9"/>
  <c r="O26" i="35"/>
  <c r="I14"/>
  <c r="K14" s="1"/>
  <c r="O14"/>
  <c r="K26"/>
  <c r="K24"/>
  <c r="K19"/>
  <c r="K16"/>
  <c r="X15"/>
  <c r="X11" s="1"/>
  <c r="AP15"/>
  <c r="I15"/>
  <c r="K15" s="1"/>
  <c r="AP14"/>
  <c r="G80"/>
  <c r="F80"/>
  <c r="AP79"/>
  <c r="AP77" s="1"/>
  <c r="AM79"/>
  <c r="AM77" s="1"/>
  <c r="AJ79"/>
  <c r="AJ64" s="1"/>
  <c r="AG79"/>
  <c r="AG64" s="1"/>
  <c r="AD79"/>
  <c r="AF79" s="1"/>
  <c r="AA79"/>
  <c r="AA77" s="1"/>
  <c r="X79"/>
  <c r="Z79" s="1"/>
  <c r="U79"/>
  <c r="U64" s="1"/>
  <c r="O77"/>
  <c r="N79"/>
  <c r="G79"/>
  <c r="G78"/>
  <c r="F78"/>
  <c r="AO77"/>
  <c r="AN77"/>
  <c r="AL77"/>
  <c r="AK77"/>
  <c r="AJ77"/>
  <c r="AH77"/>
  <c r="AG77"/>
  <c r="AE77"/>
  <c r="AB77"/>
  <c r="Y77"/>
  <c r="X77"/>
  <c r="V77"/>
  <c r="U77"/>
  <c r="S77"/>
  <c r="P77"/>
  <c r="M77"/>
  <c r="L77"/>
  <c r="J77"/>
  <c r="I77"/>
  <c r="G76"/>
  <c r="F76"/>
  <c r="G75"/>
  <c r="F75"/>
  <c r="G74"/>
  <c r="G73" s="1"/>
  <c r="F74"/>
  <c r="AP73"/>
  <c r="AO73"/>
  <c r="AN73"/>
  <c r="AM73"/>
  <c r="AL73"/>
  <c r="AK73"/>
  <c r="AJ73"/>
  <c r="AI73"/>
  <c r="AH73"/>
  <c r="AG73"/>
  <c r="AF73"/>
  <c r="AE73"/>
  <c r="AD73"/>
  <c r="AC73"/>
  <c r="AB73"/>
  <c r="AA73"/>
  <c r="Z73"/>
  <c r="Y73"/>
  <c r="X73"/>
  <c r="W73"/>
  <c r="V73"/>
  <c r="U73"/>
  <c r="S73"/>
  <c r="R73"/>
  <c r="P73"/>
  <c r="O73"/>
  <c r="M73"/>
  <c r="L73"/>
  <c r="J73"/>
  <c r="I73"/>
  <c r="G72"/>
  <c r="F72"/>
  <c r="AI71"/>
  <c r="AF71"/>
  <c r="AC71"/>
  <c r="Z71"/>
  <c r="W71"/>
  <c r="T71"/>
  <c r="Q71"/>
  <c r="N71"/>
  <c r="G71"/>
  <c r="F71"/>
  <c r="H71" s="1"/>
  <c r="G70"/>
  <c r="F70"/>
  <c r="F63" s="1"/>
  <c r="AP69"/>
  <c r="AO69"/>
  <c r="AN69"/>
  <c r="AM69"/>
  <c r="AL69"/>
  <c r="AK69"/>
  <c r="AJ69"/>
  <c r="AH69"/>
  <c r="AI69" s="1"/>
  <c r="AG69"/>
  <c r="AE69"/>
  <c r="AF69" s="1"/>
  <c r="AD69"/>
  <c r="AB69"/>
  <c r="AA69"/>
  <c r="Y69"/>
  <c r="Z69" s="1"/>
  <c r="X69"/>
  <c r="V69"/>
  <c r="W69" s="1"/>
  <c r="U69"/>
  <c r="S69"/>
  <c r="T69" s="1"/>
  <c r="R69"/>
  <c r="P69"/>
  <c r="O69"/>
  <c r="M69"/>
  <c r="N69" s="1"/>
  <c r="L69"/>
  <c r="J69"/>
  <c r="I69"/>
  <c r="AR65"/>
  <c r="AQ65"/>
  <c r="AP65"/>
  <c r="AO65"/>
  <c r="AN65"/>
  <c r="AM65"/>
  <c r="AL65"/>
  <c r="AK65"/>
  <c r="AJ65"/>
  <c r="AI65"/>
  <c r="AH65"/>
  <c r="AG65"/>
  <c r="AF65"/>
  <c r="AE65"/>
  <c r="AD65"/>
  <c r="AC65"/>
  <c r="AB65"/>
  <c r="AA65"/>
  <c r="Z65"/>
  <c r="Y65"/>
  <c r="X65"/>
  <c r="W65"/>
  <c r="V65"/>
  <c r="U65"/>
  <c r="S65"/>
  <c r="R65"/>
  <c r="P65"/>
  <c r="O65"/>
  <c r="N65"/>
  <c r="M65"/>
  <c r="L65"/>
  <c r="J65"/>
  <c r="I65"/>
  <c r="AR64"/>
  <c r="AQ64"/>
  <c r="AP64"/>
  <c r="AO64"/>
  <c r="AN64"/>
  <c r="AL64"/>
  <c r="AK64"/>
  <c r="AH64"/>
  <c r="AE64"/>
  <c r="AD64"/>
  <c r="AB64"/>
  <c r="Y64"/>
  <c r="X64"/>
  <c r="V64"/>
  <c r="S64"/>
  <c r="P64"/>
  <c r="M64"/>
  <c r="J64"/>
  <c r="I64"/>
  <c r="AR63"/>
  <c r="AQ63"/>
  <c r="AP63"/>
  <c r="AP62" s="1"/>
  <c r="AO63"/>
  <c r="AN63"/>
  <c r="AN62" s="1"/>
  <c r="AM63"/>
  <c r="AL63"/>
  <c r="AL62" s="1"/>
  <c r="AK63"/>
  <c r="AJ63"/>
  <c r="AI63"/>
  <c r="AH63"/>
  <c r="AH62" s="1"/>
  <c r="AG63"/>
  <c r="AF63"/>
  <c r="AE63"/>
  <c r="AE62" s="1"/>
  <c r="AD63"/>
  <c r="AD62" s="1"/>
  <c r="AC63"/>
  <c r="AB63"/>
  <c r="AB62" s="1"/>
  <c r="AA63"/>
  <c r="Z63"/>
  <c r="Y63"/>
  <c r="X63"/>
  <c r="X62" s="1"/>
  <c r="W63"/>
  <c r="V63"/>
  <c r="V62" s="1"/>
  <c r="U63"/>
  <c r="S63"/>
  <c r="S62" s="1"/>
  <c r="R63"/>
  <c r="P63"/>
  <c r="P62" s="1"/>
  <c r="O63"/>
  <c r="N63"/>
  <c r="M63"/>
  <c r="L63"/>
  <c r="J63"/>
  <c r="I63"/>
  <c r="I62" s="1"/>
  <c r="AR62"/>
  <c r="AQ62"/>
  <c r="AO62"/>
  <c r="AK62"/>
  <c r="Y62"/>
  <c r="J62"/>
  <c r="G59"/>
  <c r="G51" s="1"/>
  <c r="F59"/>
  <c r="F51" s="1"/>
  <c r="AI58"/>
  <c r="AI50" s="1"/>
  <c r="Z58"/>
  <c r="Z56" s="1"/>
  <c r="Q58"/>
  <c r="G58"/>
  <c r="H58" s="1"/>
  <c r="F58"/>
  <c r="G57"/>
  <c r="G56" s="1"/>
  <c r="F57"/>
  <c r="AP56"/>
  <c r="AO56"/>
  <c r="AN56"/>
  <c r="AM56"/>
  <c r="AL56"/>
  <c r="AK56"/>
  <c r="AJ56"/>
  <c r="AH56"/>
  <c r="AG56"/>
  <c r="AF56"/>
  <c r="AE56"/>
  <c r="AD56"/>
  <c r="AC56"/>
  <c r="AB56"/>
  <c r="AA56"/>
  <c r="Y56"/>
  <c r="X56"/>
  <c r="V56"/>
  <c r="U56"/>
  <c r="T56"/>
  <c r="S56"/>
  <c r="R56"/>
  <c r="P56"/>
  <c r="O56"/>
  <c r="M56"/>
  <c r="L56"/>
  <c r="J56"/>
  <c r="I56"/>
  <c r="AR51"/>
  <c r="AQ51"/>
  <c r="AP51"/>
  <c r="AO51"/>
  <c r="AN51"/>
  <c r="AM51"/>
  <c r="AL51"/>
  <c r="AK51"/>
  <c r="AJ51"/>
  <c r="AI51"/>
  <c r="AH51"/>
  <c r="AG51"/>
  <c r="AF51"/>
  <c r="AE51"/>
  <c r="AD51"/>
  <c r="AC51"/>
  <c r="AB51"/>
  <c r="AA51"/>
  <c r="Z51"/>
  <c r="Y51"/>
  <c r="X51"/>
  <c r="W51"/>
  <c r="V51"/>
  <c r="U51"/>
  <c r="T51"/>
  <c r="S51"/>
  <c r="R51"/>
  <c r="Q51"/>
  <c r="P51"/>
  <c r="O51"/>
  <c r="M51"/>
  <c r="L51"/>
  <c r="K51"/>
  <c r="J51"/>
  <c r="I51"/>
  <c r="AR50"/>
  <c r="AQ50"/>
  <c r="AP50"/>
  <c r="AO50"/>
  <c r="AN50"/>
  <c r="AM50"/>
  <c r="AL50"/>
  <c r="AK50"/>
  <c r="AJ50"/>
  <c r="AH50"/>
  <c r="AG50"/>
  <c r="AF50"/>
  <c r="AE50"/>
  <c r="AD50"/>
  <c r="AC50"/>
  <c r="AB50"/>
  <c r="AA50"/>
  <c r="Z50"/>
  <c r="Y50"/>
  <c r="X50"/>
  <c r="W50"/>
  <c r="V50"/>
  <c r="U50"/>
  <c r="T50"/>
  <c r="S50"/>
  <c r="R50"/>
  <c r="P50"/>
  <c r="O50"/>
  <c r="Q50" s="1"/>
  <c r="M50"/>
  <c r="L50"/>
  <c r="J50"/>
  <c r="I50"/>
  <c r="F50"/>
  <c r="AR49"/>
  <c r="AQ49"/>
  <c r="AP49"/>
  <c r="AO49"/>
  <c r="AN49"/>
  <c r="AM49"/>
  <c r="AL49"/>
  <c r="AK49"/>
  <c r="AJ49"/>
  <c r="AI49"/>
  <c r="AH49"/>
  <c r="AG49"/>
  <c r="AF49"/>
  <c r="AF48" s="1"/>
  <c r="AE49"/>
  <c r="AD49"/>
  <c r="AC49"/>
  <c r="AB49"/>
  <c r="AA49"/>
  <c r="Z49"/>
  <c r="Y49"/>
  <c r="X49"/>
  <c r="W49"/>
  <c r="V49"/>
  <c r="U49"/>
  <c r="T49"/>
  <c r="S49"/>
  <c r="R49"/>
  <c r="P49"/>
  <c r="P48" s="1"/>
  <c r="O49"/>
  <c r="M49"/>
  <c r="M48" s="1"/>
  <c r="L49"/>
  <c r="J49"/>
  <c r="I49"/>
  <c r="G49"/>
  <c r="AN48"/>
  <c r="X48"/>
  <c r="J48"/>
  <c r="G45"/>
  <c r="G36" s="1"/>
  <c r="F45"/>
  <c r="AI44"/>
  <c r="AF44"/>
  <c r="AC44"/>
  <c r="AC35" s="1"/>
  <c r="Z44"/>
  <c r="Z35" s="1"/>
  <c r="W44"/>
  <c r="T44"/>
  <c r="Q44"/>
  <c r="N44"/>
  <c r="K44"/>
  <c r="G44"/>
  <c r="F44"/>
  <c r="AI43"/>
  <c r="AI34" s="1"/>
  <c r="AF43"/>
  <c r="AC43"/>
  <c r="AC34" s="1"/>
  <c r="Z43"/>
  <c r="Z34" s="1"/>
  <c r="W43"/>
  <c r="W34" s="1"/>
  <c r="T43"/>
  <c r="Q43"/>
  <c r="N43"/>
  <c r="K43"/>
  <c r="G43"/>
  <c r="F43"/>
  <c r="F34" s="1"/>
  <c r="AP42"/>
  <c r="AO42"/>
  <c r="AN42"/>
  <c r="AM42"/>
  <c r="AL42"/>
  <c r="AK42"/>
  <c r="AJ42"/>
  <c r="AH42"/>
  <c r="AG42"/>
  <c r="AE42"/>
  <c r="AF42" s="1"/>
  <c r="AD42"/>
  <c r="AB42"/>
  <c r="AA42"/>
  <c r="Y42"/>
  <c r="Z42" s="1"/>
  <c r="X42"/>
  <c r="V42"/>
  <c r="W42" s="1"/>
  <c r="U42"/>
  <c r="S42"/>
  <c r="T42" s="1"/>
  <c r="R42"/>
  <c r="P42"/>
  <c r="O42"/>
  <c r="M42"/>
  <c r="N42" s="1"/>
  <c r="L42"/>
  <c r="J42"/>
  <c r="I42"/>
  <c r="F42"/>
  <c r="AR36"/>
  <c r="AQ36"/>
  <c r="AP36"/>
  <c r="AO36"/>
  <c r="AN36"/>
  <c r="AM36"/>
  <c r="AL36"/>
  <c r="AK36"/>
  <c r="AJ36"/>
  <c r="AI36"/>
  <c r="AH36"/>
  <c r="AG36"/>
  <c r="AF36"/>
  <c r="AE36"/>
  <c r="AD36"/>
  <c r="AC36"/>
  <c r="AB36"/>
  <c r="AA36"/>
  <c r="Z36"/>
  <c r="Y36"/>
  <c r="X36"/>
  <c r="W36"/>
  <c r="V36"/>
  <c r="U36"/>
  <c r="S36"/>
  <c r="R36"/>
  <c r="Q36"/>
  <c r="P36"/>
  <c r="O36"/>
  <c r="M36"/>
  <c r="L36"/>
  <c r="J36"/>
  <c r="I36"/>
  <c r="F36"/>
  <c r="AR35"/>
  <c r="AQ35"/>
  <c r="AP35"/>
  <c r="AO35"/>
  <c r="AN35"/>
  <c r="AM35"/>
  <c r="AL35"/>
  <c r="AK35"/>
  <c r="AJ35"/>
  <c r="AI35"/>
  <c r="AH35"/>
  <c r="AG35"/>
  <c r="AE35"/>
  <c r="AD35"/>
  <c r="AB35"/>
  <c r="AA35"/>
  <c r="Y35"/>
  <c r="X35"/>
  <c r="W35"/>
  <c r="V35"/>
  <c r="U35"/>
  <c r="S35"/>
  <c r="R35"/>
  <c r="P35"/>
  <c r="O35"/>
  <c r="M35"/>
  <c r="L35"/>
  <c r="J35"/>
  <c r="I35"/>
  <c r="F35"/>
  <c r="AR34"/>
  <c r="AR33" s="1"/>
  <c r="AQ34"/>
  <c r="AP34"/>
  <c r="AP33" s="1"/>
  <c r="AO34"/>
  <c r="AN34"/>
  <c r="AN33" s="1"/>
  <c r="AM34"/>
  <c r="AL34"/>
  <c r="AL33" s="1"/>
  <c r="AK34"/>
  <c r="AJ34"/>
  <c r="AJ33" s="1"/>
  <c r="AH34"/>
  <c r="AG34"/>
  <c r="AE34"/>
  <c r="AD34"/>
  <c r="AF34" s="1"/>
  <c r="AB34"/>
  <c r="AB33" s="1"/>
  <c r="AA34"/>
  <c r="Y34"/>
  <c r="Y33" s="1"/>
  <c r="X34"/>
  <c r="X33" s="1"/>
  <c r="V34"/>
  <c r="U34"/>
  <c r="S34"/>
  <c r="S33" s="1"/>
  <c r="R34"/>
  <c r="P34"/>
  <c r="P33" s="1"/>
  <c r="O34"/>
  <c r="M34"/>
  <c r="M33" s="1"/>
  <c r="L34"/>
  <c r="J34"/>
  <c r="I34"/>
  <c r="AQ33"/>
  <c r="AM33"/>
  <c r="AH33"/>
  <c r="V33"/>
  <c r="G31"/>
  <c r="F31"/>
  <c r="G30"/>
  <c r="G29" s="1"/>
  <c r="F30"/>
  <c r="F29" s="1"/>
  <c r="AR29"/>
  <c r="AQ29"/>
  <c r="AP29"/>
  <c r="AO29"/>
  <c r="AN29"/>
  <c r="AM29"/>
  <c r="AL29"/>
  <c r="AK29"/>
  <c r="AJ29"/>
  <c r="AH29"/>
  <c r="AG29"/>
  <c r="AF29"/>
  <c r="AE29"/>
  <c r="AD29"/>
  <c r="AC29"/>
  <c r="AB29"/>
  <c r="AA29"/>
  <c r="Z29"/>
  <c r="Y29"/>
  <c r="X29"/>
  <c r="W29"/>
  <c r="V29"/>
  <c r="U29"/>
  <c r="S29"/>
  <c r="R29"/>
  <c r="P29"/>
  <c r="O29"/>
  <c r="M29"/>
  <c r="L29"/>
  <c r="K29"/>
  <c r="J29"/>
  <c r="I29"/>
  <c r="G28"/>
  <c r="F28"/>
  <c r="G27"/>
  <c r="F27"/>
  <c r="AG26"/>
  <c r="AG25" s="1"/>
  <c r="AF26"/>
  <c r="AC26"/>
  <c r="AC25" s="1"/>
  <c r="Z26"/>
  <c r="G26"/>
  <c r="AR25"/>
  <c r="AQ25"/>
  <c r="AP25"/>
  <c r="AO25"/>
  <c r="AN25"/>
  <c r="AM25"/>
  <c r="AL25"/>
  <c r="AK25"/>
  <c r="AJ25"/>
  <c r="AH25"/>
  <c r="AE25"/>
  <c r="AD25"/>
  <c r="AB25"/>
  <c r="AA25"/>
  <c r="Z25"/>
  <c r="Y25"/>
  <c r="X25"/>
  <c r="W25"/>
  <c r="V25"/>
  <c r="U25"/>
  <c r="S25"/>
  <c r="R25"/>
  <c r="P25"/>
  <c r="M25"/>
  <c r="L25"/>
  <c r="J25"/>
  <c r="I25"/>
  <c r="G24"/>
  <c r="F24"/>
  <c r="G23"/>
  <c r="F23"/>
  <c r="F22" s="1"/>
  <c r="AR22"/>
  <c r="AQ22"/>
  <c r="AP22"/>
  <c r="AO22"/>
  <c r="AN22"/>
  <c r="AM22"/>
  <c r="AL22"/>
  <c r="AK22"/>
  <c r="AJ22"/>
  <c r="AI22"/>
  <c r="AH22"/>
  <c r="AG22"/>
  <c r="AE22"/>
  <c r="AD22"/>
  <c r="AC22"/>
  <c r="AB22"/>
  <c r="AA22"/>
  <c r="Z22"/>
  <c r="Y22"/>
  <c r="X22"/>
  <c r="V22"/>
  <c r="U22"/>
  <c r="S22"/>
  <c r="R22"/>
  <c r="T22" s="1"/>
  <c r="P22"/>
  <c r="O22"/>
  <c r="M22"/>
  <c r="L22"/>
  <c r="J22"/>
  <c r="I22"/>
  <c r="G20"/>
  <c r="F20"/>
  <c r="G19"/>
  <c r="F19"/>
  <c r="G18"/>
  <c r="G17" s="1"/>
  <c r="F18"/>
  <c r="F17" s="1"/>
  <c r="AR17"/>
  <c r="AQ17"/>
  <c r="AP17"/>
  <c r="AO17"/>
  <c r="AN17"/>
  <c r="AM17"/>
  <c r="AL17"/>
  <c r="AK17"/>
  <c r="AJ17"/>
  <c r="AI17"/>
  <c r="AH17"/>
  <c r="AG17"/>
  <c r="AE17"/>
  <c r="AD17"/>
  <c r="AF17" s="1"/>
  <c r="AC17"/>
  <c r="AB17"/>
  <c r="AA17"/>
  <c r="Y17"/>
  <c r="Z17" s="1"/>
  <c r="X17"/>
  <c r="V17"/>
  <c r="W17" s="1"/>
  <c r="U17"/>
  <c r="S17"/>
  <c r="R17"/>
  <c r="P17"/>
  <c r="Q17" s="1"/>
  <c r="O17"/>
  <c r="M17"/>
  <c r="N17" s="1"/>
  <c r="L17"/>
  <c r="J17"/>
  <c r="I17"/>
  <c r="AD16"/>
  <c r="F16" s="1"/>
  <c r="F12" s="1"/>
  <c r="G16"/>
  <c r="AM15"/>
  <c r="AJ15"/>
  <c r="AG15"/>
  <c r="AD15"/>
  <c r="AF15" s="1"/>
  <c r="AC15"/>
  <c r="AC13" s="1"/>
  <c r="AA15"/>
  <c r="Z15"/>
  <c r="U15"/>
  <c r="W15" s="1"/>
  <c r="R15"/>
  <c r="T15" s="1"/>
  <c r="O15"/>
  <c r="O13" s="1"/>
  <c r="L15"/>
  <c r="N15" s="1"/>
  <c r="G15"/>
  <c r="AM14"/>
  <c r="AJ14"/>
  <c r="AJ13" s="1"/>
  <c r="AG14"/>
  <c r="AD14"/>
  <c r="AA14"/>
  <c r="X14"/>
  <c r="U14"/>
  <c r="U13" s="1"/>
  <c r="R14"/>
  <c r="R13" s="1"/>
  <c r="L14"/>
  <c r="L13" s="1"/>
  <c r="G14"/>
  <c r="G13" s="1"/>
  <c r="AR13"/>
  <c r="AQ13"/>
  <c r="AO13"/>
  <c r="AN13"/>
  <c r="AL13"/>
  <c r="AK13"/>
  <c r="AH13"/>
  <c r="AE13"/>
  <c r="AB13"/>
  <c r="Y13"/>
  <c r="X13"/>
  <c r="V13"/>
  <c r="S13"/>
  <c r="P13"/>
  <c r="M13"/>
  <c r="J13"/>
  <c r="AR12"/>
  <c r="AR84" s="1"/>
  <c r="AQ12"/>
  <c r="AP12"/>
  <c r="AP84" s="1"/>
  <c r="AO12"/>
  <c r="AN12"/>
  <c r="AN84" s="1"/>
  <c r="AM12"/>
  <c r="AL12"/>
  <c r="AL84" s="1"/>
  <c r="AK12"/>
  <c r="AJ12"/>
  <c r="AJ84" s="1"/>
  <c r="AI12"/>
  <c r="AH12"/>
  <c r="AH84" s="1"/>
  <c r="AG12"/>
  <c r="AE12"/>
  <c r="AE84" s="1"/>
  <c r="AC12"/>
  <c r="AC84" s="1"/>
  <c r="AB12"/>
  <c r="AA12"/>
  <c r="AA84" s="1"/>
  <c r="Z12"/>
  <c r="Y12"/>
  <c r="Y84" s="1"/>
  <c r="X12"/>
  <c r="V12"/>
  <c r="V84" s="1"/>
  <c r="U12"/>
  <c r="S12"/>
  <c r="S84" s="1"/>
  <c r="R12"/>
  <c r="P12"/>
  <c r="P84" s="1"/>
  <c r="O12"/>
  <c r="O84" s="1"/>
  <c r="M12"/>
  <c r="M84" s="1"/>
  <c r="L12"/>
  <c r="J12"/>
  <c r="J84" s="1"/>
  <c r="I12"/>
  <c r="G12"/>
  <c r="AR11"/>
  <c r="AQ11"/>
  <c r="AQ83" s="1"/>
  <c r="AP11"/>
  <c r="AO11"/>
  <c r="AO83" s="1"/>
  <c r="AN11"/>
  <c r="AM11"/>
  <c r="AL11"/>
  <c r="AL83" s="1"/>
  <c r="AK11"/>
  <c r="AK83" s="1"/>
  <c r="AJ11"/>
  <c r="AI11"/>
  <c r="AH11"/>
  <c r="AG11"/>
  <c r="AE11"/>
  <c r="AE83" s="1"/>
  <c r="AD11"/>
  <c r="AD83" s="1"/>
  <c r="AB11"/>
  <c r="AB83" s="1"/>
  <c r="AA11"/>
  <c r="Y11"/>
  <c r="Y83" s="1"/>
  <c r="V11"/>
  <c r="U11"/>
  <c r="U83" s="1"/>
  <c r="S11"/>
  <c r="R11"/>
  <c r="P11"/>
  <c r="P83" s="1"/>
  <c r="O11"/>
  <c r="M11"/>
  <c r="L11"/>
  <c r="J11"/>
  <c r="AR10"/>
  <c r="AR82" s="1"/>
  <c r="AR81" s="1"/>
  <c r="AQ10"/>
  <c r="AP10"/>
  <c r="AP82" s="1"/>
  <c r="AO10"/>
  <c r="AN10"/>
  <c r="AN82" s="1"/>
  <c r="AM10"/>
  <c r="AL10"/>
  <c r="AL82" s="1"/>
  <c r="AK10"/>
  <c r="AJ10"/>
  <c r="AJ82" s="1"/>
  <c r="AH10"/>
  <c r="AG10"/>
  <c r="AG82" s="1"/>
  <c r="AE10"/>
  <c r="AD10"/>
  <c r="AD82" s="1"/>
  <c r="AC10"/>
  <c r="AB10"/>
  <c r="AB82" s="1"/>
  <c r="AA10"/>
  <c r="Z10"/>
  <c r="Z82" s="1"/>
  <c r="Y10"/>
  <c r="X10"/>
  <c r="X82" s="1"/>
  <c r="V10"/>
  <c r="U10"/>
  <c r="U82" s="1"/>
  <c r="S10"/>
  <c r="R10"/>
  <c r="R82" s="1"/>
  <c r="P10"/>
  <c r="O10"/>
  <c r="O82" s="1"/>
  <c r="M10"/>
  <c r="L10"/>
  <c r="L82" s="1"/>
  <c r="J10"/>
  <c r="G10"/>
  <c r="AR9"/>
  <c r="AQ9"/>
  <c r="AH9"/>
  <c r="V9"/>
  <c r="AP79" i="34"/>
  <c r="AJ15"/>
  <c r="AG15"/>
  <c r="X15"/>
  <c r="O15"/>
  <c r="AP14"/>
  <c r="AG14"/>
  <c r="X14"/>
  <c r="O14"/>
  <c r="AJ14"/>
  <c r="AD14"/>
  <c r="AA14"/>
  <c r="U14"/>
  <c r="R14"/>
  <c r="L14"/>
  <c r="AM14"/>
  <c r="I14"/>
  <c r="Z77" i="35" l="1"/>
  <c r="Z64"/>
  <c r="AG13"/>
  <c r="AM13"/>
  <c r="K25"/>
  <c r="O33"/>
  <c r="AB48"/>
  <c r="AJ48"/>
  <c r="AR48"/>
  <c r="Z62"/>
  <c r="S33" i="37"/>
  <c r="L48"/>
  <c r="R48"/>
  <c r="Z62"/>
  <c r="AB62"/>
  <c r="Q84" i="35"/>
  <c r="K34"/>
  <c r="AA33"/>
  <c r="R33"/>
  <c r="AE33"/>
  <c r="AI42"/>
  <c r="H44"/>
  <c r="M62"/>
  <c r="G65"/>
  <c r="W10" i="37"/>
  <c r="W82" s="1"/>
  <c r="K34"/>
  <c r="AF34"/>
  <c r="T35"/>
  <c r="AE33"/>
  <c r="AI56"/>
  <c r="P62"/>
  <c r="AN62"/>
  <c r="W69"/>
  <c r="Z69"/>
  <c r="AI69"/>
  <c r="G10"/>
  <c r="AJ62" i="35"/>
  <c r="AK33" i="37"/>
  <c r="AM33"/>
  <c r="AO33"/>
  <c r="R9" i="35"/>
  <c r="AL9"/>
  <c r="J82"/>
  <c r="M82"/>
  <c r="P82"/>
  <c r="S82"/>
  <c r="V82"/>
  <c r="Y82"/>
  <c r="Y81" s="1"/>
  <c r="AA82"/>
  <c r="AC82"/>
  <c r="AE82"/>
  <c r="AH82"/>
  <c r="AK82"/>
  <c r="AM82"/>
  <c r="AO82"/>
  <c r="AQ82"/>
  <c r="M83"/>
  <c r="S83"/>
  <c r="V83"/>
  <c r="AC11"/>
  <c r="AF83"/>
  <c r="AH83"/>
  <c r="AJ83"/>
  <c r="AN83"/>
  <c r="AP83"/>
  <c r="AR83"/>
  <c r="I84"/>
  <c r="L84"/>
  <c r="R84"/>
  <c r="U84"/>
  <c r="X84"/>
  <c r="Z84"/>
  <c r="AB84"/>
  <c r="AD12"/>
  <c r="AD84" s="1"/>
  <c r="AD81" s="1"/>
  <c r="AG84"/>
  <c r="AI84"/>
  <c r="AK84"/>
  <c r="AM84"/>
  <c r="AO84"/>
  <c r="AQ84"/>
  <c r="Q15"/>
  <c r="T17"/>
  <c r="K22"/>
  <c r="N22"/>
  <c r="Q22"/>
  <c r="W22"/>
  <c r="AF22"/>
  <c r="H29"/>
  <c r="AD33"/>
  <c r="AF33" s="1"/>
  <c r="I33"/>
  <c r="L33"/>
  <c r="N33" s="1"/>
  <c r="T34"/>
  <c r="AK33"/>
  <c r="AO33"/>
  <c r="N35"/>
  <c r="Q42"/>
  <c r="AC42"/>
  <c r="L48"/>
  <c r="O48"/>
  <c r="R48"/>
  <c r="V48"/>
  <c r="Z48"/>
  <c r="AD48"/>
  <c r="AH48"/>
  <c r="AL48"/>
  <c r="AP48"/>
  <c r="G50"/>
  <c r="H50" s="1"/>
  <c r="U48"/>
  <c r="Y48"/>
  <c r="AC48"/>
  <c r="AG48"/>
  <c r="AK48"/>
  <c r="AO48"/>
  <c r="Q56"/>
  <c r="F56"/>
  <c r="H56" s="1"/>
  <c r="Q69"/>
  <c r="AC69"/>
  <c r="H75"/>
  <c r="V9" i="37"/>
  <c r="AL9"/>
  <c r="L10"/>
  <c r="N10" s="1"/>
  <c r="O82"/>
  <c r="S82"/>
  <c r="AA10"/>
  <c r="AA82" s="1"/>
  <c r="AE82"/>
  <c r="AM82"/>
  <c r="V83"/>
  <c r="AD83"/>
  <c r="AH83"/>
  <c r="AJ83"/>
  <c r="AL83"/>
  <c r="AN83"/>
  <c r="AQ83"/>
  <c r="I84"/>
  <c r="L84"/>
  <c r="O84"/>
  <c r="T12"/>
  <c r="U84"/>
  <c r="X84"/>
  <c r="AB84"/>
  <c r="AE84"/>
  <c r="AJ84"/>
  <c r="AN84"/>
  <c r="AR84"/>
  <c r="L13"/>
  <c r="F14"/>
  <c r="H14" s="1"/>
  <c r="K17"/>
  <c r="Q17"/>
  <c r="T17"/>
  <c r="W17"/>
  <c r="Z17"/>
  <c r="Q22"/>
  <c r="T22"/>
  <c r="AF22"/>
  <c r="H26"/>
  <c r="N34"/>
  <c r="T34"/>
  <c r="AN33"/>
  <c r="K35"/>
  <c r="Q35"/>
  <c r="AF35"/>
  <c r="K42"/>
  <c r="Z42"/>
  <c r="H43"/>
  <c r="AC69"/>
  <c r="AP69"/>
  <c r="N77"/>
  <c r="AF77"/>
  <c r="AJ81" i="35"/>
  <c r="AN81"/>
  <c r="K84"/>
  <c r="H19" i="37"/>
  <c r="N10" i="35"/>
  <c r="T11"/>
  <c r="AF11"/>
  <c r="Q12"/>
  <c r="T84"/>
  <c r="AF12"/>
  <c r="T13"/>
  <c r="AD13"/>
  <c r="AF13" s="1"/>
  <c r="Q13"/>
  <c r="AA13"/>
  <c r="AF25"/>
  <c r="T33"/>
  <c r="Q34"/>
  <c r="U33"/>
  <c r="AG33"/>
  <c r="Q35"/>
  <c r="T35"/>
  <c r="AF35"/>
  <c r="H43"/>
  <c r="Z33"/>
  <c r="S48"/>
  <c r="W48"/>
  <c r="AA48"/>
  <c r="AE48"/>
  <c r="AM48"/>
  <c r="AQ48"/>
  <c r="I48"/>
  <c r="AI56"/>
  <c r="AF62"/>
  <c r="L62"/>
  <c r="AF64"/>
  <c r="G69"/>
  <c r="G64"/>
  <c r="F65"/>
  <c r="F73"/>
  <c r="W77"/>
  <c r="AD77"/>
  <c r="AF77" s="1"/>
  <c r="AI77"/>
  <c r="G77"/>
  <c r="Q77"/>
  <c r="AC77"/>
  <c r="X83"/>
  <c r="AF11" i="37"/>
  <c r="K12"/>
  <c r="W13"/>
  <c r="AF13"/>
  <c r="F16"/>
  <c r="F12" s="1"/>
  <c r="F17"/>
  <c r="N22"/>
  <c r="G22"/>
  <c r="G12"/>
  <c r="J33"/>
  <c r="R33"/>
  <c r="L33"/>
  <c r="X33"/>
  <c r="I33"/>
  <c r="K33" s="1"/>
  <c r="U33"/>
  <c r="AC33"/>
  <c r="AG33"/>
  <c r="J84"/>
  <c r="G42"/>
  <c r="W33"/>
  <c r="AI33"/>
  <c r="I48"/>
  <c r="X48"/>
  <c r="AB48"/>
  <c r="AF48"/>
  <c r="AJ48"/>
  <c r="AN48"/>
  <c r="AR48"/>
  <c r="R84"/>
  <c r="V48"/>
  <c r="Z48"/>
  <c r="AD48"/>
  <c r="AH48"/>
  <c r="AL48"/>
  <c r="AP48"/>
  <c r="Q56"/>
  <c r="I62"/>
  <c r="J83"/>
  <c r="V62"/>
  <c r="AA62"/>
  <c r="AD62"/>
  <c r="AH62"/>
  <c r="AL62"/>
  <c r="N69"/>
  <c r="T69"/>
  <c r="AF69"/>
  <c r="H75"/>
  <c r="AC77"/>
  <c r="F63"/>
  <c r="G77"/>
  <c r="W77"/>
  <c r="AI77"/>
  <c r="W10" i="35"/>
  <c r="W11"/>
  <c r="T12"/>
  <c r="W13"/>
  <c r="AI25"/>
  <c r="Q33"/>
  <c r="F33"/>
  <c r="W33"/>
  <c r="AI33"/>
  <c r="Q48"/>
  <c r="H73"/>
  <c r="N64"/>
  <c r="N62" s="1"/>
  <c r="U62"/>
  <c r="AG62"/>
  <c r="AQ81" i="37"/>
  <c r="AF83"/>
  <c r="F22"/>
  <c r="H29"/>
  <c r="T33"/>
  <c r="AB82"/>
  <c r="AJ82"/>
  <c r="AR82"/>
  <c r="AR81" s="1"/>
  <c r="Y33"/>
  <c r="V84"/>
  <c r="V81" s="1"/>
  <c r="Z84"/>
  <c r="AD33"/>
  <c r="AH84"/>
  <c r="AL84"/>
  <c r="AP33"/>
  <c r="U48"/>
  <c r="Y48"/>
  <c r="AC48"/>
  <c r="AG48"/>
  <c r="AK48"/>
  <c r="AO48"/>
  <c r="F48"/>
  <c r="Y82"/>
  <c r="AK82"/>
  <c r="AI62"/>
  <c r="AM62"/>
  <c r="S84"/>
  <c r="W64"/>
  <c r="W62" s="1"/>
  <c r="F65"/>
  <c r="F69"/>
  <c r="H69" s="1"/>
  <c r="M62"/>
  <c r="Q77"/>
  <c r="Q64"/>
  <c r="L83"/>
  <c r="Q69"/>
  <c r="N64"/>
  <c r="N62" s="1"/>
  <c r="M33"/>
  <c r="N33" s="1"/>
  <c r="G33"/>
  <c r="H44"/>
  <c r="G82"/>
  <c r="AF25"/>
  <c r="G25"/>
  <c r="F25"/>
  <c r="J9"/>
  <c r="N17"/>
  <c r="G17"/>
  <c r="H17" s="1"/>
  <c r="N11"/>
  <c r="N13"/>
  <c r="AM81"/>
  <c r="Q84"/>
  <c r="P82"/>
  <c r="P81" s="1"/>
  <c r="Q12"/>
  <c r="Q10"/>
  <c r="G13"/>
  <c r="O13"/>
  <c r="Q13" s="1"/>
  <c r="R11"/>
  <c r="T11" s="1"/>
  <c r="R13"/>
  <c r="T13" s="1"/>
  <c r="O62"/>
  <c r="Q62" s="1"/>
  <c r="AP64"/>
  <c r="AP62" s="1"/>
  <c r="O48"/>
  <c r="Q48" s="1"/>
  <c r="Q50"/>
  <c r="F56"/>
  <c r="H56" s="1"/>
  <c r="R64"/>
  <c r="T79"/>
  <c r="F79"/>
  <c r="F77" s="1"/>
  <c r="H77" s="1"/>
  <c r="T77"/>
  <c r="T64"/>
  <c r="R64" i="35"/>
  <c r="R62" s="1"/>
  <c r="T62" s="1"/>
  <c r="L83"/>
  <c r="L81" s="1"/>
  <c r="R77"/>
  <c r="T77" s="1"/>
  <c r="J81" i="37"/>
  <c r="AE81"/>
  <c r="Z9"/>
  <c r="Z83"/>
  <c r="Z81" s="1"/>
  <c r="AG9"/>
  <c r="G84"/>
  <c r="S81"/>
  <c r="F10"/>
  <c r="H10" s="1"/>
  <c r="AD84"/>
  <c r="AF12"/>
  <c r="H34"/>
  <c r="AF33"/>
  <c r="AB81"/>
  <c r="AJ81"/>
  <c r="K84"/>
  <c r="T84"/>
  <c r="AI83"/>
  <c r="AI81" s="1"/>
  <c r="N84"/>
  <c r="R82"/>
  <c r="AD82"/>
  <c r="AF82" s="1"/>
  <c r="AD9"/>
  <c r="AP82"/>
  <c r="AP9"/>
  <c r="H50"/>
  <c r="G48"/>
  <c r="H48" s="1"/>
  <c r="AA81"/>
  <c r="AH81"/>
  <c r="AL81"/>
  <c r="Z33"/>
  <c r="AF84"/>
  <c r="U82"/>
  <c r="AG82"/>
  <c r="AO82"/>
  <c r="AK9"/>
  <c r="G11"/>
  <c r="G9" s="1"/>
  <c r="O11"/>
  <c r="O83" s="1"/>
  <c r="Q83" s="1"/>
  <c r="I13"/>
  <c r="K13" s="1"/>
  <c r="AG13"/>
  <c r="AP13"/>
  <c r="V33"/>
  <c r="AH33"/>
  <c r="S62"/>
  <c r="AE62"/>
  <c r="AF62" s="1"/>
  <c r="L82"/>
  <c r="X82"/>
  <c r="X81" s="1"/>
  <c r="AN82"/>
  <c r="AN81" s="1"/>
  <c r="M83"/>
  <c r="N83" s="1"/>
  <c r="AO83"/>
  <c r="AP84"/>
  <c r="S9"/>
  <c r="AA9"/>
  <c r="AE9"/>
  <c r="AI9"/>
  <c r="AM9"/>
  <c r="T10"/>
  <c r="AF10"/>
  <c r="I11"/>
  <c r="U11"/>
  <c r="N12"/>
  <c r="K14"/>
  <c r="F15"/>
  <c r="F13" s="1"/>
  <c r="W15"/>
  <c r="AC15"/>
  <c r="P33"/>
  <c r="Q33" s="1"/>
  <c r="AB33"/>
  <c r="AJ33"/>
  <c r="AR33"/>
  <c r="Q34"/>
  <c r="F35"/>
  <c r="H35" s="1"/>
  <c r="N35"/>
  <c r="H58"/>
  <c r="Y62"/>
  <c r="AK62"/>
  <c r="G64"/>
  <c r="H71"/>
  <c r="G73"/>
  <c r="H73" s="1"/>
  <c r="M9"/>
  <c r="Y9"/>
  <c r="AO9"/>
  <c r="AL33"/>
  <c r="F42"/>
  <c r="H42" s="1"/>
  <c r="Y83"/>
  <c r="Y81" s="1"/>
  <c r="AK83"/>
  <c r="AK81" s="1"/>
  <c r="L9"/>
  <c r="P9"/>
  <c r="X9"/>
  <c r="AB9"/>
  <c r="AJ9"/>
  <c r="AN9"/>
  <c r="I10"/>
  <c r="AC10"/>
  <c r="U64"/>
  <c r="U62" s="1"/>
  <c r="AG64"/>
  <c r="AG83" s="1"/>
  <c r="I10" i="35"/>
  <c r="I82" s="1"/>
  <c r="F14"/>
  <c r="G35"/>
  <c r="H35" s="1"/>
  <c r="J83"/>
  <c r="K35"/>
  <c r="J33"/>
  <c r="G25"/>
  <c r="G22"/>
  <c r="H22" s="1"/>
  <c r="G11"/>
  <c r="G83" s="1"/>
  <c r="J9"/>
  <c r="X81"/>
  <c r="I11"/>
  <c r="F15"/>
  <c r="F11" s="1"/>
  <c r="I13"/>
  <c r="K13" s="1"/>
  <c r="AP9"/>
  <c r="AP13"/>
  <c r="Q82"/>
  <c r="P81"/>
  <c r="F84"/>
  <c r="H12"/>
  <c r="K82"/>
  <c r="J81"/>
  <c r="T82"/>
  <c r="S81"/>
  <c r="N82"/>
  <c r="M81"/>
  <c r="AF82"/>
  <c r="AE81"/>
  <c r="Z13"/>
  <c r="Z11"/>
  <c r="AH81"/>
  <c r="AB81"/>
  <c r="AL81"/>
  <c r="W82"/>
  <c r="AK81"/>
  <c r="AO81"/>
  <c r="AG83"/>
  <c r="AG81" s="1"/>
  <c r="G84"/>
  <c r="N84"/>
  <c r="AF84"/>
  <c r="H17"/>
  <c r="AC33"/>
  <c r="G48"/>
  <c r="AI48"/>
  <c r="K33"/>
  <c r="F13"/>
  <c r="H13" s="1"/>
  <c r="U81"/>
  <c r="AP81"/>
  <c r="U9"/>
  <c r="W9" s="1"/>
  <c r="Y9"/>
  <c r="AG9"/>
  <c r="AO9"/>
  <c r="L9"/>
  <c r="P9"/>
  <c r="X9"/>
  <c r="AB9"/>
  <c r="AJ9"/>
  <c r="AN9"/>
  <c r="Q10"/>
  <c r="N11"/>
  <c r="K12"/>
  <c r="W12"/>
  <c r="W84" s="1"/>
  <c r="O9"/>
  <c r="S9"/>
  <c r="T9" s="1"/>
  <c r="AA9"/>
  <c r="AE9"/>
  <c r="AM9"/>
  <c r="T10"/>
  <c r="AF10"/>
  <c r="Q11"/>
  <c r="N12"/>
  <c r="K17"/>
  <c r="F26"/>
  <c r="AI26"/>
  <c r="AI10" s="1"/>
  <c r="N34"/>
  <c r="G42"/>
  <c r="H42" s="1"/>
  <c r="K42"/>
  <c r="O64"/>
  <c r="AA64"/>
  <c r="AA83" s="1"/>
  <c r="AA81" s="1"/>
  <c r="AM64"/>
  <c r="AM83" s="1"/>
  <c r="AM81" s="1"/>
  <c r="F69"/>
  <c r="H69" s="1"/>
  <c r="N77"/>
  <c r="Q79"/>
  <c r="W79"/>
  <c r="W64" s="1"/>
  <c r="AC79"/>
  <c r="AC64" s="1"/>
  <c r="AC62" s="1"/>
  <c r="AI79"/>
  <c r="AI64" s="1"/>
  <c r="N13"/>
  <c r="M9"/>
  <c r="AC9"/>
  <c r="AK9"/>
  <c r="F49"/>
  <c r="F48" s="1"/>
  <c r="G63"/>
  <c r="G62" s="1"/>
  <c r="F79"/>
  <c r="F64" s="1"/>
  <c r="H64" s="1"/>
  <c r="O25"/>
  <c r="G34"/>
  <c r="AD16" i="34"/>
  <c r="AD12" s="1"/>
  <c r="AQ12"/>
  <c r="AP12"/>
  <c r="AN12"/>
  <c r="AM12"/>
  <c r="AK12"/>
  <c r="AJ12"/>
  <c r="AH12"/>
  <c r="AG12"/>
  <c r="AE12"/>
  <c r="AB12"/>
  <c r="AA12"/>
  <c r="Y12"/>
  <c r="X12"/>
  <c r="V12"/>
  <c r="U12"/>
  <c r="S12"/>
  <c r="R12"/>
  <c r="P12"/>
  <c r="O12"/>
  <c r="M12"/>
  <c r="L12"/>
  <c r="J12"/>
  <c r="I12"/>
  <c r="AQ11"/>
  <c r="AN11"/>
  <c r="AK11"/>
  <c r="AH11"/>
  <c r="AE11"/>
  <c r="AB11"/>
  <c r="Y11"/>
  <c r="V11"/>
  <c r="S11"/>
  <c r="P11"/>
  <c r="M11"/>
  <c r="J11"/>
  <c r="AQ10"/>
  <c r="AN10"/>
  <c r="AK10"/>
  <c r="AH10"/>
  <c r="AE10"/>
  <c r="AB10"/>
  <c r="Y10"/>
  <c r="V10"/>
  <c r="S10"/>
  <c r="P10"/>
  <c r="M10"/>
  <c r="J10"/>
  <c r="AP10"/>
  <c r="AM10"/>
  <c r="AJ10"/>
  <c r="AD10"/>
  <c r="AA10"/>
  <c r="X10"/>
  <c r="U10"/>
  <c r="R10"/>
  <c r="I10"/>
  <c r="H79" i="37" l="1"/>
  <c r="G82" i="35"/>
  <c r="H12" i="37"/>
  <c r="AQ81" i="35"/>
  <c r="AF81"/>
  <c r="AP83" i="37"/>
  <c r="H16"/>
  <c r="V81" i="35"/>
  <c r="AD9"/>
  <c r="AF9" s="1"/>
  <c r="AF9" i="37"/>
  <c r="AI83" i="35"/>
  <c r="AI62"/>
  <c r="AC83"/>
  <c r="AC81" s="1"/>
  <c r="AA62"/>
  <c r="R83"/>
  <c r="T83" s="1"/>
  <c r="N83"/>
  <c r="H25" i="37"/>
  <c r="F84"/>
  <c r="H84" s="1"/>
  <c r="H22"/>
  <c r="L81"/>
  <c r="Q82"/>
  <c r="O9"/>
  <c r="Q9" s="1"/>
  <c r="N9"/>
  <c r="H13"/>
  <c r="R9"/>
  <c r="T9" s="1"/>
  <c r="AP81"/>
  <c r="L86" s="1"/>
  <c r="R62"/>
  <c r="T62" s="1"/>
  <c r="R83"/>
  <c r="T83" s="1"/>
  <c r="F64"/>
  <c r="F62" s="1"/>
  <c r="O81"/>
  <c r="T64" i="35"/>
  <c r="N81"/>
  <c r="G62" i="37"/>
  <c r="U83"/>
  <c r="U81" s="1"/>
  <c r="W11"/>
  <c r="W83" s="1"/>
  <c r="W81" s="1"/>
  <c r="U9"/>
  <c r="W9" s="1"/>
  <c r="I82"/>
  <c r="K10"/>
  <c r="I9"/>
  <c r="K9" s="1"/>
  <c r="AC13"/>
  <c r="AC11"/>
  <c r="AC83" s="1"/>
  <c r="G83"/>
  <c r="AC82"/>
  <c r="I83"/>
  <c r="K83" s="1"/>
  <c r="K11"/>
  <c r="F11"/>
  <c r="H15"/>
  <c r="F82"/>
  <c r="AG62"/>
  <c r="AG81"/>
  <c r="AD81"/>
  <c r="AF81" s="1"/>
  <c r="T82"/>
  <c r="M81"/>
  <c r="N81" s="1"/>
  <c r="Q11"/>
  <c r="AO81"/>
  <c r="N82"/>
  <c r="F33"/>
  <c r="H33" s="1"/>
  <c r="K10" i="35"/>
  <c r="H11"/>
  <c r="G9"/>
  <c r="H15"/>
  <c r="I83"/>
  <c r="K11"/>
  <c r="I9"/>
  <c r="K9" s="1"/>
  <c r="W83"/>
  <c r="W62"/>
  <c r="F25"/>
  <c r="H25" s="1"/>
  <c r="H26"/>
  <c r="Z83"/>
  <c r="Z81" s="1"/>
  <c r="Z9"/>
  <c r="AI82"/>
  <c r="AI81" s="1"/>
  <c r="AI9"/>
  <c r="G81"/>
  <c r="H34"/>
  <c r="G33"/>
  <c r="H33" s="1"/>
  <c r="Q64"/>
  <c r="O62"/>
  <c r="F77"/>
  <c r="H77" s="1"/>
  <c r="AM62"/>
  <c r="F83"/>
  <c r="H83" s="1"/>
  <c r="W81"/>
  <c r="F62"/>
  <c r="H62" s="1"/>
  <c r="Q9"/>
  <c r="H84"/>
  <c r="N9"/>
  <c r="H79"/>
  <c r="F10"/>
  <c r="H48"/>
  <c r="O83"/>
  <c r="O11" i="34"/>
  <c r="U15"/>
  <c r="U11" s="1"/>
  <c r="K86" i="37" l="1"/>
  <c r="Q81"/>
  <c r="AC9"/>
  <c r="R81" i="35"/>
  <c r="T81" s="1"/>
  <c r="H62" i="37"/>
  <c r="F83"/>
  <c r="H83" s="1"/>
  <c r="H64"/>
  <c r="F9"/>
  <c r="H9" s="1"/>
  <c r="H11"/>
  <c r="R81"/>
  <c r="T81" s="1"/>
  <c r="I81"/>
  <c r="K81" s="1"/>
  <c r="K82"/>
  <c r="G81"/>
  <c r="H82"/>
  <c r="AC81"/>
  <c r="K83" i="35"/>
  <c r="I81"/>
  <c r="K81" s="1"/>
  <c r="F9"/>
  <c r="H9" s="1"/>
  <c r="F82"/>
  <c r="H10"/>
  <c r="Q62"/>
  <c r="Q83"/>
  <c r="O81"/>
  <c r="Q81" s="1"/>
  <c r="AP15" i="34"/>
  <c r="AP11" s="1"/>
  <c r="AM15"/>
  <c r="AM11" s="1"/>
  <c r="AJ11"/>
  <c r="AG11"/>
  <c r="AD15"/>
  <c r="AD11" s="1"/>
  <c r="AA15"/>
  <c r="AA11" s="1"/>
  <c r="X11"/>
  <c r="R15"/>
  <c r="R11" s="1"/>
  <c r="L15"/>
  <c r="L11" s="1"/>
  <c r="I15"/>
  <c r="I11" s="1"/>
  <c r="L10"/>
  <c r="AG26"/>
  <c r="AG10" s="1"/>
  <c r="O26"/>
  <c r="J86" i="37" l="1"/>
  <c r="I86"/>
  <c r="F81"/>
  <c r="H81" s="1"/>
  <c r="F81" i="35"/>
  <c r="H81" s="1"/>
  <c r="H82"/>
  <c r="O10" i="34"/>
  <c r="I25"/>
  <c r="L25"/>
  <c r="O25"/>
  <c r="R25"/>
  <c r="U25"/>
  <c r="X25"/>
  <c r="Y25"/>
  <c r="AA25"/>
  <c r="AD25"/>
  <c r="AE25"/>
  <c r="AG25"/>
  <c r="AH25"/>
  <c r="AJ25"/>
  <c r="AM25"/>
  <c r="AP25"/>
  <c r="AG79" l="1"/>
  <c r="X79"/>
  <c r="Z79" s="1"/>
  <c r="O79"/>
  <c r="AM79"/>
  <c r="AJ79"/>
  <c r="AD79"/>
  <c r="AA79"/>
  <c r="U79"/>
  <c r="R79"/>
  <c r="L79"/>
  <c r="AV21"/>
  <c r="AU21"/>
  <c r="AW21" l="1"/>
  <c r="AI26"/>
  <c r="AP22"/>
  <c r="AI22"/>
  <c r="AG17"/>
  <c r="AP13"/>
  <c r="AG13"/>
  <c r="AV79"/>
  <c r="AV71"/>
  <c r="AV58"/>
  <c r="AV43"/>
  <c r="AV26"/>
  <c r="AV23"/>
  <c r="AV20"/>
  <c r="AU58"/>
  <c r="AI79"/>
  <c r="AI71"/>
  <c r="AI58"/>
  <c r="AI50" s="1"/>
  <c r="AI44"/>
  <c r="AI35" s="1"/>
  <c r="AI43"/>
  <c r="AI34" s="1"/>
  <c r="AG42"/>
  <c r="G80"/>
  <c r="F80"/>
  <c r="AU79"/>
  <c r="AC79"/>
  <c r="Z77"/>
  <c r="W79"/>
  <c r="T79"/>
  <c r="Q79"/>
  <c r="N79"/>
  <c r="G79"/>
  <c r="G78"/>
  <c r="F78"/>
  <c r="AO77"/>
  <c r="AN77"/>
  <c r="AM77"/>
  <c r="AL77"/>
  <c r="AK77"/>
  <c r="AJ77"/>
  <c r="AH77"/>
  <c r="AG77"/>
  <c r="AE77"/>
  <c r="AB77"/>
  <c r="AA77"/>
  <c r="Y77"/>
  <c r="X77"/>
  <c r="V77"/>
  <c r="U77"/>
  <c r="S77"/>
  <c r="R77"/>
  <c r="P77"/>
  <c r="O77"/>
  <c r="M77"/>
  <c r="L77"/>
  <c r="J77"/>
  <c r="I77"/>
  <c r="G76"/>
  <c r="F76"/>
  <c r="G75"/>
  <c r="F75"/>
  <c r="G74"/>
  <c r="G73" s="1"/>
  <c r="F74"/>
  <c r="AP73"/>
  <c r="AO73"/>
  <c r="AN73"/>
  <c r="AM73"/>
  <c r="AL73"/>
  <c r="AK73"/>
  <c r="AJ73"/>
  <c r="AI73"/>
  <c r="AH73"/>
  <c r="AG73"/>
  <c r="AF73"/>
  <c r="AE73"/>
  <c r="AD73"/>
  <c r="AC73"/>
  <c r="AB73"/>
  <c r="AA73"/>
  <c r="Z73"/>
  <c r="Y73"/>
  <c r="X73"/>
  <c r="W73"/>
  <c r="V73"/>
  <c r="U73"/>
  <c r="S73"/>
  <c r="R73"/>
  <c r="P73"/>
  <c r="O73"/>
  <c r="M73"/>
  <c r="L73"/>
  <c r="J73"/>
  <c r="I73"/>
  <c r="G72"/>
  <c r="F72"/>
  <c r="AF71"/>
  <c r="AC71"/>
  <c r="Z71"/>
  <c r="W71"/>
  <c r="T71"/>
  <c r="Q71"/>
  <c r="N71"/>
  <c r="G71"/>
  <c r="G70"/>
  <c r="F70"/>
  <c r="AP69"/>
  <c r="AO69"/>
  <c r="AN69"/>
  <c r="AM69"/>
  <c r="AL69"/>
  <c r="AK69"/>
  <c r="AH69"/>
  <c r="AG69"/>
  <c r="AE69"/>
  <c r="AD69"/>
  <c r="AB69"/>
  <c r="AA69"/>
  <c r="Y69"/>
  <c r="X69"/>
  <c r="V69"/>
  <c r="U69"/>
  <c r="S69"/>
  <c r="R69"/>
  <c r="P69"/>
  <c r="O69"/>
  <c r="M69"/>
  <c r="L69"/>
  <c r="J69"/>
  <c r="AV69" s="1"/>
  <c r="I69"/>
  <c r="AU69" s="1"/>
  <c r="AR65"/>
  <c r="AQ65"/>
  <c r="AP65"/>
  <c r="AO65"/>
  <c r="AN65"/>
  <c r="AM65"/>
  <c r="AL65"/>
  <c r="AK65"/>
  <c r="AJ65"/>
  <c r="AI65"/>
  <c r="AH65"/>
  <c r="AG65"/>
  <c r="AF65"/>
  <c r="AE65"/>
  <c r="AD65"/>
  <c r="AC65"/>
  <c r="AB65"/>
  <c r="AA65"/>
  <c r="Z65"/>
  <c r="Y65"/>
  <c r="X65"/>
  <c r="W65"/>
  <c r="V65"/>
  <c r="U65"/>
  <c r="S65"/>
  <c r="R65"/>
  <c r="P65"/>
  <c r="O65"/>
  <c r="N65"/>
  <c r="M65"/>
  <c r="L65"/>
  <c r="J65"/>
  <c r="I65"/>
  <c r="AR64"/>
  <c r="AQ64"/>
  <c r="AP64"/>
  <c r="AO64"/>
  <c r="AN64"/>
  <c r="AM64"/>
  <c r="AL64"/>
  <c r="AK64"/>
  <c r="AH64"/>
  <c r="AG64"/>
  <c r="AE64"/>
  <c r="AB64"/>
  <c r="AA64"/>
  <c r="Y64"/>
  <c r="X64"/>
  <c r="V64"/>
  <c r="U64"/>
  <c r="S64"/>
  <c r="R64"/>
  <c r="P64"/>
  <c r="O64"/>
  <c r="M64"/>
  <c r="J64"/>
  <c r="I64"/>
  <c r="AR63"/>
  <c r="AQ63"/>
  <c r="AP63"/>
  <c r="AO63"/>
  <c r="AN63"/>
  <c r="AM63"/>
  <c r="AL63"/>
  <c r="AK63"/>
  <c r="AJ63"/>
  <c r="AI63"/>
  <c r="AH63"/>
  <c r="AG63"/>
  <c r="AF63"/>
  <c r="AE63"/>
  <c r="AD63"/>
  <c r="AC63"/>
  <c r="AB63"/>
  <c r="AA63"/>
  <c r="Z63"/>
  <c r="Y63"/>
  <c r="X63"/>
  <c r="W63"/>
  <c r="V63"/>
  <c r="U63"/>
  <c r="S63"/>
  <c r="R63"/>
  <c r="P63"/>
  <c r="O63"/>
  <c r="N63"/>
  <c r="M63"/>
  <c r="L63"/>
  <c r="J63"/>
  <c r="I63"/>
  <c r="AR62"/>
  <c r="AQ62"/>
  <c r="G59"/>
  <c r="G51" s="1"/>
  <c r="F59"/>
  <c r="F51" s="1"/>
  <c r="Z58"/>
  <c r="Z50" s="1"/>
  <c r="W50"/>
  <c r="Q58"/>
  <c r="G58"/>
  <c r="F58"/>
  <c r="F50" s="1"/>
  <c r="G57"/>
  <c r="F57"/>
  <c r="AP56"/>
  <c r="AO56"/>
  <c r="AN56"/>
  <c r="AM56"/>
  <c r="AL56"/>
  <c r="AK56"/>
  <c r="AJ56"/>
  <c r="AH56"/>
  <c r="AG56"/>
  <c r="AF56"/>
  <c r="AE56"/>
  <c r="AD56"/>
  <c r="AC56"/>
  <c r="AB56"/>
  <c r="AA56"/>
  <c r="Y56"/>
  <c r="X56"/>
  <c r="V56"/>
  <c r="U56"/>
  <c r="T56"/>
  <c r="S56"/>
  <c r="R56"/>
  <c r="P56"/>
  <c r="O56"/>
  <c r="M56"/>
  <c r="L56"/>
  <c r="J56"/>
  <c r="I56"/>
  <c r="AR51"/>
  <c r="AQ51"/>
  <c r="AP51"/>
  <c r="AO51"/>
  <c r="AN51"/>
  <c r="AM51"/>
  <c r="AL51"/>
  <c r="AK51"/>
  <c r="AJ51"/>
  <c r="AI51"/>
  <c r="AH51"/>
  <c r="AG51"/>
  <c r="AF51"/>
  <c r="AE51"/>
  <c r="AD51"/>
  <c r="AC51"/>
  <c r="AB51"/>
  <c r="AA51"/>
  <c r="Z51"/>
  <c r="Y51"/>
  <c r="X51"/>
  <c r="W51"/>
  <c r="V51"/>
  <c r="U51"/>
  <c r="T51"/>
  <c r="S51"/>
  <c r="R51"/>
  <c r="Q51"/>
  <c r="P51"/>
  <c r="O51"/>
  <c r="M51"/>
  <c r="L51"/>
  <c r="K51"/>
  <c r="J51"/>
  <c r="I51"/>
  <c r="AR50"/>
  <c r="AQ50"/>
  <c r="AP50"/>
  <c r="AO50"/>
  <c r="AN50"/>
  <c r="AM50"/>
  <c r="AL50"/>
  <c r="AK50"/>
  <c r="AJ50"/>
  <c r="AH50"/>
  <c r="AG50"/>
  <c r="AF50"/>
  <c r="AE50"/>
  <c r="AD50"/>
  <c r="AC50"/>
  <c r="AB50"/>
  <c r="AA50"/>
  <c r="Y50"/>
  <c r="X50"/>
  <c r="V50"/>
  <c r="U50"/>
  <c r="T50"/>
  <c r="S50"/>
  <c r="R50"/>
  <c r="P50"/>
  <c r="O50"/>
  <c r="M50"/>
  <c r="L50"/>
  <c r="J50"/>
  <c r="I50"/>
  <c r="AR49"/>
  <c r="AQ49"/>
  <c r="AP49"/>
  <c r="AO49"/>
  <c r="AN49"/>
  <c r="AM49"/>
  <c r="AL49"/>
  <c r="AK49"/>
  <c r="AJ49"/>
  <c r="AI49"/>
  <c r="AH49"/>
  <c r="AG49"/>
  <c r="AF49"/>
  <c r="AE49"/>
  <c r="AD49"/>
  <c r="AC49"/>
  <c r="AB49"/>
  <c r="AA49"/>
  <c r="Z49"/>
  <c r="Y49"/>
  <c r="X49"/>
  <c r="W49"/>
  <c r="V49"/>
  <c r="U49"/>
  <c r="T49"/>
  <c r="S49"/>
  <c r="R49"/>
  <c r="P49"/>
  <c r="O49"/>
  <c r="M49"/>
  <c r="L49"/>
  <c r="J49"/>
  <c r="I49"/>
  <c r="G49"/>
  <c r="G45"/>
  <c r="G36" s="1"/>
  <c r="F45"/>
  <c r="F36" s="1"/>
  <c r="AF44"/>
  <c r="AC44"/>
  <c r="AC35" s="1"/>
  <c r="Z44"/>
  <c r="Z35" s="1"/>
  <c r="W44"/>
  <c r="W35" s="1"/>
  <c r="AV44"/>
  <c r="Q44"/>
  <c r="N44"/>
  <c r="K44"/>
  <c r="AF43"/>
  <c r="AC43"/>
  <c r="AC34" s="1"/>
  <c r="Z43"/>
  <c r="Z34" s="1"/>
  <c r="W43"/>
  <c r="W34" s="1"/>
  <c r="T43"/>
  <c r="O42"/>
  <c r="N43"/>
  <c r="K43"/>
  <c r="G43"/>
  <c r="G34" s="1"/>
  <c r="AP42"/>
  <c r="AO42"/>
  <c r="AN42"/>
  <c r="AM42"/>
  <c r="AL42"/>
  <c r="AK42"/>
  <c r="AJ42"/>
  <c r="AH42"/>
  <c r="AE42"/>
  <c r="AD42"/>
  <c r="AB42"/>
  <c r="AA42"/>
  <c r="Y42"/>
  <c r="V42"/>
  <c r="U42"/>
  <c r="P42"/>
  <c r="M42"/>
  <c r="J42"/>
  <c r="I42"/>
  <c r="AR36"/>
  <c r="AQ36"/>
  <c r="AP36"/>
  <c r="AO36"/>
  <c r="AN36"/>
  <c r="AM36"/>
  <c r="AL36"/>
  <c r="AK36"/>
  <c r="AJ36"/>
  <c r="AI36"/>
  <c r="AH36"/>
  <c r="AG36"/>
  <c r="AF36"/>
  <c r="AE36"/>
  <c r="AD36"/>
  <c r="AC36"/>
  <c r="AB36"/>
  <c r="AA36"/>
  <c r="Z36"/>
  <c r="Y36"/>
  <c r="X36"/>
  <c r="W36"/>
  <c r="V36"/>
  <c r="U36"/>
  <c r="S36"/>
  <c r="R36"/>
  <c r="Q36"/>
  <c r="P36"/>
  <c r="O36"/>
  <c r="M36"/>
  <c r="L36"/>
  <c r="J36"/>
  <c r="I36"/>
  <c r="AR35"/>
  <c r="AQ35"/>
  <c r="AP35"/>
  <c r="AO35"/>
  <c r="AN35"/>
  <c r="AM35"/>
  <c r="AL35"/>
  <c r="AK35"/>
  <c r="AJ35"/>
  <c r="AH35"/>
  <c r="AG35"/>
  <c r="AE35"/>
  <c r="AD35"/>
  <c r="AB35"/>
  <c r="AA35"/>
  <c r="Y35"/>
  <c r="V35"/>
  <c r="U35"/>
  <c r="P35"/>
  <c r="M35"/>
  <c r="J35"/>
  <c r="I35"/>
  <c r="AR34"/>
  <c r="AQ34"/>
  <c r="AP34"/>
  <c r="AO34"/>
  <c r="AN34"/>
  <c r="AM34"/>
  <c r="AL34"/>
  <c r="AK34"/>
  <c r="AJ34"/>
  <c r="AH34"/>
  <c r="AG34"/>
  <c r="AE34"/>
  <c r="AD34"/>
  <c r="AB34"/>
  <c r="AA34"/>
  <c r="Y34"/>
  <c r="V34"/>
  <c r="U34"/>
  <c r="S34"/>
  <c r="R34"/>
  <c r="P34"/>
  <c r="M34"/>
  <c r="L34"/>
  <c r="J34"/>
  <c r="I34"/>
  <c r="AO12"/>
  <c r="AL12"/>
  <c r="AR11"/>
  <c r="AR10"/>
  <c r="AO10"/>
  <c r="AL10"/>
  <c r="G31"/>
  <c r="F31"/>
  <c r="G30"/>
  <c r="G29" s="1"/>
  <c r="F30"/>
  <c r="AR29"/>
  <c r="AQ29"/>
  <c r="AP29"/>
  <c r="AO29"/>
  <c r="AN29"/>
  <c r="AM29"/>
  <c r="AL29"/>
  <c r="AK29"/>
  <c r="AJ29"/>
  <c r="AH29"/>
  <c r="AF29"/>
  <c r="AE29"/>
  <c r="AD29"/>
  <c r="AC29"/>
  <c r="AB29"/>
  <c r="AA29"/>
  <c r="Z29"/>
  <c r="Y29"/>
  <c r="X29"/>
  <c r="W29"/>
  <c r="V29"/>
  <c r="U29"/>
  <c r="S29"/>
  <c r="R29"/>
  <c r="P29"/>
  <c r="O29"/>
  <c r="M29"/>
  <c r="L29"/>
  <c r="K29"/>
  <c r="J29"/>
  <c r="I29"/>
  <c r="G28"/>
  <c r="F28"/>
  <c r="G27"/>
  <c r="F27"/>
  <c r="AF26"/>
  <c r="AC26"/>
  <c r="AC25" s="1"/>
  <c r="Z26"/>
  <c r="Z25" s="1"/>
  <c r="G26"/>
  <c r="AR25"/>
  <c r="AQ25"/>
  <c r="AO25"/>
  <c r="AN25"/>
  <c r="AL25"/>
  <c r="AK25"/>
  <c r="AB25"/>
  <c r="W25"/>
  <c r="V25"/>
  <c r="S25"/>
  <c r="P25"/>
  <c r="M25"/>
  <c r="K25"/>
  <c r="J25"/>
  <c r="G24"/>
  <c r="F24"/>
  <c r="AM22"/>
  <c r="AJ22"/>
  <c r="Z22"/>
  <c r="U22"/>
  <c r="G23"/>
  <c r="AR22"/>
  <c r="AQ22"/>
  <c r="AO22"/>
  <c r="AN22"/>
  <c r="AL22"/>
  <c r="AK22"/>
  <c r="AH22"/>
  <c r="AE22"/>
  <c r="AB22"/>
  <c r="Y22"/>
  <c r="V22"/>
  <c r="S22"/>
  <c r="P22"/>
  <c r="M22"/>
  <c r="J22"/>
  <c r="G20"/>
  <c r="G19"/>
  <c r="F19"/>
  <c r="AM17"/>
  <c r="AV18"/>
  <c r="R17"/>
  <c r="AR17"/>
  <c r="AQ17"/>
  <c r="AO17"/>
  <c r="AN17"/>
  <c r="AL17"/>
  <c r="AK17"/>
  <c r="AH17"/>
  <c r="AE17"/>
  <c r="AB17"/>
  <c r="Y17"/>
  <c r="S17"/>
  <c r="P17"/>
  <c r="M17"/>
  <c r="J17"/>
  <c r="I17"/>
  <c r="G16"/>
  <c r="F16"/>
  <c r="AM13"/>
  <c r="AJ13"/>
  <c r="AF15"/>
  <c r="AA13"/>
  <c r="Z15"/>
  <c r="Z13" s="1"/>
  <c r="T15"/>
  <c r="O13"/>
  <c r="M13"/>
  <c r="L13"/>
  <c r="J13"/>
  <c r="I13"/>
  <c r="G14"/>
  <c r="F14"/>
  <c r="AR13"/>
  <c r="AQ13"/>
  <c r="AO13"/>
  <c r="AN13"/>
  <c r="AL13"/>
  <c r="AK13"/>
  <c r="AH13"/>
  <c r="AE13"/>
  <c r="AB13"/>
  <c r="Y13"/>
  <c r="V13"/>
  <c r="S13"/>
  <c r="P13"/>
  <c r="AR12"/>
  <c r="AO11"/>
  <c r="AL11"/>
  <c r="H75" l="1"/>
  <c r="G12"/>
  <c r="F29"/>
  <c r="H29" s="1"/>
  <c r="G65"/>
  <c r="F73"/>
  <c r="G25"/>
  <c r="J82"/>
  <c r="V33"/>
  <c r="AN62"/>
  <c r="M83"/>
  <c r="G63"/>
  <c r="U17"/>
  <c r="AG22"/>
  <c r="AI25"/>
  <c r="X34"/>
  <c r="X82" s="1"/>
  <c r="L35"/>
  <c r="N35" s="1"/>
  <c r="L17"/>
  <c r="N17" s="1"/>
  <c r="AQ82"/>
  <c r="K17"/>
  <c r="W33"/>
  <c r="I84"/>
  <c r="AA22"/>
  <c r="Y82"/>
  <c r="AO82"/>
  <c r="AG84"/>
  <c r="O34"/>
  <c r="AU34" s="1"/>
  <c r="AL33"/>
  <c r="AE48"/>
  <c r="AK9"/>
  <c r="AW58"/>
  <c r="J83"/>
  <c r="U84"/>
  <c r="AD13"/>
  <c r="AF13" s="1"/>
  <c r="U83"/>
  <c r="O22"/>
  <c r="Q22" s="1"/>
  <c r="AG82"/>
  <c r="AR82"/>
  <c r="P84"/>
  <c r="S84"/>
  <c r="AH84"/>
  <c r="AL84"/>
  <c r="AA33"/>
  <c r="AM33"/>
  <c r="AQ33"/>
  <c r="W42"/>
  <c r="AC42"/>
  <c r="AF42"/>
  <c r="J48"/>
  <c r="S48"/>
  <c r="U48"/>
  <c r="AC48"/>
  <c r="AG48"/>
  <c r="AU50"/>
  <c r="AB62"/>
  <c r="AD64"/>
  <c r="AF64" s="1"/>
  <c r="Q69"/>
  <c r="AC69"/>
  <c r="N64"/>
  <c r="N62" s="1"/>
  <c r="Z64"/>
  <c r="Z62" s="1"/>
  <c r="AV77"/>
  <c r="Q77"/>
  <c r="AC77"/>
  <c r="W64"/>
  <c r="W62" s="1"/>
  <c r="AJ17"/>
  <c r="M48"/>
  <c r="S82"/>
  <c r="AB82"/>
  <c r="K11"/>
  <c r="AL83"/>
  <c r="AQ83"/>
  <c r="O84"/>
  <c r="N13"/>
  <c r="AU20"/>
  <c r="AW20" s="1"/>
  <c r="AV29"/>
  <c r="AR9"/>
  <c r="AK82"/>
  <c r="AN83"/>
  <c r="AP83"/>
  <c r="J33"/>
  <c r="AU43"/>
  <c r="AW43" s="1"/>
  <c r="G44"/>
  <c r="G42" s="1"/>
  <c r="I48"/>
  <c r="R48"/>
  <c r="Z48"/>
  <c r="AD48"/>
  <c r="AU56"/>
  <c r="AI56"/>
  <c r="F56"/>
  <c r="AC64"/>
  <c r="AC62" s="1"/>
  <c r="AI77"/>
  <c r="AW79"/>
  <c r="W22"/>
  <c r="AP33"/>
  <c r="R13"/>
  <c r="T13" s="1"/>
  <c r="X17"/>
  <c r="Z17" s="1"/>
  <c r="AV22"/>
  <c r="AF25"/>
  <c r="AV34"/>
  <c r="AD33"/>
  <c r="O35"/>
  <c r="AF35"/>
  <c r="F43"/>
  <c r="F34" s="1"/>
  <c r="H34" s="1"/>
  <c r="F49"/>
  <c r="F48" s="1"/>
  <c r="P48"/>
  <c r="Y48"/>
  <c r="AK48"/>
  <c r="AM48"/>
  <c r="AO48"/>
  <c r="Q50"/>
  <c r="X48"/>
  <c r="AV56"/>
  <c r="Q56"/>
  <c r="J62"/>
  <c r="I62"/>
  <c r="AV64"/>
  <c r="S62"/>
  <c r="X62"/>
  <c r="Z69"/>
  <c r="F65"/>
  <c r="T77"/>
  <c r="AD77"/>
  <c r="AU77" s="1"/>
  <c r="AF79"/>
  <c r="AI17"/>
  <c r="AW69"/>
  <c r="Q13"/>
  <c r="AM83"/>
  <c r="Z12"/>
  <c r="Z84" s="1"/>
  <c r="AD84"/>
  <c r="U33"/>
  <c r="AC33"/>
  <c r="AA48"/>
  <c r="H58"/>
  <c r="V83"/>
  <c r="P62"/>
  <c r="F63"/>
  <c r="AI12"/>
  <c r="AI84" s="1"/>
  <c r="AI42"/>
  <c r="AI48"/>
  <c r="AV13"/>
  <c r="AU18"/>
  <c r="AW18" s="1"/>
  <c r="AU23"/>
  <c r="AW23" s="1"/>
  <c r="AU44"/>
  <c r="AW44" s="1"/>
  <c r="AU71"/>
  <c r="AW71" s="1"/>
  <c r="AV25"/>
  <c r="L82"/>
  <c r="V82"/>
  <c r="AA82"/>
  <c r="AM82"/>
  <c r="AO9"/>
  <c r="X13"/>
  <c r="G15"/>
  <c r="K15"/>
  <c r="K13" s="1"/>
  <c r="V17"/>
  <c r="AV17" s="1"/>
  <c r="G18"/>
  <c r="G10" s="1"/>
  <c r="T17"/>
  <c r="F26"/>
  <c r="F25" s="1"/>
  <c r="H25" s="1"/>
  <c r="AG29"/>
  <c r="AU29" s="1"/>
  <c r="AM84"/>
  <c r="K34"/>
  <c r="T34"/>
  <c r="AF34"/>
  <c r="AH33"/>
  <c r="AJ33"/>
  <c r="AN33"/>
  <c r="AR33"/>
  <c r="K42"/>
  <c r="Q42"/>
  <c r="Q43"/>
  <c r="Z33"/>
  <c r="AP48"/>
  <c r="O48"/>
  <c r="AQ48"/>
  <c r="AF48"/>
  <c r="W48"/>
  <c r="Q64"/>
  <c r="AA62"/>
  <c r="T69"/>
  <c r="AF69"/>
  <c r="AI69"/>
  <c r="W77"/>
  <c r="AU26"/>
  <c r="AW26" s="1"/>
  <c r="AV15"/>
  <c r="AV50"/>
  <c r="AU15"/>
  <c r="X84"/>
  <c r="AB84"/>
  <c r="AJ84"/>
  <c r="AN84"/>
  <c r="AR84"/>
  <c r="AB83"/>
  <c r="AH83"/>
  <c r="AR83"/>
  <c r="AP84"/>
  <c r="AQ84"/>
  <c r="H73"/>
  <c r="M62"/>
  <c r="R62"/>
  <c r="AE62"/>
  <c r="AM62"/>
  <c r="AI10"/>
  <c r="AI82" s="1"/>
  <c r="G64"/>
  <c r="AI64"/>
  <c r="AI62" s="1"/>
  <c r="AI33"/>
  <c r="G84"/>
  <c r="AH9"/>
  <c r="AN82"/>
  <c r="AN9"/>
  <c r="AE83"/>
  <c r="O17"/>
  <c r="Q17" s="1"/>
  <c r="AC22"/>
  <c r="P33"/>
  <c r="K35"/>
  <c r="I33"/>
  <c r="Y33"/>
  <c r="Y83"/>
  <c r="AJ64"/>
  <c r="AJ62" s="1"/>
  <c r="AJ69"/>
  <c r="N15"/>
  <c r="AP17"/>
  <c r="F20"/>
  <c r="F12" s="1"/>
  <c r="L84"/>
  <c r="AA84"/>
  <c r="AA17"/>
  <c r="R22"/>
  <c r="T22" s="1"/>
  <c r="M33"/>
  <c r="AK33"/>
  <c r="AK83"/>
  <c r="AO33"/>
  <c r="AO83"/>
  <c r="H43"/>
  <c r="T44"/>
  <c r="S42"/>
  <c r="AV42" s="1"/>
  <c r="S35"/>
  <c r="AV35" s="1"/>
  <c r="AP77"/>
  <c r="F79"/>
  <c r="F77" s="1"/>
  <c r="W11"/>
  <c r="U13"/>
  <c r="W13" s="1"/>
  <c r="AE33"/>
  <c r="AB48"/>
  <c r="AJ48"/>
  <c r="AR48"/>
  <c r="AE82"/>
  <c r="M84"/>
  <c r="AE9"/>
  <c r="AA83"/>
  <c r="AI11"/>
  <c r="Y84"/>
  <c r="AK84"/>
  <c r="L22"/>
  <c r="N22" s="1"/>
  <c r="X22"/>
  <c r="AQ9"/>
  <c r="AB33"/>
  <c r="X35"/>
  <c r="AG33"/>
  <c r="L42"/>
  <c r="X42"/>
  <c r="Z42" s="1"/>
  <c r="G50"/>
  <c r="H50" s="1"/>
  <c r="Z56"/>
  <c r="O62"/>
  <c r="V62"/>
  <c r="AH62"/>
  <c r="AL62"/>
  <c r="AP62"/>
  <c r="T64"/>
  <c r="N69"/>
  <c r="F71"/>
  <c r="H71" s="1"/>
  <c r="J84"/>
  <c r="K12"/>
  <c r="V84"/>
  <c r="AD22"/>
  <c r="AF22" s="1"/>
  <c r="N34"/>
  <c r="G22"/>
  <c r="R84"/>
  <c r="T12"/>
  <c r="AD17"/>
  <c r="AF17" s="1"/>
  <c r="AE84"/>
  <c r="F44"/>
  <c r="R42"/>
  <c r="R35"/>
  <c r="R33" s="1"/>
  <c r="L48"/>
  <c r="V48"/>
  <c r="AH48"/>
  <c r="AH82"/>
  <c r="AL82"/>
  <c r="AL48"/>
  <c r="AL9"/>
  <c r="F15"/>
  <c r="F11" s="1"/>
  <c r="Y9"/>
  <c r="Z11"/>
  <c r="AO84"/>
  <c r="Q15"/>
  <c r="W15"/>
  <c r="AC15"/>
  <c r="F18"/>
  <c r="F23"/>
  <c r="F22" s="1"/>
  <c r="AN48"/>
  <c r="G56"/>
  <c r="U62"/>
  <c r="Y62"/>
  <c r="AG62"/>
  <c r="AK62"/>
  <c r="AO62"/>
  <c r="W69"/>
  <c r="G69"/>
  <c r="N77"/>
  <c r="G77"/>
  <c r="I22"/>
  <c r="L64"/>
  <c r="AH81" l="1"/>
  <c r="X33"/>
  <c r="G62"/>
  <c r="AQ81"/>
  <c r="G13"/>
  <c r="G11"/>
  <c r="F10"/>
  <c r="H26"/>
  <c r="L33"/>
  <c r="N33" s="1"/>
  <c r="AN81"/>
  <c r="AF84"/>
  <c r="G17"/>
  <c r="Q34"/>
  <c r="AL81"/>
  <c r="AB9"/>
  <c r="AW29"/>
  <c r="O33"/>
  <c r="AU33" s="1"/>
  <c r="V9"/>
  <c r="O83"/>
  <c r="AU48"/>
  <c r="AD62"/>
  <c r="W83"/>
  <c r="G35"/>
  <c r="G33" s="1"/>
  <c r="Q12"/>
  <c r="Q35"/>
  <c r="X9"/>
  <c r="AU25"/>
  <c r="Q48"/>
  <c r="Q84"/>
  <c r="AW34"/>
  <c r="G48"/>
  <c r="H48" s="1"/>
  <c r="X83"/>
  <c r="X81" s="1"/>
  <c r="Q62"/>
  <c r="AK81"/>
  <c r="J9"/>
  <c r="L9"/>
  <c r="I83"/>
  <c r="K83" s="1"/>
  <c r="T62"/>
  <c r="AW77"/>
  <c r="AW56"/>
  <c r="AU22"/>
  <c r="AW22" s="1"/>
  <c r="H56"/>
  <c r="Z83"/>
  <c r="AM9"/>
  <c r="AF12"/>
  <c r="W12"/>
  <c r="W84" s="1"/>
  <c r="N84"/>
  <c r="AF33"/>
  <c r="K33"/>
  <c r="AG9"/>
  <c r="AW50"/>
  <c r="AW15"/>
  <c r="AF77"/>
  <c r="AV48"/>
  <c r="AW48" s="1"/>
  <c r="Q33"/>
  <c r="AC10"/>
  <c r="AC82" s="1"/>
  <c r="AU13"/>
  <c r="AW13" s="1"/>
  <c r="AU17"/>
  <c r="AW17" s="1"/>
  <c r="AU35"/>
  <c r="AW35" s="1"/>
  <c r="AU42"/>
  <c r="AW42" s="1"/>
  <c r="AW25"/>
  <c r="W17"/>
  <c r="H79"/>
  <c r="H22"/>
  <c r="F84"/>
  <c r="H84" s="1"/>
  <c r="AO81"/>
  <c r="AR81"/>
  <c r="J81"/>
  <c r="AB81"/>
  <c r="N12"/>
  <c r="L62"/>
  <c r="AU64"/>
  <c r="AW64" s="1"/>
  <c r="AV62"/>
  <c r="AM81"/>
  <c r="V81"/>
  <c r="Y81"/>
  <c r="AF62"/>
  <c r="AG83"/>
  <c r="AG81" s="1"/>
  <c r="AI83"/>
  <c r="AI81" s="1"/>
  <c r="F17"/>
  <c r="AC11"/>
  <c r="AC83" s="1"/>
  <c r="AC13"/>
  <c r="F35"/>
  <c r="F33" s="1"/>
  <c r="F42"/>
  <c r="H42" s="1"/>
  <c r="G9"/>
  <c r="G82"/>
  <c r="P82"/>
  <c r="Q10"/>
  <c r="P9"/>
  <c r="K22"/>
  <c r="F13"/>
  <c r="H15"/>
  <c r="S83"/>
  <c r="T11"/>
  <c r="I82"/>
  <c r="I9"/>
  <c r="K10"/>
  <c r="F64"/>
  <c r="F69"/>
  <c r="H69" s="1"/>
  <c r="L83"/>
  <c r="L81" s="1"/>
  <c r="N11"/>
  <c r="M82"/>
  <c r="N10"/>
  <c r="M9"/>
  <c r="N9" s="1"/>
  <c r="U82"/>
  <c r="U81" s="1"/>
  <c r="U9"/>
  <c r="W10"/>
  <c r="W82" s="1"/>
  <c r="R83"/>
  <c r="AJ83"/>
  <c r="AI9"/>
  <c r="T84"/>
  <c r="N42"/>
  <c r="H77"/>
  <c r="S9"/>
  <c r="AA81"/>
  <c r="AA9"/>
  <c r="T42"/>
  <c r="O9"/>
  <c r="O82"/>
  <c r="K84"/>
  <c r="AE81"/>
  <c r="S33"/>
  <c r="T33" s="1"/>
  <c r="T35"/>
  <c r="P83"/>
  <c r="Q83" s="1"/>
  <c r="Q11"/>
  <c r="AC12"/>
  <c r="AC84" s="1"/>
  <c r="AC17"/>
  <c r="AP9"/>
  <c r="AP82"/>
  <c r="AP81" s="1"/>
  <c r="H44"/>
  <c r="O81" l="1"/>
  <c r="H13"/>
  <c r="W9"/>
  <c r="K9"/>
  <c r="H17"/>
  <c r="AU62"/>
  <c r="AW62" s="1"/>
  <c r="H33"/>
  <c r="H35"/>
  <c r="W81"/>
  <c r="AV33"/>
  <c r="AW33" s="1"/>
  <c r="Q9"/>
  <c r="H12"/>
  <c r="N83"/>
  <c r="I81"/>
  <c r="K82"/>
  <c r="R9"/>
  <c r="R82"/>
  <c r="T10"/>
  <c r="Q82"/>
  <c r="P81"/>
  <c r="Z10"/>
  <c r="M81"/>
  <c r="N82"/>
  <c r="AC81"/>
  <c r="F83"/>
  <c r="AD83"/>
  <c r="AF83" s="1"/>
  <c r="AF11"/>
  <c r="AJ82"/>
  <c r="AJ81" s="1"/>
  <c r="AJ9"/>
  <c r="AD9"/>
  <c r="AF9" s="1"/>
  <c r="AD82"/>
  <c r="AF10"/>
  <c r="T83"/>
  <c r="S81"/>
  <c r="H11"/>
  <c r="G83"/>
  <c r="H64"/>
  <c r="F62"/>
  <c r="H62" s="1"/>
  <c r="AC9"/>
  <c r="Q81" l="1"/>
  <c r="H83"/>
  <c r="G81"/>
  <c r="R81"/>
  <c r="T82"/>
  <c r="K81"/>
  <c r="Z9"/>
  <c r="Z82"/>
  <c r="Z81" s="1"/>
  <c r="T9"/>
  <c r="F82"/>
  <c r="F9"/>
  <c r="H9" s="1"/>
  <c r="H10"/>
  <c r="AD81"/>
  <c r="AF81" s="1"/>
  <c r="AF82"/>
  <c r="N81"/>
  <c r="T81" l="1"/>
  <c r="F81"/>
  <c r="H81" s="1"/>
  <c r="H82"/>
  <c r="D7" i="2" l="1"/>
  <c r="D6"/>
  <c r="H25" i="3"/>
  <c r="E25"/>
  <c r="D23"/>
  <c r="K8" i="2"/>
  <c r="Z8"/>
  <c r="Y9"/>
  <c r="B24" i="8"/>
  <c r="D23"/>
  <c r="C22" s="1"/>
  <c r="D22" s="1"/>
  <c r="D21"/>
  <c r="D20"/>
  <c r="D18"/>
  <c r="C17" s="1"/>
  <c r="D17" s="1"/>
  <c r="D16"/>
  <c r="D15"/>
  <c r="D13"/>
  <c r="D12"/>
  <c r="D10"/>
  <c r="D9"/>
  <c r="D7"/>
  <c r="D6"/>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C19" i="8" l="1"/>
  <c r="D19" s="1"/>
  <c r="C5"/>
  <c r="C8"/>
  <c r="D8" s="1"/>
  <c r="C11"/>
  <c r="D11" s="1"/>
  <c r="C14"/>
  <c r="D14" s="1"/>
  <c r="D5"/>
  <c r="D24" l="1"/>
  <c r="C24"/>
  <c r="D3" i="2"/>
  <c r="R14" i="45" l="1"/>
  <c r="R92"/>
  <c r="R102"/>
</calcChain>
</file>

<file path=xl/sharedStrings.xml><?xml version="1.0" encoding="utf-8"?>
<sst xmlns="http://schemas.openxmlformats.org/spreadsheetml/2006/main" count="3206" uniqueCount="530">
  <si>
    <t>№ п/п</t>
  </si>
  <si>
    <t>Источник финансирования</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</si>
  <si>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</si>
  <si>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</si>
  <si>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</si>
  <si>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</si>
  <si>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</si>
  <si>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</si>
  <si>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</si>
  <si>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</si>
  <si>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</si>
  <si>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</si>
  <si>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</si>
  <si>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</si>
  <si>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</si>
  <si>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</si>
  <si>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</si>
  <si>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</si>
  <si>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</si>
  <si>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</si>
  <si>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</si>
  <si>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</si>
  <si>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</si>
  <si>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</si>
  <si>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</si>
  <si>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</si>
  <si>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</si>
  <si>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</si>
  <si>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</si>
  <si>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</si>
  <si>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</si>
  <si>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</si>
  <si>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</si>
  <si>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</si>
  <si>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</si>
  <si>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</si>
  <si>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</si>
  <si>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</si>
  <si>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</si>
  <si>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</si>
  <si>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</si>
  <si>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</si>
  <si>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</si>
  <si>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</si>
  <si>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</si>
  <si>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</si>
  <si>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</si>
  <si>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</si>
  <si>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</si>
  <si>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</si>
  <si>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</si>
  <si>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</si>
  <si>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</si>
  <si>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</si>
  <si>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</si>
  <si>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</si>
  <si>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</si>
  <si>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</si>
  <si>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</si>
  <si>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</si>
  <si>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</si>
  <si>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</si>
  <si>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</si>
  <si>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</si>
  <si>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</si>
  <si>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</si>
  <si>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</si>
  <si>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</si>
  <si>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</si>
  <si>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</si>
  <si>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</si>
  <si>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</si>
  <si>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</si>
  <si>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</si>
  <si>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</si>
  <si>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</si>
  <si>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</si>
  <si>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</si>
  <si>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</si>
  <si>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</si>
  <si>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</si>
  <si>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</si>
  <si>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</si>
  <si>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</si>
  <si>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</si>
  <si>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</si>
  <si>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</si>
  <si>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</si>
  <si>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</si>
  <si>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</si>
  <si>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</si>
  <si>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</si>
  <si>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</si>
  <si>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</si>
  <si>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</si>
  <si>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</si>
  <si>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</si>
  <si>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</si>
  <si>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</si>
  <si>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</si>
  <si>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</si>
  <si>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</si>
  <si>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</si>
  <si>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</si>
  <si>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</si>
  <si>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</si>
  <si>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</si>
  <si>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</si>
  <si>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</si>
  <si>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</si>
  <si>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</si>
  <si>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</si>
  <si>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</si>
  <si>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</si>
  <si>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</si>
  <si>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</si>
  <si>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</si>
  <si>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</si>
  <si>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</si>
  <si>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</si>
  <si>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</si>
  <si>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</si>
  <si>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</si>
  <si>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</si>
  <si>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</si>
  <si>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</si>
  <si>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</si>
  <si>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</si>
  <si>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</si>
  <si>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</si>
  <si>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</si>
  <si>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</si>
  <si>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</si>
  <si>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</si>
  <si>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</si>
  <si>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</si>
  <si>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</si>
  <si>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</si>
  <si>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</si>
  <si>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</si>
  <si>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</si>
  <si>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</si>
  <si>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</si>
  <si>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</si>
  <si>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</si>
  <si>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</si>
  <si>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</si>
  <si>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</si>
  <si>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</si>
  <si>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</si>
  <si>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</si>
  <si>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</si>
  <si>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</si>
  <si>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</si>
  <si>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</si>
  <si>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</si>
  <si>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</si>
  <si>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</si>
  <si>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</si>
  <si>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</si>
  <si>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</si>
  <si>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</si>
  <si>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</si>
  <si>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</si>
  <si>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</si>
  <si>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</si>
  <si>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</si>
  <si>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</si>
  <si>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</si>
  <si>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</si>
  <si>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</si>
  <si>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</si>
  <si>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</si>
  <si>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</si>
  <si>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</si>
  <si>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</si>
  <si>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</si>
  <si>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</si>
  <si>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</si>
  <si>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</si>
  <si>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</si>
  <si>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</si>
  <si>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</si>
  <si>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</si>
  <si>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</si>
  <si>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</si>
  <si>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</si>
  <si>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</si>
  <si>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</si>
  <si>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</si>
  <si>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</si>
  <si>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</si>
  <si>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</si>
  <si>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</si>
  <si>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</si>
  <si>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</si>
  <si>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</si>
  <si>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</si>
  <si>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</si>
  <si>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</si>
  <si>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</si>
  <si>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</si>
  <si>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</si>
  <si>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</si>
  <si>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</si>
  <si>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</si>
  <si>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</si>
  <si>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</si>
  <si>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</si>
  <si>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</si>
  <si>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</si>
  <si>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</si>
  <si>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</si>
  <si>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</si>
  <si>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</si>
  <si>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</si>
  <si>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</si>
  <si>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</si>
  <si>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</si>
  <si>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</si>
  <si>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</si>
  <si>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</si>
  <si>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</si>
  <si>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</si>
  <si>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</si>
  <si>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</si>
  <si>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</si>
  <si>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</si>
  <si>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</si>
  <si>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</si>
  <si>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</si>
  <si>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</si>
  <si>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</si>
  <si>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</si>
  <si>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</si>
  <si>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</si>
  <si>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</si>
  <si>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</si>
  <si>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</si>
  <si>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</si>
  <si>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</si>
  <si>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</si>
  <si>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</si>
  <si>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</si>
  <si>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</si>
  <si>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</si>
  <si>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</si>
  <si>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</si>
  <si>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</si>
  <si>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</si>
  <si>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</si>
  <si>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</si>
  <si>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</si>
  <si>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</si>
  <si>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</si>
  <si>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</si>
  <si>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ВСЕГО по  программе:</t>
  </si>
  <si>
    <t>Федеральный бюджет</t>
  </si>
  <si>
    <t>Организация обеспечения сохранности муниципального имущества (страхование муниципального имущества)</t>
  </si>
  <si>
    <t>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t>
  </si>
  <si>
    <t>И.Н.Назарова</t>
  </si>
  <si>
    <t>Наименование программных мероприятий</t>
  </si>
  <si>
    <t>Целевой показатель, №</t>
  </si>
  <si>
    <t>Объем финансирования всего на год, тыс.руб.</t>
  </si>
  <si>
    <t>План</t>
  </si>
  <si>
    <t>Факт</t>
  </si>
  <si>
    <t>Исполнение, %</t>
  </si>
  <si>
    <t>Подпрограмма I «Создание условий для совершенствования системы муниципального управления»</t>
  </si>
  <si>
    <t>сводно-аналитический отдел администрации города Урай, отдел по учету и отчетности администрации города Урай</t>
  </si>
  <si>
    <t>МАУ МФЦ</t>
  </si>
  <si>
    <t>Подпрограмма III «Развитие муниципальной службы и резерва управленческих кадров»</t>
  </si>
  <si>
    <t>управление по организационным вопросам и кадрам администрации города Урай,
сводно-аналитический отдел администрации города Урай, отдел по учету и отчетности администрации города Урай, Комитет по финансам администрации города Урай</t>
  </si>
  <si>
    <t xml:space="preserve"> Подпрограмма IV «Управление и распоряжение муниципальным имуществом муниципального образования город Урай»</t>
  </si>
  <si>
    <t>Исполнение мероприятия</t>
  </si>
  <si>
    <t>Причина отклонения фактически исполненных расходных обязательств от запланированных</t>
  </si>
  <si>
    <t>не требует финансирования</t>
  </si>
  <si>
    <t>управление по организационным вопросам и кадрам администрации города Урай</t>
  </si>
  <si>
    <t xml:space="preserve">комитет по управлению муниципальным имуществом
администрации города Урай
</t>
  </si>
  <si>
    <t>Проведение конкурса «Лучший работник органов местного самоуправления»</t>
  </si>
  <si>
    <t>-</t>
  </si>
  <si>
    <t>Обеспечение государственной регистрации права собственности муниципального образования городской округ город Урай</t>
  </si>
  <si>
    <t>За отчетный период внесено изменение в перечень объектов, подлежащих  страхованию. Перечень утвержден постановлением администрации города Урай от 05.05.2017 №1199. В перечень вошли  объекты от застройщика ООО «Шаимский ПК5»</t>
  </si>
  <si>
    <t xml:space="preserve">Ответственный исполнитель (соисполнитель) </t>
  </si>
  <si>
    <t>муниципальной программы:</t>
  </si>
  <si>
    <r>
      <t>Согласовано:</t>
    </r>
    <r>
      <rPr>
        <sz val="10"/>
        <color rgb="FF000000"/>
        <rFont val="Arial"/>
        <family val="2"/>
        <charset val="204"/>
      </rPr>
      <t xml:space="preserve"> </t>
    </r>
  </si>
  <si>
    <r>
      <t>Комитет по финансам  администрации города Урай</t>
    </r>
    <r>
      <rPr>
        <sz val="10"/>
        <color rgb="FF000000"/>
        <rFont val="Arial"/>
        <family val="2"/>
        <charset val="204"/>
      </rPr>
      <t xml:space="preserve"> </t>
    </r>
  </si>
  <si>
    <r>
      <t>_________________________</t>
    </r>
    <r>
      <rPr>
        <sz val="10"/>
        <color rgb="FF000000"/>
        <rFont val="Arial"/>
        <family val="2"/>
        <charset val="204"/>
      </rPr>
      <t xml:space="preserve"> </t>
    </r>
  </si>
  <si>
    <t>«___» _____________20__ г.</t>
  </si>
  <si>
    <t>Начальник сводно-аналитического отдела администрации города Урай</t>
  </si>
  <si>
    <t>Начальник  отдела по учету и отчетности администрации города Урай</t>
  </si>
  <si>
    <t>Исполнитель: Назарова Ирина Николаевна</t>
  </si>
  <si>
    <t>тел.:8 (34676) 2-33-30</t>
  </si>
  <si>
    <t>(подпись)</t>
  </si>
  <si>
    <t>Е.М.Погадаева</t>
  </si>
  <si>
    <t>Задача 1. Совершенствование решения вопросов местного самоуправления</t>
  </si>
  <si>
    <t>Организация содержания муниципального жилищного фонда</t>
  </si>
  <si>
    <t xml:space="preserve">Освоение средств за отчетный период не в полном объеме обусловлено наличием вакансий, а также с поздним заключением договора на перевод записей актов гражданского состояния в электронный вид
</t>
  </si>
  <si>
    <t>Освоение средств за отчетный период не в полном объеме обусловлено отказом от участия в семинаре, а также оплата осуществляется в соответствии с фактически сложившимися расходами</t>
  </si>
  <si>
    <t xml:space="preserve">      В рамках контрактов от 15.08.2017 №252/17, от 29.08.2017 №270/17 приобретены ГЗПО, марки, конверты для рассылки присяжным заседателям</t>
  </si>
  <si>
    <t xml:space="preserve">        За 9 месяцев 2017 года  отделом ЗАГС зарегистрировано 1213 записей актов гражданского состояния. Составлено 404 актовых записей о рождении (мальчиков родилось 203 человек, девочек -201 человек, двойни и более 5 человек). Зарегистрировано 240  записей актов о заключении брака, 287 записей о смерти, 182 записи о расторжении брака, 66 записей  об установлении отцовства, 32 записи актов  о перемене имени и 2 записи об усыновлении
      За 9 месяцев 2017 отделом ЗАГС города оказано государственных услуг населению 3792, в электронном виде – 338, оформлено 6244 юридически значимых действий
</t>
  </si>
  <si>
    <t>Освоение средств предусмотрено в 4 квартале 2017 года</t>
  </si>
  <si>
    <t xml:space="preserve">     Количество муниципальных услуг на 01.10.2017 года составляет 43. Предоставление государственных и муниципальных услуг осуществляется в строгом соответствии с административными регламентами. Для  42 муниципальных услуг разработаны и утверждены административные регламенты. 
За 9 месяцев 2017 разработано и утверждено 3 административных регламента. 1 административный регламент  (КУМИ) находится  на стадии разработки.
</t>
  </si>
  <si>
    <t xml:space="preserve">    На территории города Урай постановлением администрации города Урай от 19.08.2011 №2355 утвержден Реестр муниципальных услуг муниципального образования городской округ город Урай (далее – Реестр). Общее количество услуг на 01.10.2017 года составляет 54, в том числе 43 муниципальных  услуги и 11 услуг, предоставляемых муниципальными учреждениями и другими организациями, в которых размещается муниципальное задание (заказ). 
Решением Думы города Урай от 27.09.2012 №79 утвержден перечень услуг, которые являются необходимыми и обязательными для предоставления администрацией города Урай муниципальных  услуг (24 услуги).
Обновление Реестра осуществляется по мере необходимости, с учетом изменения законодательства. За  9 месяцев 2017 года проведено 3 обновления: 15.02.2017, 23.03.2017 и 31.07.2017. Данный Реестр актуализирован и размещен на официальном сайте органов местного самоуправления города Урай.
</t>
  </si>
  <si>
    <t xml:space="preserve">      Сведения об услугах размещены в информационной системе «Реестр государственных и муниципальных услуг (функций) ХМАО-Югры» (далее-РРГУ) и отражены на Едином портале государственных и муниципальных услуг (http://www.gosuslugi.ru/)</t>
  </si>
  <si>
    <t xml:space="preserve">    Обновление информации в РРГУ осуществляется по мере необходимости, с учетом изменения законодательства и утверждения новых муниципальных услуг. За 9 месяцев 2017  актуализация информации в РРГУ была проведена в январе, марте-июне, сентябре-октябре 2017 года ответственными лицами органов администрации  и МКУ по 54 муниципальным услугам</t>
  </si>
  <si>
    <t>Общее количество услуг на 01.10.2017 года составляет 54. Обеспечена возможность предоставления услуг в электронном виде через ЕПГУ по 19 услугам: 14 муниципальным услугам и 5  услугам учреждений</t>
  </si>
  <si>
    <t xml:space="preserve">     Деятельность органов местного самоуправления регулярно освещается в эфире ТРК «Спектр+» и МБУ «Газета «Знамя». Информирование о деятельности органов власти ведется и посредством радиовыпусков на темы городской жизни. На волнах радиостанции «Европа+» радиовыпуски продолжают выходить согласно сетки вещания ТРК «Спектр+» (пять выпусков ежедневно по будням).  
          В эфире ТРК «Спектр+» деятельность органов местного самоуправления  регулярно освещается в информационной программе: «Время Урая», «Время Урая о главном», «Из первых уст» в ходе прямых эфиров и пресс-конференций с участием главы города Урай, его заместителей, начальников отделов и управлений, специалистов администрации, Думы города.
         В средствах массовой информации и в сети Интернет размещена информация о проведении конкурсов на замещение вакантной должности муниципальной службы, положение о порядке проведения конкурса «Лучший работник органов местного самоуправления города Урай». На сайте www.uray.ru представлена полная структура органов власти, официальная информация о главе города Урай, исторические материалы о городе, созданы разделы по всем направлениям деятельности органов власти, разделы «Новости», «Объявления», «Обращения граждан», «Бюджет для граждан», «Госуслуги».     На официальном сайте размещены прямые ссылки на сайты Президента РФ, Правительства Югры, Губернатора и Думы Ханты-Мансийского автономного округа – Югры и территориальной избирательной комиссии, Общероссийского народного фронта и другие полезные ссылки.
В целях повышения информированности населения ежедневно специалистами пресс-службы направляются информационные и новостные материалы о городе Урае в адрес более 20 электронных изданий, таких как: «Накануне.ру», «Ньюспром.Ру», РИЦ «Югра Информ»,  «АиФЮгра», ООО «Югра ТV,  «Радио – Югра», Газета «Новости Югры», «Mangazia», «ЮграТрэвэл», «Ньюсфедпресс», и др. В России и городе Урае 2017 год объявлен  Годом экологии, в Югре - Годом здоровья. Мероприятия в рамках объявленных лет,  находят отражение в информационной картине урайских СМИ</t>
  </si>
  <si>
    <t xml:space="preserve">    Актуализация информационного ресурса (базы данных) содержащего информацию об объектах муниципальной собственности, а также сведений по технической инвентаризации объектов муниципального имущества муниципального образования проводится на постоянной основе в течение года по мере поступления информации</t>
  </si>
  <si>
    <t>Освоение средств за отчетный период не в полном объеме обусловлено переносом сроков отпусков, оплаты стоимости проезда к месту использования отпуска  и обратно,
длительностью проведения конкурсных процедур, наличием экономии, сложившейся при проведении конкурсных процедур</t>
  </si>
  <si>
    <t>В отчетном периоде в действующие муниципальные нормативные правовые акты администрации города Урай внесено 220 изменений и дополнений, принято 52 новых муниципальных нормативных правовых актов администрации города Урай, 34 муниципальных нормативных правовых актов администрации города Урай о признании утратившим силу ранее принятого акта, 26 муниципальных нормативных правовых актов администрации города Урай взамен отмененных
О деятельности органов власти подготовлено 278 информационных сообщения в эфире ТРК «Спектр+». 
В газете «Знамя» опубликовано 235  материала о деятельности исполнительного и представительного органов власти. 
В разделе «Новости» на официальном сайте органов местного самоуправления города Урай  размещено 199  пресс-релизов о деятельности органов власти</t>
  </si>
  <si>
    <t>Через МАУ "МФЦ" в настоящее время оказывается 217 услуг, в том числе 63 федеральные услуги, 111 региональных и 43 муниципальных. За девять месяцев 2017 года оказано услуг по приему, выдаче документов 32543 (в том числе: федеральные - 18057, региональные - 13558 и муниципальные - 928 (в том числе услуги полного цикла - 286)</t>
  </si>
  <si>
    <t>За 9 месяцев 2017 года в сфере муниципальной службы утверждено 5 нормативно-правовых актов, изменено 7 нормативно-правовых актов</t>
  </si>
  <si>
    <t xml:space="preserve">   Критерии оценки эффективности установлены решением Думы города Урай от 28.02.2008 №5. 
    В отчетном периоде изменений в данный документ не вносились
</t>
  </si>
  <si>
    <t>Во II квартале 2017 года специалистами кадровой службы управления по организационным вопросам и кадрам проводились консультации муниципальных служащих по заполнению справок о доходах за 2016 год.   Принято справок о доходах за 2016 год у 169 муниципальных служащих. Аттестовано 14 муниципальных служащих администрации города Урай и органов администрации города Урай</t>
  </si>
  <si>
    <t>За 9 месяцев 2017 года обучено 27 муниципальных служащих органов местного самоуправления города Урай, в т.ч. при проведении семинара по теме «Изменения законодательства в сфере контрактной системы в сфере закупок товаров, работ и услуг для обеспечения государственных и муниципальных нужд с 2017 года»</t>
  </si>
  <si>
    <t xml:space="preserve">     Постановлением  администрации города Урай от 22.12.2016 №3980 утвержден график сдачи документов для государственной  регистрации прав на недвижимое имущество (в отношении объектов коммунальной инфраструктуры, в том числе бесхозяйных объектов в городе Урай).                                                                                                                         Кроме этого  комитетом по управлению муниципальным имуществом администрации города Урай производится регистрация права собственности на  новые объекты, переданные от МКУ «Управление капитального строительства города Урай», прочие  незарегистрированные объекты и др.
За отчетный период зарегистрировано 57 объектов недвижимости</t>
  </si>
  <si>
    <t xml:space="preserve">     В соответствии с постановлением администрации города Урай от 29.12.2016 №4119 «О создании комиссии»                                                                                                                                       
проверено муниципальное имущество по договорам оперативного управления :
 1 кв. 2017 – 2 учреждения (Управление образования города Урай, МБУ «Молодежный центр»), 
 2 кв. 2017 – 2 учреждения (МКУ «Управление капитального строительства города Урай», МБОУ СОШ  №2), 
 3 кв. 2017 – 1 учреждение «МБУ ДО «ДЮСШ «Старт» -инвентаризация объектов освещения
</t>
  </si>
  <si>
    <t xml:space="preserve">В отчетном периоде были заключены договоры на:
- содержание нежилых помещений, находящихся в муниципальной собственности, которые расположены в многоквартирных жилых домах; 
- оплату за обработку лицевых счетов ООО «ПиП»;                                                                                                                                                                                                                                            - оценку объектов оценки;                                                                                                                                                                                                                                                                                                              - выполнение кадастровых работ;
- услуги аудита
</t>
  </si>
  <si>
    <t xml:space="preserve">     В отчетном периоде оцифровано 126 дел постоянного хранения на 25 735 листах; подготовлено 966 архивных справок на социально-правовые, тематические запросы; изготовлено 245 копий с архивных документов на 560 листах  </t>
  </si>
  <si>
    <t xml:space="preserve">     На территории города Урай осуществляет свою деятельность Межведомственная комиссия по охране труда, которая утверждена постановлением администрации города Урай от 19.04.2011 №1077. За 9 месяцев 2017 года проведено 3 заседания комиссии, в ходе которых рассмотрено 15 вопросов:
1) Состояние охраны труда на территории муниципального образования город Урай за 2016 год, исполнение плана мероприятий по улучшению условий труда в 2017 году в органах местного самоуправления и муниципальных учреждениях города Урай 2) Анализ несчастных случаев на производстве с тяжелым и смертельным исходом, происшедших в организациях города Урай за 2016 год
3) Доклады руководителей и специалистов организаций, допустивших случаи тяжелого травматизма на производстве за 4 квартал 2016 года.
4) Контроль за проведением обязательных предварительных (при поступлении на работу) и периодических медицинских осмотров (обследований) работников, занятых на работах с вредными и (или) опасными условиями труда (по итогам 2016 года) в организациях города Урай
5) Порядок предоставления финансового обеспечения  предприятиям г. Урая на реализацию предупредительных мер по сокращению производственного травматизма и профессиональных заболеваний работников и санаторно-курортное лечение работников, занятых на работах с вредными и (или) опасными производственными факторами, в 2017 году
6) Об исполнении протокольных поручений
7) О состоянии производственного травматизма за истекший период 2017  года
8) Доклады руководителей и специалистов организаций, допустивших случаи тяжелого травматизма на производстве за 9 месяцев 2017 года.
9)Информация о состоянии пожарной безопасности в бюджетных организациях города Урай за 9 месяцев 2017 года.
10) Об исполнении протокольных поручений. 
11)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 на 2018 год.
12)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 на 2018 год.
13) Проведение обязательного психиатрического освидетельствования работников, осуществляющих отдельные виды деятельности.
14) О состоянии ВИЧ-инфекции на территории города Урай.
15) Об исполнении протокольных поручений.
1.2.2 Обеспечение деятельности в сфере трудовых отношений и государственного управления охраной труда        На территории города Урай осуществляет свою деятельность Межведомственная комиссия по охране труда, которая утверждена постановлением администрации города Урай от 19.04.2011 №1077. За 3 квартала 2017 года проведено 3 заседания комиссии, в ходе которых рассмотрено 15 вопросов:
1) Состояние охраны труда на территории муниципального образования город Урай за 2016 год, исполнение плана мероприятий по улучшению условий труда в 2016 году в органах местного самоуправления и муниципальных учреждениях города Урай.
2) Анализ несчастных случаев на производстве с тяжелым и смертельным исходом, происшедших в организациях города Урай за 2016 год
3) Доклады руководителей и специалистов организаций, допустивших случаи тяжелого травматизма на производстве за 4 квартал 2016 года.
4) Контроль за проведением обязательных предварительных (при поступлении на работу) и периодических медицинских осмотров (обследований) работников, занятых на работах с вредными и (или) опасными условиями труда (по итогам 2016 года) в организациях города Урай
5) Порядок предоставления финансового обеспечения  предприятиям г. Урая на реализацию предупредительных мер по сокращению производственного травматизма и профессиональных заболеваний работников и санаторно-курортное лечение работников, занятых на работах с вредными и (или) опасными производственными факторами, в 2017 году
6) Об исполнении протокольных поручений
7) О состоянии производственного травматизма за истекший период 2017  года
8) Доклады руководителей и специалистов организаций, допустивших случаи тяжелого травматизма на производстве за 1 квартал 2017 года.
9)Информация о состоянии пожарной безопасности в бюджетных организациях города Урай за 1 полугодие 2017 года.
10) Об исполнении протокольных поручений. 
11)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 на 2018 год.
12)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 на 2018 год.
13) Проведение обязательного психиатрического освидетельствования работников, осуществляющих отдельные виды деятельности.
14) О состоянии ВИЧ-инфекции на территории города Урай.
15) Об исполнении протокольных поручений.
</t>
  </si>
  <si>
    <t xml:space="preserve">     За отчетный период заключены 25 муниципальных контрактов на содержание муниципального жилого фонда</t>
  </si>
  <si>
    <t>Комплексный план (сетевой график) реализации  финансовых средств  муниципальной программы "Совершенствование и развитие муниципального управления в г.Урай" на 2018-2030 годы       на 2018 год</t>
  </si>
  <si>
    <t xml:space="preserve">Цель 1. Совершенствование муниципального управления,  повышение его эффективности </t>
  </si>
  <si>
    <t>1.1.1.1</t>
  </si>
  <si>
    <t>Обеспечение деятельности  исполнительно-распорядительного органа (администрация города Урай) и исполнение переданных государственных полномочий органами местного самоуправления</t>
  </si>
  <si>
    <t xml:space="preserve">сводно-аналитический отдел администрации города Урай, отдел по учету и отчетности администрации города Урай,  отдел опеки и попечительства администрации города Урай,
МКУ «УЖКХ города Урай»
</t>
  </si>
  <si>
    <t xml:space="preserve">1.1.1, 1.1.2,
1.1.4, 1.1.5
</t>
  </si>
  <si>
    <t>1.1.1.2.</t>
  </si>
  <si>
    <t>Обеспечение деятельности МКУ «УМТО города Урай»</t>
  </si>
  <si>
    <t>МКУ «УМТО города Урай»</t>
  </si>
  <si>
    <t>1.1.1</t>
  </si>
  <si>
    <t>1.1.1.3</t>
  </si>
  <si>
    <t>Внедрение проектной деятельности в органах местного самоуправления города Урай</t>
  </si>
  <si>
    <t>управление экономики, анализа и прогнозирования администрации города Урай, органы местного самоуправления</t>
  </si>
  <si>
    <t>1.1.1.4</t>
  </si>
  <si>
    <t>Обеспечение исполнения гарантий, предоставляемых  муниципальным служащим по выплате муниципальной пенсии</t>
  </si>
  <si>
    <t>1.1.7</t>
  </si>
  <si>
    <t>1.1.1.5.</t>
  </si>
  <si>
    <t>Организация общественных работ для временного трудоустройства незанятых трудовой деятельностью и безработных граждан</t>
  </si>
  <si>
    <t>сводно-аналитический отдел администрации города Урай, МКУ «УМТО города Урай», отдел по учету и отчетности администрации города Урай, муниципальное бюджетное учреждение «Молодежный центр»</t>
  </si>
  <si>
    <t>1.1.6</t>
  </si>
  <si>
    <t>1.1.1.6.</t>
  </si>
  <si>
    <t>Осуществление выплат согласно Положению о порядке предоставления  мер социальной поддержки и размерах возмещения расходов гражданам, удостоенным звания «Почетный гражданин города Урай»</t>
  </si>
  <si>
    <t>1.1.8</t>
  </si>
  <si>
    <t>Задача 2. Совершенствование предоставления государственных и муниципальных услуг</t>
  </si>
  <si>
    <t>Подпрограмма II «Предоставление государственных и муниципальных услуг»</t>
  </si>
  <si>
    <t>1.1.3</t>
  </si>
  <si>
    <t>1.2.1.1</t>
  </si>
  <si>
    <t>Разработка (актуализация) административных регламентов предоставления муниципальных услуг в муниципальном образовании городской округ город Урай и размещение (актуализация) сведений о муниципальных услугах в Реестре государственных и муниципальных услуг (функций) Ханты-Мансийского автономного округа – Югры</t>
  </si>
  <si>
    <t>органы администрации города Урай, предоставляющие муниципальные услуги, МКУ «УГЗиП города Урай»,  МАУ МФЦ</t>
  </si>
  <si>
    <t>1.2.2</t>
  </si>
  <si>
    <t>1.2.1.2</t>
  </si>
  <si>
    <t>Предоставление муниципальных услуг и государственных услуг при осуществлении отдельных государственных полномочий, переданных федеральными законами и законами  Ханты-Мансийского автономного округа – Югры</t>
  </si>
  <si>
    <t>органы администрации города Урай, предоставляющие муниципальные услуги, МКУ «УГЗиП  города Урай», МАУ МФЦ</t>
  </si>
  <si>
    <t>1.2.1, 1.2.4</t>
  </si>
  <si>
    <t>1.2.1.3</t>
  </si>
  <si>
    <t>Увеличение  количества услуг, получаемых гражданами в электронной форме</t>
  </si>
  <si>
    <t>органы администрации города Урай, предоставляющие муниципальные услуги, МКУ «УГЗиП города Урай», МАУ МФЦ</t>
  </si>
  <si>
    <t>1.2.3</t>
  </si>
  <si>
    <t>1.2.1.4</t>
  </si>
  <si>
    <t>Привлечение заявителей к получению услуг в электронной форме через Единый портал государственных и муниципальных услуг</t>
  </si>
  <si>
    <t>1.2.1.5</t>
  </si>
  <si>
    <t>Проведение социологического опроса по удовлетворенности граждан предоставлением муниципальных услуг</t>
  </si>
  <si>
    <t>отдел по работе с обращениями граждан администрации города Урай, управление экономики, анализа и прогнозирования</t>
  </si>
  <si>
    <t>1.2.1</t>
  </si>
  <si>
    <t>1.2.1.6</t>
  </si>
  <si>
    <t>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</si>
  <si>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1.2.5, 1.2.6, 1.2.7</t>
  </si>
  <si>
    <t>Цель 2. Совершенствование организации муниципальной службы,  повышение ее эффективности</t>
  </si>
  <si>
    <t>Задача 3. Совершенствование профессиональных возможностей и способностей работников органов местного самоуправления</t>
  </si>
  <si>
    <t>2.1.1.1</t>
  </si>
  <si>
    <t>Анализ соответствия принятых муниципальных правовых актов действующему законодательству о муниципальной службе и противодействии коррупции</t>
  </si>
  <si>
    <t>2.1.4</t>
  </si>
  <si>
    <t>2.1.1.2</t>
  </si>
  <si>
    <t>Формирование резерва кадров  должностей муниципальной службы высшей, главной и ведущей группы, учрежденных для выполнения функции «руководитель»</t>
  </si>
  <si>
    <t xml:space="preserve">управление по организационным вопросам и кадрам администрации города Урай </t>
  </si>
  <si>
    <t>2.1.2</t>
  </si>
  <si>
    <t>2.1.1.3</t>
  </si>
  <si>
    <t>Назначение из резерва кадров на  должности муниципальной службы высшей, главной и ведущей группы, учрежденных для выполнения функции «руководитель»</t>
  </si>
  <si>
    <t>2.1.3</t>
  </si>
  <si>
    <t>2.1.1.4</t>
  </si>
  <si>
    <t>2.1.5</t>
  </si>
  <si>
    <t>2.1.1.5</t>
  </si>
  <si>
    <t>2.1.1</t>
  </si>
  <si>
    <t>Цель 3.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t>
  </si>
  <si>
    <t>Задача 4. Совершенствование управления и распоряжения муниципальным имуществом</t>
  </si>
  <si>
    <t>3.1.1.1</t>
  </si>
  <si>
    <t xml:space="preserve">комитет по управлению муниципальным имуществом
администрации города Урай
</t>
  </si>
  <si>
    <t>3.1.1</t>
  </si>
  <si>
    <t>3.1.1.2</t>
  </si>
  <si>
    <t>Вовлечение земельных участков в хозяйственный оборот</t>
  </si>
  <si>
    <t>3.1.6</t>
  </si>
  <si>
    <t>3.1.1.3</t>
  </si>
  <si>
    <t>Повышение результативности финансово-хозяйственной деятельности хозяйствующих субъектов с долей участия муниципального образования городской округ город Урай</t>
  </si>
  <si>
    <t>3.1.2, 3.1.3</t>
  </si>
  <si>
    <t>3.1.1.4</t>
  </si>
  <si>
    <t>Организация обеспечения формирования состава и структуры муниципального имущества  (содержание имущества казны (за исключением объектов муниципального жилищного фонда)</t>
  </si>
  <si>
    <t>3.1.4</t>
  </si>
  <si>
    <t>3.1.1.5</t>
  </si>
  <si>
    <t>3.1.1.6</t>
  </si>
  <si>
    <t>3.1.5</t>
  </si>
  <si>
    <t>управление по учету и распределению муниципального жилого фонда администрации города Урай, МКУ «УГЗиП города Урай»</t>
  </si>
  <si>
    <t>3.1.7</t>
  </si>
  <si>
    <t>Комплексный план (сетевой график) реализации  финансовых средств  муниципальной программы "Совершенствование и развитие муниципального управления в г.Урай" на 2018-2030 годы       на 01.02.2018</t>
  </si>
  <si>
    <t>Исполнитель: Кучина Ирина Вениаминовна</t>
  </si>
  <si>
    <t>Комплексный план (сетевой график) реализации  финансовых средств  муниципальной программы "Совершенствование и развитие муниципального управления в г.Урай" на 2018-2030 годы       на 01.04.2018</t>
  </si>
  <si>
    <t>Отклонение произошло в связи с  уменьшением                               количества командировок; оплата за коммунальные услуги произведена по факту потребления энергоресурсов</t>
  </si>
  <si>
    <t>В рамках реализации мероприятий целевой программы Ханты-Мансийского автономного округа - Югры «Содействие занятости населения в Ханты-Мансийском автономном округе-Югре на 2014-2020 годы» заключены следующие договоры:
- №38 от 20.12.2017г. «О совместной деятельности по организации временного трудоустройства граждан» на 60 человек. За 1 квартал 2018 года были трудоустроены 27 человек.
- №3 от 11.01.2018г. «О совместной деятельности по организации временного трудоустройства незанятых трудовой деятельностью и безработных граждан испытывающих трудности в поиске работы» на 10 человек. За 1 квартал 2018 года были трудоустроены 2 человека</t>
  </si>
  <si>
    <t xml:space="preserve">За отчетный период заключены муниципальные контракты и договоры в количестве 72 штук на содержание объектов муниципальной казны, из них 57 на  техническое обслуживание и содержание объектов  (содержание нежилых помещений в многоквартирных домах, приобретение материалов, поставка огнетушителей, оказание услуг связи и т.д.), 15 на содержание и ремонт транспортных средств (ремонт, техническое обслуживание, приобретение запасных частей, горюче-смазочных материалов).  Организована бесперебойная работа всех служб учреждения для поддержания хозяйственно-технической деятельности. </t>
  </si>
  <si>
    <t>По Управлению образования и молодежной политики администрации города Урай неисполнение мероприятий произошло в связи с приведением в соответствие нормативно-правовой базы; по МКУ "УМТО" отклонение произошло из-за того, что оплата производится исходя из количества принятых сотрудников, а также наличием листов нетрудоспособности</t>
  </si>
  <si>
    <t>За отчетный период пенсия за выслугу лет лицам, замещающим муниципальные должности и должности муниципальной службы в городе Урай выплачена 39 пенсионерам</t>
  </si>
  <si>
    <r>
      <t>Выплаты гражданам, удостоенным звания "Почетный гражданин города Урай</t>
    </r>
    <r>
      <rPr>
        <b/>
        <sz val="10"/>
        <rFont val="Times New Roman"/>
        <family val="1"/>
        <charset val="204"/>
      </rPr>
      <t xml:space="preserve">" </t>
    </r>
    <r>
      <rPr>
        <sz val="10"/>
        <rFont val="Times New Roman"/>
        <family val="1"/>
        <charset val="204"/>
      </rPr>
      <t>будут</t>
    </r>
    <r>
      <rPr>
        <b/>
        <sz val="10"/>
        <rFont val="Times New Roman"/>
        <family val="1"/>
        <charset val="204"/>
      </rPr>
      <t xml:space="preserve"> </t>
    </r>
    <r>
      <rPr>
        <sz val="10"/>
        <rFont val="Times New Roman"/>
        <family val="1"/>
        <charset val="204"/>
      </rPr>
      <t>производиться во 2 квартале 2018</t>
    </r>
  </si>
  <si>
    <t>Отклонение произошло из-за наличия листов нетрудоспособности</t>
  </si>
  <si>
    <t>Общее количество услуг на 01.04.2018 года составляет 54, в том числе 43 муниципальных и 11 услуг, предоставляемых муниципальными учреждениями. Предоставление государственных и муниципальных услуг осуществляется в строгом соответствии с административными регламентами. Для  всех 43 муниципальных услуг разработаны и утверждены административные регламенты. Актуальные редакции административных регламентов  размещены на сайте ОМСУ и в информационной системе «Реестр государственных и муниципальных услуг (функций) ХМАО-Югры» (далее – РРГУ). Обновление информации в РРГУ осуществляется по мере необходимости, с учетом изменения законодательства и утверждения новых муниципальных услуг. В 1 квартале 2018 года  актуализация информации в РРГУ была проведена в январе и марте ответственными лицами органов администрации  и МКУ по 31 муниципальной услуге</t>
  </si>
  <si>
    <t>Органами администрации города Урай оказываются 14  государственных услуг при осуществлении отдельных государственных полномочий, переданных федеральными законами и законами  Ханты-Мансийского автономного округа – Югры (правовое управление, отдел содействия малому и среднему предпринимательству, отдел опеки и попечительства ,  управление по учету и распределению муниципального жилого фонда, ЗАГС)</t>
  </si>
  <si>
    <t xml:space="preserve">Обеспечена возможность предоставления услуг в электронном виде через ЕПГУ по 19 услугам: 14 муниципальным и 5 – услугам учреждений.  Заявителям доступны формы заявлений  и   иных   документов, необходимых для получения соответствующих услуг, обеспечен доступ к ним для копирования и заполнения в электронном виде. В 2017 году в  Департамент информационных технологий Ханты-Мансийского  автономного округа – Югры направлен перечень из 17 муниципальных услуг на перевод в электронную форму. За 1 квартал 2018 года всего оказано муниципальных услуг 153202, из них  в электронном виде 151016 (98,57%), в том числе:
оказанных ОМСУ в электронном виде  - 141, что составляет 25,7%,
оказанных учреждениями – 150875,  что составляет 98,83%
</t>
  </si>
  <si>
    <t xml:space="preserve">С целью популяризации получения государственных и муниципальных услуг в электронном виде:
- утвержден Координационный совет по  информатизации при администрации города Урай;
- в рамках исполнения Указа Президента Российской Федерации от 07.05.2012  №601 «Об основных направлениях совершенствования системы государственного управления» для увеличения доли граждан, использующих механизм получения государственных и муниципальных услуг в электронной  форме 
организованы Центры обслуживания единой системы идентификации и аутентификации (далее ЕСИА) для доступа к единому порталу государственных и муниципальных услуг: в МФЦ -1, в администрации города Урай (архив, отдел по обращениям  граждан, отдел СМП, управление образования, УИТиС) – 5, отделе ЗАГС - 1, МКУ «Управление градостроительства, землепользования и природопользования» -1. За  1 квартал 2018 года на Едином портале зарегистрировано   – 2547 человек
</t>
  </si>
  <si>
    <t>Социологический опрос по удовлетворенности граждан предоставлением муниципальных услуг  планируется провести в октябре 2018 года</t>
  </si>
  <si>
    <t xml:space="preserve">В соответствии с Федеральным законом от 27.07.2010 №210-ФЗ «Об организации предоставления государственных и муниципальных услуг» в рамках договоров о взаимодействии через  МФЦ предоставляются 225 услуг, в том числе 63 федеральных, 104 региональных, 15 прочих услуг  и 43 муниципальных. На 01.04.2018 года МАУ «МФЦ» оказано услуг 15410 (в том числе 1501 консультация), в том числе:
- федеральных 8910 (в том числе 724 консультации);
- региональных 4608 (в том числе 729 консультаций) - прочих 248 (в том числе 2 консультации);
- муниципальных 308 ( в том числе 46 консультаций);
- регистрация на портале 1336 услуг
</t>
  </si>
  <si>
    <t>За отчетный период комитетом по управлению муниципальным имуществом администрации города Урай зарегистрировано 59 объектов недвижимости, из них:                                                                                                                                         3 вновь построенных объектов недвижимости: магистральные сети горячего водоснабжения, теплоснабжения микрорайона Шаимский; 56 объектов  инженерных сетей (старые сети)</t>
  </si>
  <si>
    <t>За отчетный период в хозяйственный оборот вовлечено 8 земельных участков, переданных от  МКУ "Управление градостроительства, землепользования и природопользования города Урай" согласно постановлениям администрации города Урай "О заключении соглашения о перераспределении земельных участков": от 28.12.2017 №3941, от 28.12.2017 №3943, от 22.01.2018 №93,от 22.01.2018 №103, от 31.01.2018 №169, от 02.02.2018 №207</t>
  </si>
  <si>
    <t xml:space="preserve"> В соответствии с Федеральным законом от 26.12.1995 №208-ФЗ «Об акционерных обществах» органами управления акционерных обществ с участием муниципального образования являются: общее собрание акционеров и Совет директоров. Органом, осуществляющим контроль за  финансово-хозяйственной деятельностью акционерных обществ, является ревизионная комиссия, которая избирается общим собранием акционеров.
Деятельность ревизионной комиссии осуществляется в соответствии с Положениями о ревизионной комиссии, утвержденными Советом директоров каждого акционерного общества, постановлением админситрации города Урай (для МУП ритуальных услуг)  и графиком проверок, утвержденным главой города Урай.
В отчетном периоде   утверждены графики  проведения проверок 
ревизионными комиссиями  муниципального унитарного предприятия  ритуальных услуг и  акционерных обществ, доля акций которых в муниципальном образовании городской округ город Урай составляет  25%  и более. По результатам ревизионных проверок  за 2017 год будет произведена оценка состояния финансово-хозяйственной деятельности хозяйствующих субъектов и   выработаны    рекомендаций, направленные на повышение эффективности их деятельности</t>
  </si>
  <si>
    <t xml:space="preserve">За отчетный период в рамках реализации мероприятия программы производились расходы на содержание нежилых помещений, находящихся в муниципальной собственности, которые расположены в многоквартирных жилых домах; услуги аудита ООО "Омская дочерняя аудиторская фирма "Аудитинформ"; внесение записи о переходе прав собственности на ценные бумаги АО "Индустрия-РЕЕСТР"                                                                                                                                                                                                                                                                   
</t>
  </si>
  <si>
    <t xml:space="preserve">Отклонение произошло из-за сложившейся экономии по торгам: ООО "Омская дочерняя аудиторская фирма "Аудитинформ"  за услуги аудита бухгалтерской (финансовой) отчетности муниципального унитарного предприятия ритуальных услуг за 2017 год. </t>
  </si>
  <si>
    <t>Заключение муниципального контракта на услугу страхования и оплата по нему запланированы на 4 квартал 2018 года</t>
  </si>
  <si>
    <t xml:space="preserve">Перечень объектов подлежащих страхованию  утвержден постановлением администрации города Урай от 05.05.2017 №1199
</t>
  </si>
  <si>
    <t>Отклонение произошло в связи с тем, что оплата работ по договорам осуществляется по "факту" на основании актов выполненных работ и фактическим заселением жильцов</t>
  </si>
  <si>
    <t>В 1 квартале 2018 года заключены муниципальные контракты и договоры  на оказание услуг с ООО "Капитал", ООО "Эксперт", АО "Тюменская энергосбытовая компания", АО "Шаимгаз", АО "Урайтеплоэнергия"</t>
  </si>
  <si>
    <t>Освоение средств за отчетный период не в полном объеме обусловлено переносом сроков отпусков, оплаты стоимости проезда к месту использования отпуска  и обратно,
длительностью проведения конкурсных процедур, наличием экономии, сложившейся при проведении конкурсных процедур; в соответствии с сетевым графиком реализации финансовых средств муниципальной программы. Администрирование по ТКО предусмотрено в 4 квартале 2018 года</t>
  </si>
  <si>
    <t xml:space="preserve">Освоение средств предусмотрено во 2-4 кварталах 2018 года. </t>
  </si>
  <si>
    <t xml:space="preserve">  В отчетном периоде в действующие муниципальные нормативные правовые акты администрации города Урай внесено 69 изменений и дополнений, принято 12 новых муниципальных нормативных правовых актов администрации города Урай, 6 муниципальных нормативных правовых актов администрации города Урай о признании утратившим силу ранее принятого акта, 8 муниципальных нормативных правовых актов администрации города Урай взамен отмененных.
О деятельности органов власти подготовлено 196 информационных сообщения в эфире ТРК «Спектр+». 
В газете «Знамя» опубликован 141  материал о деятельности исполнительного и представительного органов власти. 
В разделе «Новости» на официальном сайте органов местного самоуправления города Урай  размещено 95 пресс-релизов о деятельности органов власти. В городе Урай 2018 объявлен Годом гражданских инициатив. Мероприятия в рамках объявленного года находят отражение в информационной картине урайских СМИ. Проведен мониторинг состояний и условий охраны труда в 67 организациях муниципального образования город Урай. Общая численность работников организаций предоставивших информацию составила 13 464 человека. Для руководителей и специалистов организаций, учреждений города проведено 2 семинара по вопросам охраны труда. Принято участие в расследовании 2 несчастных случаев, из них 1 несчастный случай квалифицирован, как несчастный случай, связанный с производством, 1 несчастный случай, по результатам расследования квалифицирован  как несчастный случай не связанный с производством. Отделом ЗАГС зарегистрировано 393 записи актов гражданского состояния, из них 133 о рождении, 56 о заключении брака, 109 о смерти, 62 о расторжении брака, 19   об установлении отцовства, 11 о перемене имени и 3 записи об усыновлении. За 1 квартал 2018 года отделом ЗАГС оказано государственных услуг населению 816, из них в электронном виде  55, оформлено 1586 юридически значимых действий, выдано справок и извещений-504.  В отчетном периоде Архивной службой  оцифровано 20 дел постоянного хранения на 4336 листах; подготовлено 570 архивных справок на социально-правовые, тематические запросы; поступило в службу 656 запросов; изготовлено 118 копий с архивных документов на 249 листах. Отделом опеки и попечительства администрации города Урай проведена следующая работа:
1.Обеспечение социальных гарантий детям-сиротам, детям, оставшимся без попечения родителей, находящимся на воспитании в семьях граждан.
2.Выявление и  учет  детей – сирот и детей, оставшихся без попечения родителей.
3.Устройство детей – сирот и детей, оставшихся без попечения родителей, на воспитание в семьи граждан.
4.Защита имущественных прав несовершеннолетних подопечных.
5.Надзор за деятельностью опекунов, попечителей, приемных родителей, усыновителей.
6.Защита прав и интересов лиц из числа детей-сирот и детей, оставшихся без попечения родителей, в возрасте от 18 до 23 лет.
7.Защита прав и интересов недееспособных граждан. 
8.Деятельность органа опеки и попечительства по защите имущественных и личных прав несовершеннолетних.
9.Выявление и учет детей, права и законные интересы которых нарушены.
10.Выдача разрешений на трудоустройство несовершеннолетних, в случаях, предусмотренных законом.
 Произведены ежемесячные выплаты вознаграждения 127 приемным родителям (среднегодовая численность) за воспитание ребенка. </t>
  </si>
  <si>
    <t>За 1 квартал 2018 года в сфере муниципальной службы изменено 2 нормативно-правовых акта</t>
  </si>
  <si>
    <t>В 1 квартале 2018 года проведён 1 конкурс в кадровый резерв на 4 должности</t>
  </si>
  <si>
    <t>В 1 квартале 2018 года назначения из резерва кадров на  должности муниципальной службы высшей, главной и ведущей группы, учрежденных для выполнения функции «руководитель» не осуществлялись</t>
  </si>
  <si>
    <t>В 1 квартале 2018 года конкурс «Лучший работник органов местного самоуправления» не проводился</t>
  </si>
  <si>
    <t>В 1 квартале 2018 года повышение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не проводилось</t>
  </si>
  <si>
    <t>Ответственный исполнитель (соисполнитель)</t>
  </si>
  <si>
    <t>Согласовано:</t>
  </si>
  <si>
    <t xml:space="preserve">муниципальной программы </t>
  </si>
  <si>
    <t>Комитет по финансам администрации города Урай</t>
  </si>
  <si>
    <t>Начальник сводно-аналитического отдела администрации города Урай Назарова Ирина Николаевна</t>
  </si>
  <si>
    <t>кроме того, местный бюджет, за счёт остатков прошлых лет</t>
  </si>
  <si>
    <t xml:space="preserve">Бюджет Ханты-Мансийского автономного округа - Югры </t>
  </si>
  <si>
    <t>Без финансирования</t>
  </si>
  <si>
    <t>Всего:</t>
  </si>
  <si>
    <t>ИТОГО по  программе:</t>
  </si>
  <si>
    <t>Подпрограмма 1 «Создание условий для совершенствования системы муниципального управления»</t>
  </si>
  <si>
    <t>Подпрограмма 2 «Предоставление государственных и муниципальных услуг»</t>
  </si>
  <si>
    <t>Подпрограмма 3 «Развитие муниципальной службы и резерва управленческих кадров»</t>
  </si>
  <si>
    <t>ОТЧЕТ</t>
  </si>
  <si>
    <t>Таблица 1</t>
  </si>
  <si>
    <t>Управление образования и молодежной политики администрации города Урай</t>
  </si>
  <si>
    <t>местный бюджет, за счёт остатков прошлых лет</t>
  </si>
  <si>
    <t>Приложение к Порядку принятия решения о разработке муниципальных</t>
  </si>
  <si>
    <t>программ муниципального образования городской округ город Урай, их</t>
  </si>
  <si>
    <t>формирования, утверждения, корректировки и реализации</t>
  </si>
  <si>
    <t xml:space="preserve">Местный бюджет </t>
  </si>
  <si>
    <t>Местный бюджет</t>
  </si>
  <si>
    <t>1.</t>
  </si>
  <si>
    <t>1.3</t>
  </si>
  <si>
    <t>1.7.</t>
  </si>
  <si>
    <t>2.</t>
  </si>
  <si>
    <t>Иные источники финансирования</t>
  </si>
  <si>
    <t>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 (1, 2)</t>
  </si>
  <si>
    <t>Обеспечение исполнения гарантий, предоставляемых  муниципальным служащим по выплате пенсии за выслугу лет (4)</t>
  </si>
  <si>
    <t xml:space="preserve">Содействие улучшению положения на рынке труда не занятых трудовой деятельностью и безработных граждан (3)
</t>
  </si>
  <si>
    <t>Управление и распоряжение муниципальным имуществом (5)</t>
  </si>
  <si>
    <t xml:space="preserve">Реализация Федерального проекта «Содействие занятости женщин - создание условий дошкольного образования для детей в возрасте до трех лет» (1)
</t>
  </si>
  <si>
    <t>Информирование и консультирование в сфере защиты прав потребителей (1)</t>
  </si>
  <si>
    <t>Предоставление муниципальных услуг и государственных услуг при осуществлении отдельных государственных полномочий, переданных федеральными законами и законами  Ханты-Мансийского автономного округа – Югры (6, 7, 8)</t>
  </si>
  <si>
    <t>Организация предоставления государственных и муниципальных услуг в МАУ МФЦ (9)</t>
  </si>
  <si>
    <t>3.</t>
  </si>
  <si>
    <t>3.2.</t>
  </si>
  <si>
    <t>3.3.</t>
  </si>
  <si>
    <t>Формирование резерва кадров  должностей муниципальной службы высшей, главной и ведущей группы, учрежденных для выполнения функции «руководитель» (10)</t>
  </si>
  <si>
    <t>Содействие развитию управленческой культуры и повышению престижа муниципальной службы (11)</t>
  </si>
  <si>
    <t>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(12)</t>
  </si>
  <si>
    <t>Инвестиции в объекты муниципальной собственности</t>
  </si>
  <si>
    <t>Прочие расходы</t>
  </si>
  <si>
    <t>Соисполнитель 1 (Муниципальное казенное учреждение  «Управление материально-технического обеспечения города Урай»)</t>
  </si>
  <si>
    <t>Соисполнитель 3   (Управление образования и молодежной политики администрации города Урай)</t>
  </si>
  <si>
    <t>Соисполнитель 4 (Муниципальное казенное учреждение «Управление градостроительства, землепользования и природопользования города Урай»)</t>
  </si>
  <si>
    <t>Соисполнитель 5 (Муниципальное казенное учреждение «Управление капитального строительства города Урай»)</t>
  </si>
  <si>
    <t>Соисполнитель 6 (Муниципальное казенное учреждение «Управление жилищно-коммунального хозяйства города Урай»)</t>
  </si>
  <si>
    <t>В отчетном периоде ежегодный конкурс "Лучший работник органов местного самоуправления города Урай" не проводился</t>
  </si>
  <si>
    <r>
      <t xml:space="preserve">"______"_________________2021 </t>
    </r>
    <r>
      <rPr>
        <sz val="9"/>
        <rFont val="Times New Roman"/>
        <family val="1"/>
        <charset val="204"/>
      </rPr>
      <t>подпись</t>
    </r>
    <r>
      <rPr>
        <sz val="12"/>
        <rFont val="Times New Roman"/>
        <family val="1"/>
        <charset val="204"/>
      </rPr>
      <t xml:space="preserve"> _____________________________</t>
    </r>
  </si>
  <si>
    <t>МКУ «УМТО города Урай», МКУ «ЦБУгорода Урай»</t>
  </si>
  <si>
    <t>сводно-аналитический отдел администрации города Урай</t>
  </si>
  <si>
    <t>Соисполнитель 7 (Муниципальное казенное учреждение «Центр бухгалтерского учета города Урай»)</t>
  </si>
  <si>
    <t xml:space="preserve">Финансирование мероприятий по содействию трудоустройству граждан осуществляется в соответствии с реестром получателей средств бюджета автономного округа и заключенными договорами. Оплата производится за фактически отработанное время. </t>
  </si>
  <si>
    <t>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  (1)</t>
  </si>
  <si>
    <t>Основные мероприятия муниципальной программы
(их взаимосвязь с целевыми показателями муниципальной программы)</t>
  </si>
  <si>
    <t xml:space="preserve">Ответственный исполнитель/соисполнитель </t>
  </si>
  <si>
    <t>Финансовые затраты на реализацию 
(тыс. рублей)</t>
  </si>
  <si>
    <t xml:space="preserve">№ </t>
  </si>
  <si>
    <t>4.</t>
  </si>
  <si>
    <t>Подпрограмма 4 «Поддержка местных (муниципальных) инициатив и участия населения в осуществлении местного самоуправления на территории муниципального образования город Урай»</t>
  </si>
  <si>
    <t>Развитие форм непосредственного осуществления населением местного самоуправления и участия населения в осуществлении местного самоуправления в муниципальном образовании город Урай  (14)</t>
  </si>
  <si>
    <t xml:space="preserve">органы администрации города Урай: управление по развитию местного самоуправления администрации города Урай;
управление по культуре и социальным вопросам администрации города Урай; 
управление по физической культуре, спорту и туризму администрации города Урай;  
управление внутренней  политики администрации города Урай;  
пресс-служба администрации города Урай
</t>
  </si>
  <si>
    <t>4.2.</t>
  </si>
  <si>
    <t>Предоставление субсидий ТОС и некоммерческим организациям, оказывающим поддержку деятельности ТОС (14,15)</t>
  </si>
  <si>
    <t>о ходе исполнения комплексного плана (сетевого графика) реализации  муниципальной программы "Совершенствование и развитие муниципального управления в г.Урай" на 2018-2030 годы       на 01.04. 2021</t>
  </si>
  <si>
    <t>Ответственный исполнитель - сводно-аналитический отдел администрации города Урай</t>
  </si>
  <si>
    <t>За отчетный период пенсия за выслугу лет лицам, замещающим муниципальные должности и должности муниципальной службы в городе Урай выплачена 49 пенсионерам</t>
  </si>
  <si>
    <t xml:space="preserve">сводно-аналитический отдел администрации города Урай, МКУ «УЖКХ города Урай»,  МКУ «УМТО города Урай»,  органы администрации города Урай: отдел опеки и попечительства администрации города Урай
</t>
  </si>
  <si>
    <t>сводно-аналитический отдел администрации города Урай, Управление образования и молодежной политики администрации города Урай,  МКУ «УМТО города Урай», МКУ «ЕДДС города Урай», МКУ «УЖКХ города Урай», МКУ «УКС города Урай», МКУ «УГЗиП города Урай»</t>
  </si>
  <si>
    <t>МКУ «УКС города Урай», МКУ «УГЗиП города Урай»,  МКУ «УЖКХ города Урай», органы администрации города Урай:   управление по учету и распределению муниципального жилого фонда администрации города Урай, комитет по управлению муниципальным имуществом администрации города Урай</t>
  </si>
  <si>
    <t>органы администрации города Урай: правовое управление администрации города Урай</t>
  </si>
  <si>
    <t>органы администрации города Урай, предоставляющие муниципальные услуги, МКУ «УГЗиП  города Урай»</t>
  </si>
  <si>
    <t>сводно-аналитический отдел администрации города Урай,  органы администрации города Урай: управление экономического развития администрации города Урай</t>
  </si>
  <si>
    <t>органы администрации города Урай: управление по развитию местного самоуправления администрации города Урай</t>
  </si>
  <si>
    <t xml:space="preserve">сводно-аналитический отдел администрации города Урай, Комитет по финансам администрации города Урай, органы администрации города Урай: управление по развитию местного самоуправления администрации города Урай
</t>
  </si>
  <si>
    <t xml:space="preserve">органы администрации города Урай: управление по развитию местного самоуправления администрации города Урай;
пресс-служба администрации города Урай
</t>
  </si>
  <si>
    <t>Соисполнитель 2 (Органы администрации города Урай - комитет по управлению муниципальным имуществом администрации города Урай,  управление по развитию местного самоуправления администрации города Урай, управление по учету и распределению муниципального жилого фонда администрации города Урай, управление экономического развития администрации города Урай, отдел опеки и попечительства администрации города Урай, правовое управление администрации города Урай, управление по культуре и социальным вопросам администрации города Урай, управление по физической культуре, спорту и туризму администрации города Урай,  управление внутренней  политики администрации города Урай,  пресс-служба администрации города Урай)</t>
  </si>
  <si>
    <r>
      <t>В отчетном периоде  специалисты управления по развитию местного самоуправления организовали и провели 3  встречи  с жителями и инициативными группами  по вопросу создания ТОС: микрорайон Солнечный; мкр.2 каре домов 42,49а;  мкр. Лесной.</t>
    </r>
    <r>
      <rPr>
        <sz val="9"/>
        <color rgb="FFFF0000"/>
        <rFont val="Times New Roman"/>
        <family val="1"/>
        <charset val="204"/>
      </rPr>
      <t xml:space="preserve"> </t>
    </r>
    <r>
      <rPr>
        <sz val="9"/>
        <rFont val="Times New Roman"/>
        <family val="1"/>
        <charset val="204"/>
      </rPr>
      <t>Разработана  программа проведения Стратегической сессии  по теме "Развитие местного сообщества и гшражданских инициатив", которая пройдет в период с 22 по 25 апреля 2021 года на территории города, с участием спикеров НИУ "Высшая школа экономики" г. Москва. В работе сессии примут участие активные горожане около 50 человек, по итогам работы 24-25 апреля состоится праздник "Соседские гулянья". На организацию и проведение  сессии управлением по развитию местного самоуправления привлечены благотворительные средства.</t>
    </r>
  </si>
  <si>
    <t xml:space="preserve">В отчетном периоде население приняло участие в 5 публичных слушаниях по вопросам местного значения.                                                                                                                                        </t>
  </si>
  <si>
    <t xml:space="preserve">В отчетном периоде конкурс на включение в кадровый резерв не проводился.          </t>
  </si>
  <si>
    <t>В отчетном периоде проводилось повышение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Обучено 3 работника администрации и органов администрации города Урай по темам:  "Новации в реализации налоговых полномочий органов местного самоуправления", "Земельное и градостроительное законодательство РФ"</t>
  </si>
  <si>
    <t>Неисполнение связано с временным ограничением на выезд муниципальных служащих в служебные командировки (курсы повышения квалификации), в связи с напряженной эпидемиологической обстановкой. Обучение проходит в дистанционной форме</t>
  </si>
  <si>
    <t xml:space="preserve">В отчетном периоде в службу по защите прав потребителей поступило 59 обращения (19 обратившихся лично и 40 - по электронной почте и телефону).  Большая часть обращений граждан  в службу происходит по вопросам  торговли (всего 51 человек) - в основном это: купля – продажа  технически сложных товаров бытового назначения,  самое большое количество обращений - это жалобы на качество сотовых телефонов –  17 обращения, далее электробытовые машины и приборы – 4 обращения, компьютерная техника - 4 обращения, автомобили и запасные части к ним - 2 обращения, качествр обуви и одежды  - 8 обращений, мебель и мебельнын гарнитуры - 4 обращения и др. Ведется и индивидуальная работа с предпринимателями, консультации частных предпринимателей  представителей хозяйствующих субъектов, работающих на территории города (6 консультаций), по  вопросам законодательства РФ о защите прав потребителей.    
Содействие потребителям в реализации их права на судебную защиту, установленную в ст. 17 Закона РФ «О защите прав потребителей». 
Уделяется внимание в работе службы профилактической и информационно – разъяснительной работе среди населения города основных положений законодательства о защите прав потребителей, посредством:  опубликования в городской газете «Знамя» и на официальном сайте администрации г.Урай материалов, где затрагиваются различные аспекты законодательства РФ о защите прав потребителей (2 публикации). Материал дается в доступной форме, понятной читателю. 
 На официальном сайте органов местного самоуправления города Урай в информационно-телекоммуникационной сети «Интернет» в разделе «Информация для граждан» - «Защита прав потребителей» размещено 4 материала.
</t>
  </si>
  <si>
    <t>За очетный период произведена выплата по сокращению сотруднику муниципального автономного учреждения</t>
  </si>
  <si>
    <t>В рамках данного мероприятия осуществляется финансирование содержания нежилых помещений, транспортных средств, рекламных конструкций, объектов муниципальной казны, необходимых для деятельности и осуществления полномочий органов местного самоуправления.  Кроме этого, осуществляется ведение бухгалтерского (бюджетного), налогового и статистического учета органов местного самоуправления и муниципальных учреждений города.
В отчетном периоде заключены муниципальные контракты и договора в количестве 31 штуки, в том числе: на содержание объектов муниципальной казны (содержание нежилых помещений в многоквартирных домах, приобретение стройительных и хозяйственных материалов, поставка огнетушителей, оказание услуг связи и т.д.) – 20 муниципальных контрактов и договоров; на содержание и ремонт транспортных средств (ремонт, техническое обслуживание, приобретение запасных частей, горюче-смазочных материалов) – 11 муниципальных контрактов и договоро . Организована бесперебойная работа всех служб учреждения для поддержания хозяйственно-технической деятельности. Сформированы и направлены отчеты (в том числе консолидированные отчеты) по результатам работы за 2020 год по учреждниям, главному распорядителю бюджетны средств в ПФР, в ФСС, в ИФНС, в Росстат</t>
  </si>
  <si>
    <t xml:space="preserve">Отклонение исполнения от плановых назначений связано с напряженной эпидемиологической обстановкой (отмена командировок, курсов повышения квалификации), с наличием вакансий, с длительными листками нетрудоспособности,  оплатой услуг по фактически произведенным затратам, длительностью проведения конкурсных процедур
</t>
  </si>
  <si>
    <t xml:space="preserve">В рамках данного мероприятия заключаются договора на трудоустройство граждан, в том числе подростков в целях реализации  государственной программы Ханты-Мансийского автономного округа - Югры "Поддержка занятости населения" </t>
  </si>
  <si>
    <t xml:space="preserve">Органами администрации оказываются 47 муниципальных  услуг, 11 услуг, предоставляемых муниципальными учреждениями и 13 государственных услуг при осуществлении отдельных государственных полномочий, переданных федеральными законами и законами  Ханты-Мансийского автономного округа – Югры (правовое управление, управление экономического развития, отдел опеки и попечительства,  управление по учету и распределению муниципального жилого фонда, ЗАГС).
За  1 квартал 2021 года всего оказано услуг – 34 816, из них: 
муниципальных услуг – 376,
услуг учреждений – 33 643,                                                                                                                государственных услуг – 797.
За  отчетный период всего оказано услуг в электронном виде  32 325 (92,8%),                                         в том числе:
оказанных ОМСУ   в электронном виде - 112, что составляет 29,8%,
оказанных учреждениями – 32 013,  что составляет 95,0%,                                                                              по переданным государственным полномочиям - 200,  что составляет 25,0%. Количество активаций учетных записей ЕСИА (регистрация и подтверждение) в центрах обслуживания – 284 человека.
В соответствии с Федеральным законом от 27.07.2010 №210-ФЗ «Об организации предоставления государственных и муниципальных услуг», в рамках Соглашения о взаимодействии между автономным учреждением Ханты-Мансийского автономного округа – Югры «Многофункциональный центр предоставления государственных и муниципальных услуг Югры» и администрацией города Урай от 26.10.2020 №350/20 с 01.01.2021 предоставление муниципальных услуг осуществляется  филиалом автономного учреждения Ханты-Мансийского автономного округа – Югры «Многофункциональный центр предоставления государственных и муниципальных услуг Югры» в городе Урае. 
</t>
  </si>
  <si>
    <t xml:space="preserve">За отчетный период комитетом по управлению муниципальным имуществом администрации города Урай  регистрация объектов не проводилась.                                                                                                                                                                        За  1 квартал 2021 года в хозяйственный оборот вовлечено 42 земельных участков: 1) земельные участки переданные в аренду  МКУ "Управление градостроительства, землепользования и природопользования города Урай" (1 земельный участок); 2) с аукциона на право заключения договора аренды передано 2 земельных участка; 3) реализовано 39 земельных участка, переданных переданных муниципальным казенным учреждением "Управление градостроительства, землепользования и природопользования города Урай".                                                                                                                              По состоянию на  1 апреля 2021 года городской округ Урай  ХМАО-Югры  является учредителем 4 хозяйственных обществ. По размеру участия  городского округа Урай  ХМАО-Югры  хозяйственные общества распределены следующим образом: в 2 обществах -75% акций  принадлежит городскому округу Урай ХМАО-Югры; в 2 обществах- единственным акционером  (участником), имея в собственности 100 % акций (долей) является  городской округ Урай ХМАО-Югры.                                                                                                                                                                                                                                                                                                                             В хозяйственных обществах с участием в уставном капитале города Урай   за 1 квартал 2021 год  состоялось  10  корпоративных события: 1 внеочередных общих собраний акционеров, 9 заседаний советов директоров. За отчетный период проведены 2 ревизионные проверки финансово-хозяйственной деятельности АО "Водоканал", ООО Ритуальных услуг. Результаты проверок направлены в органы управления Обществ. Комитетом по упрпвлению муниципальным имуществом администрации города Урай  совместно с МКУ Упрвлениее жилищно-коммунального хозяйства города Урай осуществляется контроль за финансово -хозяйственной деятельностью хозяйственных обществ. Органами управления хозяйственных обществ утверждены новые показатели премирования руководителей.                                                                                                     </t>
  </si>
  <si>
    <t>Финансирование мероприятия осуществляется по фактически произведенным затратам. Кроме этого, на неисполнение повлияло длительность проведения конкурсных процедур</t>
  </si>
  <si>
    <t>Неисполнение связано  с временным ограничением на выезд работников в служебные командировки в связи с напряженной эпидемиологической обстановкой;  оплатой услуг по фактически произведенным затратам; длительностью проведения конкурсных процедур, а также выплатой премии по итогам работы за год за фактически отработанное время.</t>
  </si>
  <si>
    <t>Неисполнение связано с начислением пособия по фактически сложившейся заработной плате</t>
  </si>
  <si>
    <t>В отчетном периоде в действующие муниципальные нормативные правовые акты администрации города Урай внесено 106 изменений и дополнений, принято 7 новых муниципальных нормативных правовых актов администрации города Урай, 1 муниципальный нормативный правовой акт администрации города Урай о признании утратившим силу ранее принятого акта, 5 муниципальных нормативных правовых актов администрации города Урай взамен отмененных.
За 1 квартал 2021 года о деятельности органов местного самоуправления города Урай, реализации муниципальных программ и социально-экономических преобразованиях в муниципалитете в эфире ТРК «Спектр+» было подготовлено 67 материалов. Официальная информация о ходе социально-экономических преобразований и политических событий в городе Урай размещается в газете «Знамя».  За отчетный период в печатной газете «Знамя» было опубликовано 66 материалов о деятельности органов местного самоуправления города Урай, реализации муниципальных программ и социально-экономических преобразованиях в муниципалитете. В разделе «Новости» на официальном сайте органов местного самоуправления  размещено 109 пресс-релиза. Продолжено активное ведение официальных страниц муниципалитета в социальных сетях.                                                                                                                                                                                                                                                                                                                                                                                                                                                                                   Проведен мониторинг состояний и условий охраны труда в 63 организациях муниципального образования город Урай. Общая численность работников организаций предоставивших информацию составила 9 572 человека. Подготовлено 2 правовых актов по охране труда, разработано 3 методических пособия по охране труда.  Организовано и проведено 2 семинара по охране труда. Принято участие в расследовании 1 несчастного случая  на производстве. На сайте органов местного самоуправления города Урай опубликовано 14 информационных, справочных материалов. Рассмотрено 21 устное обращение. Распространено 213 экземпляра справочной литературы.
Отделом ЗАГС зарегистрировано 343 записи актов гражданского состояния, из них 99 о рождении, 58 о заключении брака, 111 о смерти, 48 о расторжении брака, 13 об установлении отцовства, 13 о перемене имени и 1 запись об усыновлении.  За отчетный период было вручено 97 подарков "Расту в Югре". 08 февраля 2021 года родителям маленькой урайчанки торжественно вручили карту "Расти в Югре". Новорожденная стала 500-тым владельцем пластиковой карты.                                                                                                                                                                                                                                                                                                                                                                                                                                                                                                                                                                                                                                                                                                                                                                                                                                                                                                                                                         В отчетном периоде Архивной службой  подготовлено 626 архивных справок на социально-правовые, тематические запросы; поступило в службу 511 запроса; изготовлено 40 копий с архивных документов, оцифровано 26 единиц хранения.                                                                                                                                                                                                                                                                                                                                                                                                                                                                                                                     Отделом опеки и попечительства администрации города Урай проведена следующая работа:
1.Обеспечение социальных гарантий детям-сиротам, детям, оставшимся без попечения родителей, находящимся на воспитании в семьях граждан.
2.Выявление и  учет  детей – сирот и детей, оставшихся без попечения родителей.
3.Устройство детей – сирот и детей, оставшихся без попечения родителей, на воспитание в семьи граждан.
4.Защита имущественных прав несовершеннолетних подопечных.
5.Надзор за деятельностью опекунов, попечителей, приемных родителей, усыновителей.
6.Защита прав и интересов лиц из числа детей-сирот и детей, оставшихся без попечения родителей, в возрасте от 18 до 23 лет.
7.Защита прав и интересов недееспособных граждан. 
8.Деятельность органа опеки и попечительства по защите имущественных и личных прав несовершеннолетних.
9.Выявление и учет детей, права и законные интересы которых нарушены.
10.Выдача разрешений на трудоустройство несовершеннолетних, в случаях, предусмотренных законом.
 Произведены ежемесячные выплаты вознаграждения 106 приемным родителям  за воспитание ребенка, выдано 12 свидетельств по подготовке лиц, желающих принять на воспитание в свою семью ребенка, оставшегося без попечения родителей, на территории Российской Федерации.</t>
  </si>
</sst>
</file>

<file path=xl/styles.xml><?xml version="1.0" encoding="utf-8"?>
<styleSheet xmlns="http://schemas.openxmlformats.org/spreadsheetml/2006/main">
  <numFmts count="5">
    <numFmt numFmtId="164" formatCode="_-* #,##0.00_р_._-;\-* #,##0.00_р_._-;_-* &quot;-&quot;??_р_._-;_-@_-"/>
    <numFmt numFmtId="165" formatCode="0.0"/>
    <numFmt numFmtId="166" formatCode="#,##0.0"/>
    <numFmt numFmtId="167" formatCode="#,##0.0_ ;\-#,##0.0\ "/>
    <numFmt numFmtId="168" formatCode="#,##0.000"/>
  </numFmts>
  <fonts count="36">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indexed="8"/>
      <name val="Calibri"/>
      <family val="2"/>
      <charset val="204"/>
    </font>
    <font>
      <sz val="11"/>
      <color indexed="8"/>
      <name val="Times New Roman"/>
      <family val="1"/>
      <charset val="204"/>
    </font>
    <font>
      <sz val="10"/>
      <color indexed="8"/>
      <name val="Times New Roman"/>
      <family val="1"/>
      <charset val="204"/>
    </font>
    <font>
      <sz val="10"/>
      <color indexed="10"/>
      <name val="Times New Roman"/>
      <family val="1"/>
      <charset val="204"/>
    </font>
    <font>
      <sz val="8"/>
      <name val="Calibri"/>
      <family val="2"/>
      <charset val="204"/>
    </font>
    <font>
      <sz val="11"/>
      <color theme="1"/>
      <name val="Calibri"/>
      <family val="2"/>
      <scheme val="minor"/>
    </font>
    <font>
      <sz val="9"/>
      <name val="Times New Roman"/>
      <family val="1"/>
      <charset val="204"/>
    </font>
    <font>
      <sz val="12"/>
      <name val="Times New Roman"/>
      <family val="1"/>
      <charset val="204"/>
    </font>
    <font>
      <b/>
      <sz val="9"/>
      <name val="Times New Roman"/>
      <family val="1"/>
      <charset val="204"/>
    </font>
    <font>
      <sz val="9"/>
      <color indexed="8"/>
      <name val="Times New Roman"/>
      <family val="1"/>
      <charset val="204"/>
    </font>
    <font>
      <b/>
      <u/>
      <sz val="12"/>
      <name val="Times New Roman"/>
      <family val="1"/>
      <charset val="204"/>
    </font>
    <font>
      <sz val="9"/>
      <color theme="1"/>
      <name val="Times New Roman"/>
      <family val="1"/>
      <charset val="204"/>
    </font>
    <font>
      <sz val="11"/>
      <color theme="1"/>
      <name val="Times New Roman"/>
      <family val="1"/>
      <charset val="204"/>
    </font>
    <font>
      <sz val="10"/>
      <color theme="1"/>
      <name val="Times New Roman"/>
      <family val="1"/>
      <charset val="204"/>
    </font>
    <font>
      <sz val="12"/>
      <color theme="1"/>
      <name val="Times New Roman"/>
      <family val="1"/>
      <charset val="204"/>
    </font>
    <font>
      <b/>
      <sz val="9"/>
      <color indexed="8"/>
      <name val="Times New Roman"/>
      <family val="1"/>
      <charset val="204"/>
    </font>
    <font>
      <sz val="10"/>
      <color rgb="FF000000"/>
      <name val="Times New Roman"/>
      <family val="1"/>
      <charset val="204"/>
    </font>
    <font>
      <sz val="10"/>
      <color rgb="FF000000"/>
      <name val="Arial"/>
      <family val="2"/>
      <charset val="204"/>
    </font>
    <font>
      <sz val="10"/>
      <name val="Arial"/>
      <family val="2"/>
      <charset val="204"/>
    </font>
    <font>
      <i/>
      <sz val="9"/>
      <name val="Times New Roman"/>
      <family val="1"/>
      <charset val="204"/>
    </font>
    <font>
      <b/>
      <u/>
      <sz val="14"/>
      <name val="Times New Roman"/>
      <family val="1"/>
      <charset val="204"/>
    </font>
    <font>
      <sz val="11"/>
      <name val="Calibri"/>
      <family val="2"/>
      <charset val="204"/>
      <scheme val="minor"/>
    </font>
    <font>
      <sz val="9"/>
      <color rgb="FFFF0000"/>
      <name val="Times New Roman"/>
      <family val="1"/>
      <charset val="204"/>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9" tint="0.59999389629810485"/>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4">
    <xf numFmtId="0" fontId="0" fillId="0" borderId="0"/>
    <xf numFmtId="0" fontId="18" fillId="0" borderId="0"/>
    <xf numFmtId="164" fontId="13" fillId="0" borderId="0" applyFont="0" applyFill="0" applyBorder="0" applyAlignment="0" applyProtection="0"/>
    <xf numFmtId="0" fontId="31" fillId="0" borderId="0"/>
  </cellStyleXfs>
  <cellXfs count="510">
    <xf numFmtId="0" fontId="0" fillId="0" borderId="0" xfId="0"/>
    <xf numFmtId="0" fontId="14" fillId="0" borderId="0" xfId="0" applyFont="1" applyAlignment="1" applyProtection="1">
      <alignment vertical="center"/>
      <protection hidden="1"/>
    </xf>
    <xf numFmtId="165" fontId="15" fillId="0" borderId="1" xfId="0" applyNumberFormat="1" applyFont="1" applyBorder="1" applyAlignment="1" applyProtection="1">
      <alignment horizontal="center" vertical="top" wrapText="1"/>
      <protection hidden="1"/>
    </xf>
    <xf numFmtId="165" fontId="15" fillId="2" borderId="1" xfId="0" applyNumberFormat="1" applyFont="1" applyFill="1" applyBorder="1" applyAlignment="1" applyProtection="1">
      <alignment horizontal="center" vertical="top" wrapText="1"/>
      <protection hidden="1"/>
    </xf>
    <xf numFmtId="165" fontId="1" fillId="0" borderId="1" xfId="0" applyNumberFormat="1" applyFont="1" applyFill="1" applyBorder="1" applyAlignment="1" applyProtection="1">
      <alignment horizontal="left" vertical="center" wrapText="1"/>
      <protection hidden="1"/>
    </xf>
    <xf numFmtId="165" fontId="2" fillId="0" borderId="1" xfId="0" applyNumberFormat="1" applyFont="1" applyFill="1" applyBorder="1" applyAlignment="1" applyProtection="1">
      <alignment horizontal="left" vertical="center" wrapText="1"/>
      <protection hidden="1"/>
    </xf>
    <xf numFmtId="165" fontId="15" fillId="0" borderId="0" xfId="0" applyNumberFormat="1" applyFont="1" applyAlignment="1" applyProtection="1">
      <alignment vertical="center"/>
      <protection hidden="1"/>
    </xf>
    <xf numFmtId="165" fontId="15" fillId="2" borderId="0" xfId="0" applyNumberFormat="1" applyFont="1" applyFill="1" applyAlignment="1" applyProtection="1">
      <alignment vertical="center"/>
      <protection hidden="1"/>
    </xf>
    <xf numFmtId="165" fontId="3" fillId="0" borderId="1" xfId="0" applyNumberFormat="1" applyFont="1" applyFill="1" applyBorder="1" applyAlignment="1" applyProtection="1">
      <alignment horizontal="left" vertical="center" wrapText="1"/>
      <protection hidden="1"/>
    </xf>
    <xf numFmtId="165" fontId="15" fillId="0" borderId="2" xfId="0" applyNumberFormat="1" applyFont="1" applyBorder="1" applyAlignment="1" applyProtection="1">
      <alignment vertical="center"/>
      <protection hidden="1"/>
    </xf>
    <xf numFmtId="165" fontId="15" fillId="0" borderId="3" xfId="0" applyNumberFormat="1" applyFont="1" applyBorder="1" applyAlignment="1" applyProtection="1">
      <alignment horizontal="center" vertical="top" wrapText="1"/>
      <protection hidden="1"/>
    </xf>
    <xf numFmtId="165" fontId="15"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0" fontId="3" fillId="0" borderId="0" xfId="0" applyFont="1" applyFill="1" applyAlignment="1">
      <alignment horizontal="left" vertical="center"/>
    </xf>
    <xf numFmtId="0" fontId="1" fillId="0" borderId="0" xfId="0" applyFont="1" applyFill="1" applyAlignment="1">
      <alignment vertical="center"/>
    </xf>
    <xf numFmtId="0" fontId="3" fillId="0" borderId="0" xfId="0" applyFont="1" applyFill="1" applyBorder="1" applyAlignment="1">
      <alignment vertical="center"/>
    </xf>
    <xf numFmtId="165" fontId="3" fillId="0" borderId="0" xfId="0" applyNumberFormat="1" applyFont="1" applyFill="1" applyBorder="1" applyAlignment="1">
      <alignment vertical="center" wrapText="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6"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167" fontId="3" fillId="0" borderId="0" xfId="0" applyNumberFormat="1" applyFont="1" applyFill="1" applyAlignment="1">
      <alignment vertical="center"/>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7" xfId="0" applyFont="1" applyBorder="1"/>
    <xf numFmtId="0" fontId="3" fillId="0" borderId="7" xfId="0" applyFont="1" applyBorder="1" applyAlignment="1">
      <alignment horizontal="center"/>
    </xf>
    <xf numFmtId="0" fontId="3" fillId="0" borderId="6"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5"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5"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6" xfId="0" applyFont="1" applyFill="1" applyBorder="1" applyAlignment="1">
      <alignment horizontal="left" vertical="top" wrapText="1"/>
    </xf>
    <xf numFmtId="0" fontId="3" fillId="0" borderId="6"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5" fillId="0" borderId="10" xfId="0" applyFont="1" applyFill="1" applyBorder="1" applyAlignment="1">
      <alignment horizontal="center" wrapText="1"/>
    </xf>
    <xf numFmtId="165" fontId="3" fillId="0" borderId="0" xfId="2" applyNumberFormat="1" applyFont="1" applyFill="1" applyBorder="1" applyAlignment="1">
      <alignment vertical="center" wrapText="1"/>
    </xf>
    <xf numFmtId="0" fontId="1"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applyBorder="1" applyAlignment="1">
      <alignment horizontal="center" vertical="center"/>
    </xf>
    <xf numFmtId="167" fontId="19" fillId="4" borderId="1" xfId="2" applyNumberFormat="1" applyFont="1" applyFill="1" applyBorder="1" applyAlignment="1">
      <alignment horizontal="center" vertical="center" wrapText="1"/>
    </xf>
    <xf numFmtId="167" fontId="19" fillId="0" borderId="1" xfId="2" applyNumberFormat="1" applyFont="1" applyFill="1" applyBorder="1" applyAlignment="1">
      <alignment horizontal="center" vertical="center" wrapText="1"/>
    </xf>
    <xf numFmtId="165" fontId="19" fillId="0" borderId="1" xfId="2" applyNumberFormat="1" applyFont="1" applyFill="1" applyBorder="1" applyAlignment="1">
      <alignment horizontal="center" vertical="center" wrapText="1"/>
    </xf>
    <xf numFmtId="167" fontId="21" fillId="4" borderId="1" xfId="2"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165" fontId="19"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65" fontId="21" fillId="4" borderId="1"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167" fontId="16" fillId="0" borderId="0" xfId="2" applyNumberFormat="1" applyFont="1" applyFill="1" applyBorder="1" applyAlignment="1">
      <alignment horizontal="right" vertical="center"/>
    </xf>
    <xf numFmtId="167" fontId="3" fillId="0" borderId="0" xfId="2" applyNumberFormat="1" applyFont="1" applyFill="1" applyBorder="1" applyAlignment="1">
      <alignment horizontal="right" vertical="top" wrapText="1"/>
    </xf>
    <xf numFmtId="167" fontId="3" fillId="0" borderId="0" xfId="2" applyNumberFormat="1" applyFont="1" applyFill="1" applyBorder="1" applyAlignment="1">
      <alignment horizontal="right" vertical="center"/>
    </xf>
    <xf numFmtId="167" fontId="10" fillId="0" borderId="0" xfId="2" applyNumberFormat="1" applyFont="1" applyFill="1" applyBorder="1" applyAlignment="1">
      <alignment horizontal="right" vertical="center"/>
    </xf>
    <xf numFmtId="165" fontId="19" fillId="5" borderId="1" xfId="2" applyNumberFormat="1" applyFont="1" applyFill="1" applyBorder="1" applyAlignment="1">
      <alignment horizontal="center" vertical="center" wrapText="1"/>
    </xf>
    <xf numFmtId="0" fontId="20"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167" fontId="3" fillId="0" borderId="0" xfId="0" applyNumberFormat="1" applyFont="1" applyFill="1" applyBorder="1" applyAlignment="1">
      <alignment vertical="center"/>
    </xf>
    <xf numFmtId="0" fontId="0" fillId="0" borderId="0" xfId="0" applyFill="1"/>
    <xf numFmtId="167" fontId="19" fillId="5" borderId="1" xfId="2" applyNumberFormat="1" applyFont="1" applyFill="1" applyBorder="1" applyAlignment="1">
      <alignment horizontal="center" vertical="center" wrapText="1"/>
    </xf>
    <xf numFmtId="167" fontId="3" fillId="5" borderId="1" xfId="0" applyNumberFormat="1" applyFont="1" applyFill="1" applyBorder="1" applyAlignment="1">
      <alignment horizontal="right" vertical="center"/>
    </xf>
    <xf numFmtId="0" fontId="0" fillId="0" borderId="0" xfId="0" applyFill="1" applyBorder="1"/>
    <xf numFmtId="167" fontId="24" fillId="0" borderId="1" xfId="0" applyNumberFormat="1" applyFont="1" applyFill="1" applyBorder="1" applyAlignment="1">
      <alignment horizontal="center" vertical="center"/>
    </xf>
    <xf numFmtId="167" fontId="1" fillId="0" borderId="0" xfId="0" applyNumberFormat="1" applyFont="1" applyFill="1" applyBorder="1" applyAlignment="1">
      <alignment vertical="center"/>
    </xf>
    <xf numFmtId="0" fontId="26" fillId="0" borderId="1" xfId="0" applyFont="1" applyBorder="1" applyAlignment="1">
      <alignment horizontal="center" vertical="center" wrapText="1"/>
    </xf>
    <xf numFmtId="0" fontId="21" fillId="4" borderId="1" xfId="0" applyFont="1" applyFill="1" applyBorder="1" applyAlignment="1">
      <alignment horizontal="left" vertical="center" wrapText="1"/>
    </xf>
    <xf numFmtId="0" fontId="25" fillId="0" borderId="0" xfId="0" applyFont="1"/>
    <xf numFmtId="0" fontId="26" fillId="0" borderId="0" xfId="0" applyFont="1"/>
    <xf numFmtId="167" fontId="19" fillId="5"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0" fontId="22" fillId="0" borderId="2" xfId="0" applyFont="1" applyFill="1" applyBorder="1" applyAlignment="1" applyProtection="1">
      <alignment horizontal="center" vertical="center" wrapText="1"/>
      <protection locked="0"/>
    </xf>
    <xf numFmtId="165" fontId="19" fillId="0" borderId="4" xfId="0" applyNumberFormat="1" applyFont="1" applyFill="1" applyBorder="1" applyAlignment="1">
      <alignment horizontal="center" vertical="center" wrapText="1"/>
    </xf>
    <xf numFmtId="0" fontId="24" fillId="0" borderId="1" xfId="0" applyFont="1" applyBorder="1" applyAlignment="1">
      <alignment horizontal="left" vertical="top" wrapText="1"/>
    </xf>
    <xf numFmtId="167" fontId="3" fillId="5" borderId="1" xfId="0" applyNumberFormat="1" applyFont="1" applyFill="1" applyBorder="1" applyAlignment="1">
      <alignment horizontal="center" vertical="center"/>
    </xf>
    <xf numFmtId="167" fontId="1" fillId="5" borderId="14" xfId="0" applyNumberFormat="1" applyFont="1" applyFill="1" applyBorder="1" applyAlignment="1">
      <alignment horizontal="center" vertical="center"/>
    </xf>
    <xf numFmtId="167" fontId="1" fillId="5" borderId="1" xfId="0" applyNumberFormat="1" applyFont="1" applyFill="1" applyBorder="1" applyAlignment="1">
      <alignment horizontal="center" vertical="center"/>
    </xf>
    <xf numFmtId="0" fontId="24" fillId="5" borderId="10" xfId="0" applyFont="1" applyFill="1" applyBorder="1" applyAlignment="1">
      <alignment vertical="center" wrapText="1"/>
    </xf>
    <xf numFmtId="167" fontId="3" fillId="0" borderId="0" xfId="0" applyNumberFormat="1" applyFont="1" applyFill="1" applyAlignment="1">
      <alignment horizontal="right" vertical="center"/>
    </xf>
    <xf numFmtId="0" fontId="19" fillId="5" borderId="1" xfId="0" applyFont="1" applyFill="1" applyBorder="1" applyAlignment="1" applyProtection="1">
      <alignment horizontal="left" vertical="center" wrapText="1"/>
      <protection locked="0"/>
    </xf>
    <xf numFmtId="0" fontId="24" fillId="5"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9" fillId="0" borderId="0" xfId="0" applyFont="1" applyAlignment="1">
      <alignment horizontal="left" readingOrder="1"/>
    </xf>
    <xf numFmtId="0" fontId="26" fillId="0" borderId="0" xfId="0" applyFont="1" applyAlignment="1"/>
    <xf numFmtId="165" fontId="3" fillId="0" borderId="7" xfId="0" applyNumberFormat="1" applyFont="1" applyFill="1" applyBorder="1" applyAlignment="1">
      <alignment horizontal="left" vertical="center" wrapText="1"/>
    </xf>
    <xf numFmtId="167" fontId="21" fillId="5" borderId="1" xfId="2" applyNumberFormat="1" applyFont="1" applyFill="1" applyBorder="1" applyAlignment="1">
      <alignment horizontal="center" vertical="center" wrapText="1"/>
    </xf>
    <xf numFmtId="167" fontId="24" fillId="5" borderId="1" xfId="0" applyNumberFormat="1" applyFont="1" applyFill="1" applyBorder="1" applyAlignment="1">
      <alignment horizontal="center" vertical="center"/>
    </xf>
    <xf numFmtId="0" fontId="3" fillId="0" borderId="0" xfId="0" applyFont="1" applyFill="1" applyAlignment="1">
      <alignment vertical="center"/>
    </xf>
    <xf numFmtId="0" fontId="23" fillId="0" borderId="0" xfId="0" applyFont="1" applyFill="1" applyAlignment="1">
      <alignment horizontal="center" vertical="center" wrapText="1"/>
    </xf>
    <xf numFmtId="0" fontId="23" fillId="0" borderId="0" xfId="0" applyFont="1" applyFill="1" applyAlignment="1">
      <alignment horizontal="left" vertical="center" wrapText="1"/>
    </xf>
    <xf numFmtId="0" fontId="25" fillId="0" borderId="1" xfId="0" applyFont="1" applyBorder="1" applyAlignment="1">
      <alignment horizontal="center" vertical="center" wrapText="1"/>
    </xf>
    <xf numFmtId="165" fontId="3" fillId="0" borderId="0" xfId="0" applyNumberFormat="1" applyFont="1" applyFill="1" applyBorder="1" applyAlignment="1">
      <alignment vertical="center"/>
    </xf>
    <xf numFmtId="0" fontId="24" fillId="5" borderId="8" xfId="0" applyFont="1" applyFill="1" applyBorder="1" applyAlignment="1">
      <alignment horizontal="left" vertical="center" wrapText="1"/>
    </xf>
    <xf numFmtId="49" fontId="19" fillId="0" borderId="10" xfId="0" applyNumberFormat="1" applyFont="1" applyFill="1" applyBorder="1" applyAlignment="1">
      <alignment horizontal="center" vertical="center" wrapText="1"/>
    </xf>
    <xf numFmtId="0" fontId="22" fillId="5" borderId="10" xfId="0" applyFont="1" applyFill="1" applyBorder="1" applyAlignment="1" applyProtection="1">
      <alignment horizontal="center" vertical="center" wrapText="1"/>
      <protection locked="0"/>
    </xf>
    <xf numFmtId="165" fontId="19" fillId="0" borderId="6" xfId="0" applyNumberFormat="1" applyFont="1" applyFill="1" applyBorder="1" applyAlignment="1">
      <alignment horizontal="center" vertical="center" wrapText="1"/>
    </xf>
    <xf numFmtId="0" fontId="22" fillId="0" borderId="6"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xf>
    <xf numFmtId="0" fontId="24" fillId="5" borderId="10" xfId="0" applyFont="1" applyFill="1" applyBorder="1" applyAlignment="1">
      <alignment horizontal="left" vertical="center" wrapText="1"/>
    </xf>
    <xf numFmtId="0" fontId="22" fillId="5" borderId="10" xfId="0" applyFont="1" applyFill="1" applyBorder="1" applyAlignment="1" applyProtection="1">
      <alignment horizontal="left" vertical="center" wrapText="1"/>
      <protection locked="0"/>
    </xf>
    <xf numFmtId="0" fontId="22" fillId="0" borderId="10"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0" fontId="19" fillId="5" borderId="10" xfId="0" applyFont="1" applyFill="1" applyBorder="1" applyAlignment="1">
      <alignment horizontal="center" vertical="center" wrapText="1"/>
    </xf>
    <xf numFmtId="1" fontId="19" fillId="0" borderId="6" xfId="0" applyNumberFormat="1" applyFont="1" applyFill="1" applyBorder="1" applyAlignment="1">
      <alignment horizontal="center" vertical="center" wrapText="1"/>
    </xf>
    <xf numFmtId="49" fontId="22" fillId="5" borderId="10" xfId="0" applyNumberFormat="1" applyFont="1" applyFill="1" applyBorder="1" applyAlignment="1" applyProtection="1">
      <alignment horizontal="center" vertical="center" wrapText="1"/>
      <protection locked="0"/>
    </xf>
    <xf numFmtId="49" fontId="22" fillId="5" borderId="3" xfId="0" applyNumberFormat="1" applyFont="1" applyFill="1" applyBorder="1" applyAlignment="1" applyProtection="1">
      <alignment horizontal="center" vertical="center" wrapText="1"/>
      <protection locked="0"/>
    </xf>
    <xf numFmtId="49" fontId="22" fillId="5" borderId="1" xfId="0" applyNumberFormat="1" applyFont="1" applyFill="1" applyBorder="1" applyAlignment="1" applyProtection="1">
      <alignment horizontal="center" vertical="center" wrapText="1"/>
      <protection locked="0"/>
    </xf>
    <xf numFmtId="49" fontId="22" fillId="0" borderId="1" xfId="0" applyNumberFormat="1" applyFont="1" applyFill="1" applyBorder="1" applyAlignment="1" applyProtection="1">
      <alignment horizontal="center" vertical="center" wrapText="1"/>
      <protection locked="0"/>
    </xf>
    <xf numFmtId="0" fontId="23" fillId="0" borderId="0" xfId="0" applyFont="1" applyFill="1" applyAlignment="1">
      <alignment horizontal="center" vertical="center" wrapText="1"/>
    </xf>
    <xf numFmtId="0" fontId="23" fillId="0" borderId="0" xfId="0" applyFont="1" applyFill="1" applyAlignment="1">
      <alignment horizontal="left" vertical="center" wrapText="1"/>
    </xf>
    <xf numFmtId="0" fontId="25" fillId="0" borderId="1" xfId="0" applyFont="1" applyBorder="1" applyAlignment="1">
      <alignment horizontal="center" vertical="center" wrapText="1"/>
    </xf>
    <xf numFmtId="49" fontId="19" fillId="0" borderId="10" xfId="0" applyNumberFormat="1" applyFont="1" applyFill="1" applyBorder="1" applyAlignment="1">
      <alignment horizontal="center" vertical="center" wrapText="1"/>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center" vertical="center" wrapText="1"/>
      <protection locked="0"/>
    </xf>
    <xf numFmtId="0" fontId="24" fillId="5" borderId="10" xfId="0" applyFont="1" applyFill="1" applyBorder="1" applyAlignment="1">
      <alignment horizontal="left" vertical="center" wrapText="1"/>
    </xf>
    <xf numFmtId="49" fontId="22" fillId="5" borderId="10" xfId="0" applyNumberFormat="1" applyFont="1" applyFill="1" applyBorder="1" applyAlignment="1" applyProtection="1">
      <alignment horizontal="center" vertical="center" wrapText="1"/>
      <protection locked="0"/>
    </xf>
    <xf numFmtId="0" fontId="19" fillId="5" borderId="10" xfId="0" applyFont="1" applyFill="1" applyBorder="1" applyAlignment="1">
      <alignment horizontal="center" vertical="center" wrapText="1"/>
    </xf>
    <xf numFmtId="165" fontId="19" fillId="0" borderId="6" xfId="0" applyNumberFormat="1" applyFont="1" applyFill="1" applyBorder="1" applyAlignment="1">
      <alignment horizontal="center" vertical="center" wrapText="1"/>
    </xf>
    <xf numFmtId="0" fontId="22" fillId="0" borderId="6" xfId="0" applyFont="1" applyFill="1" applyBorder="1" applyAlignment="1" applyProtection="1">
      <alignment horizontal="left" vertical="center" wrapText="1"/>
      <protection locked="0"/>
    </xf>
    <xf numFmtId="1" fontId="19" fillId="0" borderId="6" xfId="0" applyNumberFormat="1" applyFont="1" applyFill="1" applyBorder="1" applyAlignment="1">
      <alignment horizontal="center" vertical="center" wrapText="1"/>
    </xf>
    <xf numFmtId="1" fontId="19" fillId="0" borderId="6" xfId="0" applyNumberFormat="1" applyFont="1" applyFill="1" applyBorder="1" applyAlignment="1">
      <alignment horizontal="center" vertical="center" wrapText="1"/>
    </xf>
    <xf numFmtId="0" fontId="22" fillId="5" borderId="10" xfId="0" applyFont="1" applyFill="1" applyBorder="1" applyAlignment="1" applyProtection="1">
      <alignment horizontal="center" vertical="center" wrapText="1"/>
      <protection locked="0"/>
    </xf>
    <xf numFmtId="49" fontId="22" fillId="5" borderId="10" xfId="0" applyNumberFormat="1" applyFont="1" applyFill="1" applyBorder="1" applyAlignment="1" applyProtection="1">
      <alignment horizontal="center" vertical="center" wrapText="1"/>
      <protection locked="0"/>
    </xf>
    <xf numFmtId="0" fontId="24" fillId="5" borderId="10" xfId="0" applyFont="1" applyFill="1" applyBorder="1" applyAlignment="1">
      <alignment horizontal="left" vertical="center" wrapText="1"/>
    </xf>
    <xf numFmtId="0" fontId="19" fillId="5" borderId="10" xfId="0"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165" fontId="19" fillId="0" borderId="6" xfId="0" applyNumberFormat="1" applyFont="1" applyFill="1" applyBorder="1" applyAlignment="1">
      <alignment horizontal="center" vertical="center" wrapText="1"/>
    </xf>
    <xf numFmtId="0" fontId="22" fillId="0" borderId="10"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167" fontId="1" fillId="0" borderId="14" xfId="0" applyNumberFormat="1" applyFont="1" applyFill="1" applyBorder="1" applyAlignment="1">
      <alignment horizontal="center" vertical="center"/>
    </xf>
    <xf numFmtId="0" fontId="25" fillId="0" borderId="1" xfId="0" applyFont="1" applyBorder="1" applyAlignment="1">
      <alignment horizontal="center" vertical="center" wrapText="1"/>
    </xf>
    <xf numFmtId="0" fontId="23" fillId="0" borderId="0" xfId="0" applyFont="1" applyFill="1" applyAlignment="1">
      <alignment horizontal="center" vertical="center" wrapText="1"/>
    </xf>
    <xf numFmtId="0" fontId="23" fillId="0" borderId="0" xfId="0" applyFont="1" applyFill="1" applyAlignment="1">
      <alignment horizontal="left" vertical="center" wrapText="1"/>
    </xf>
    <xf numFmtId="167" fontId="1" fillId="0" borderId="14" xfId="0" applyNumberFormat="1" applyFont="1" applyFill="1" applyBorder="1" applyAlignment="1">
      <alignment horizontal="center" vertical="center"/>
    </xf>
    <xf numFmtId="165" fontId="19" fillId="0" borderId="6" xfId="0" applyNumberFormat="1" applyFont="1" applyFill="1" applyBorder="1" applyAlignment="1">
      <alignment horizontal="center" vertical="center" wrapText="1"/>
    </xf>
    <xf numFmtId="0" fontId="22" fillId="0" borderId="10" xfId="0" applyFont="1" applyFill="1" applyBorder="1" applyAlignment="1" applyProtection="1">
      <alignment horizontal="left" vertical="center" wrapText="1"/>
      <protection locked="0"/>
    </xf>
    <xf numFmtId="0" fontId="24" fillId="0" borderId="8" xfId="0" applyFont="1" applyFill="1" applyBorder="1" applyAlignment="1">
      <alignment horizontal="left" vertical="center" wrapText="1"/>
    </xf>
    <xf numFmtId="0" fontId="21" fillId="0" borderId="1" xfId="0" applyFont="1" applyFill="1" applyBorder="1" applyAlignment="1">
      <alignment horizontal="left" vertical="center" wrapText="1"/>
    </xf>
    <xf numFmtId="167" fontId="21" fillId="0" borderId="1" xfId="2" applyNumberFormat="1" applyFont="1" applyFill="1" applyBorder="1" applyAlignment="1">
      <alignment horizontal="center" vertical="center" wrapText="1"/>
    </xf>
    <xf numFmtId="165" fontId="21" fillId="0" borderId="1" xfId="0" applyNumberFormat="1" applyFont="1" applyFill="1" applyBorder="1" applyAlignment="1">
      <alignment horizontal="left" vertical="center" wrapText="1"/>
    </xf>
    <xf numFmtId="0" fontId="21" fillId="0" borderId="1" xfId="0" applyFont="1" applyFill="1" applyBorder="1" applyAlignment="1" applyProtection="1">
      <alignment horizontal="left" vertical="center" wrapText="1"/>
      <protection locked="0"/>
    </xf>
    <xf numFmtId="0" fontId="24" fillId="0" borderId="1" xfId="0" applyFont="1" applyFill="1" applyBorder="1" applyAlignment="1">
      <alignment horizontal="left" vertical="top" wrapText="1"/>
    </xf>
    <xf numFmtId="167" fontId="19" fillId="0" borderId="1" xfId="0" applyNumberFormat="1" applyFont="1" applyFill="1" applyBorder="1" applyAlignment="1">
      <alignment horizontal="center" vertical="center"/>
    </xf>
    <xf numFmtId="167" fontId="3" fillId="0" borderId="1" xfId="0" applyNumberFormat="1" applyFont="1" applyFill="1" applyBorder="1" applyAlignment="1">
      <alignment horizontal="center" vertical="center"/>
    </xf>
    <xf numFmtId="0" fontId="24" fillId="5" borderId="10" xfId="0" applyFont="1" applyFill="1" applyBorder="1" applyAlignment="1">
      <alignment horizontal="left" vertical="center" wrapText="1"/>
    </xf>
    <xf numFmtId="0" fontId="22" fillId="5" borderId="10" xfId="0" applyFont="1" applyFill="1" applyBorder="1" applyAlignment="1" applyProtection="1">
      <alignment horizontal="left" vertical="center" wrapText="1"/>
      <protection locked="0"/>
    </xf>
    <xf numFmtId="0" fontId="24" fillId="0" borderId="8" xfId="0" applyFont="1" applyFill="1" applyBorder="1" applyAlignment="1">
      <alignment horizontal="left" vertical="center" wrapText="1"/>
    </xf>
    <xf numFmtId="0" fontId="3" fillId="5" borderId="0" xfId="0" applyFont="1" applyFill="1" applyAlignment="1">
      <alignment vertical="center"/>
    </xf>
    <xf numFmtId="0" fontId="3" fillId="5" borderId="0" xfId="0" applyFont="1" applyFill="1" applyAlignment="1">
      <alignment horizontal="left" vertical="center"/>
    </xf>
    <xf numFmtId="0" fontId="1" fillId="5" borderId="0" xfId="0" applyFont="1" applyFill="1" applyAlignment="1">
      <alignment vertical="center"/>
    </xf>
    <xf numFmtId="0" fontId="3" fillId="5" borderId="0" xfId="0" applyFont="1" applyFill="1" applyBorder="1" applyAlignment="1">
      <alignment horizontal="center" vertical="center"/>
    </xf>
    <xf numFmtId="0" fontId="21" fillId="5" borderId="1" xfId="0" applyFont="1" applyFill="1" applyBorder="1" applyAlignment="1">
      <alignment horizontal="left" vertical="center" wrapText="1"/>
    </xf>
    <xf numFmtId="165" fontId="21" fillId="5" borderId="1" xfId="0" applyNumberFormat="1" applyFont="1" applyFill="1" applyBorder="1" applyAlignment="1">
      <alignment horizontal="left" vertical="center" wrapText="1"/>
    </xf>
    <xf numFmtId="0" fontId="21" fillId="5" borderId="1" xfId="0" applyFont="1" applyFill="1" applyBorder="1" applyAlignment="1" applyProtection="1">
      <alignment horizontal="left" vertical="center" wrapText="1"/>
      <protection locked="0"/>
    </xf>
    <xf numFmtId="0" fontId="19" fillId="5" borderId="1" xfId="0" applyFont="1" applyFill="1" applyBorder="1" applyAlignment="1">
      <alignment horizontal="left" vertical="center" wrapText="1"/>
    </xf>
    <xf numFmtId="165" fontId="19" fillId="5" borderId="1" xfId="0" applyNumberFormat="1" applyFont="1" applyFill="1" applyBorder="1" applyAlignment="1">
      <alignment horizontal="left" vertical="center" wrapText="1"/>
    </xf>
    <xf numFmtId="166" fontId="19" fillId="5" borderId="1" xfId="2" applyNumberFormat="1" applyFont="1" applyFill="1" applyBorder="1" applyAlignment="1">
      <alignment horizontal="center" vertical="center" wrapText="1"/>
    </xf>
    <xf numFmtId="4" fontId="19" fillId="5" borderId="1" xfId="2" applyNumberFormat="1" applyFont="1" applyFill="1" applyBorder="1" applyAlignment="1">
      <alignment horizontal="center" vertical="center" wrapText="1"/>
    </xf>
    <xf numFmtId="165" fontId="19" fillId="5" borderId="1" xfId="0" applyNumberFormat="1" applyFont="1" applyFill="1" applyBorder="1" applyAlignment="1">
      <alignment horizontal="center" vertical="center" wrapText="1"/>
    </xf>
    <xf numFmtId="165" fontId="32" fillId="5" borderId="1" xfId="0" applyNumberFormat="1" applyFont="1" applyFill="1" applyBorder="1" applyAlignment="1">
      <alignment horizontal="left" vertical="center" wrapText="1"/>
    </xf>
    <xf numFmtId="0" fontId="20" fillId="5" borderId="0" xfId="0" applyFont="1" applyFill="1" applyAlignment="1">
      <alignment vertical="center"/>
    </xf>
    <xf numFmtId="165" fontId="21" fillId="5" borderId="1" xfId="2" applyNumberFormat="1" applyFont="1" applyFill="1" applyBorder="1" applyAlignment="1">
      <alignment horizontal="center" vertical="center" wrapText="1"/>
    </xf>
    <xf numFmtId="167" fontId="21" fillId="5" borderId="4" xfId="2" applyNumberFormat="1" applyFont="1" applyFill="1" applyBorder="1" applyAlignment="1">
      <alignment horizontal="center" vertical="center" wrapText="1"/>
    </xf>
    <xf numFmtId="167" fontId="19" fillId="5" borderId="4" xfId="2" applyNumberFormat="1" applyFont="1" applyFill="1" applyBorder="1" applyAlignment="1">
      <alignment horizontal="center" vertical="center" wrapText="1"/>
    </xf>
    <xf numFmtId="167" fontId="32" fillId="5" borderId="1" xfId="2" applyNumberFormat="1" applyFont="1" applyFill="1" applyBorder="1" applyAlignment="1">
      <alignment horizontal="center" vertical="center" wrapText="1"/>
    </xf>
    <xf numFmtId="165" fontId="32" fillId="5" borderId="1" xfId="2" applyNumberFormat="1" applyFont="1" applyFill="1" applyBorder="1" applyAlignment="1">
      <alignment horizontal="center" vertical="center" wrapText="1"/>
    </xf>
    <xf numFmtId="0" fontId="19" fillId="5" borderId="8" xfId="0" applyNumberFormat="1" applyFont="1" applyFill="1" applyBorder="1" applyAlignment="1">
      <alignment horizontal="center" vertical="center" wrapText="1"/>
    </xf>
    <xf numFmtId="167" fontId="2" fillId="5" borderId="0" xfId="0" applyNumberFormat="1" applyFont="1" applyFill="1" applyBorder="1" applyAlignment="1">
      <alignment vertical="center"/>
    </xf>
    <xf numFmtId="167" fontId="3" fillId="5" borderId="0" xfId="0" applyNumberFormat="1" applyFont="1" applyFill="1" applyBorder="1" applyAlignment="1">
      <alignment vertical="center"/>
    </xf>
    <xf numFmtId="165" fontId="3" fillId="5" borderId="0" xfId="0" applyNumberFormat="1" applyFont="1" applyFill="1" applyBorder="1" applyAlignment="1">
      <alignment vertical="center"/>
    </xf>
    <xf numFmtId="0" fontId="3" fillId="5" borderId="0" xfId="0" applyFont="1" applyFill="1" applyBorder="1" applyAlignment="1">
      <alignment vertical="center"/>
    </xf>
    <xf numFmtId="0" fontId="2" fillId="5" borderId="0" xfId="0" applyFont="1" applyFill="1" applyBorder="1" applyAlignment="1">
      <alignment vertical="center"/>
    </xf>
    <xf numFmtId="0" fontId="19" fillId="5" borderId="10"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20" fillId="5" borderId="0" xfId="0" applyFont="1" applyFill="1" applyBorder="1" applyAlignment="1">
      <alignment vertical="center"/>
    </xf>
    <xf numFmtId="167" fontId="3" fillId="5" borderId="1" xfId="0" applyNumberFormat="1" applyFont="1" applyFill="1" applyBorder="1" applyAlignment="1">
      <alignment horizontal="center" vertical="center"/>
    </xf>
    <xf numFmtId="165" fontId="3" fillId="5" borderId="0" xfId="0" applyNumberFormat="1" applyFont="1" applyFill="1" applyBorder="1" applyAlignment="1">
      <alignment vertical="center" wrapText="1"/>
    </xf>
    <xf numFmtId="167" fontId="1" fillId="5" borderId="0" xfId="0" applyNumberFormat="1" applyFont="1" applyFill="1" applyBorder="1" applyAlignment="1">
      <alignment vertical="center"/>
    </xf>
    <xf numFmtId="0" fontId="1" fillId="5" borderId="0" xfId="0" applyFont="1" applyFill="1" applyBorder="1" applyAlignment="1">
      <alignment vertical="center"/>
    </xf>
    <xf numFmtId="0" fontId="3" fillId="5" borderId="0" xfId="0" applyFont="1" applyFill="1" applyAlignment="1">
      <alignment horizontal="right" vertical="center"/>
    </xf>
    <xf numFmtId="166" fontId="3" fillId="5" borderId="0" xfId="0" applyNumberFormat="1" applyFont="1" applyFill="1" applyAlignment="1">
      <alignment vertical="center"/>
    </xf>
    <xf numFmtId="0" fontId="6" fillId="5" borderId="0" xfId="0" applyFont="1" applyFill="1"/>
    <xf numFmtId="0" fontId="6" fillId="5" borderId="0" xfId="0" applyFont="1" applyFill="1" applyBorder="1"/>
    <xf numFmtId="0" fontId="6" fillId="5" borderId="0" xfId="0" applyFont="1" applyFill="1" applyAlignment="1">
      <alignment horizontal="right"/>
    </xf>
    <xf numFmtId="0" fontId="6"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7" fontId="21" fillId="5" borderId="1" xfId="0" applyNumberFormat="1" applyFont="1" applyFill="1" applyBorder="1" applyAlignment="1">
      <alignment horizontal="center" vertical="center"/>
    </xf>
    <xf numFmtId="0" fontId="19" fillId="5" borderId="10" xfId="0" applyFont="1" applyFill="1" applyBorder="1" applyAlignment="1">
      <alignment vertical="center" wrapText="1"/>
    </xf>
    <xf numFmtId="0" fontId="19" fillId="5" borderId="1" xfId="0" applyFont="1" applyFill="1" applyBorder="1" applyAlignment="1">
      <alignment horizontal="center" vertical="center" wrapText="1"/>
    </xf>
    <xf numFmtId="0" fontId="34" fillId="5" borderId="0" xfId="0" applyFont="1" applyFill="1"/>
    <xf numFmtId="0" fontId="34" fillId="5" borderId="0" xfId="0" applyFont="1" applyFill="1" applyBorder="1"/>
    <xf numFmtId="0" fontId="3" fillId="5" borderId="0" xfId="0" applyFont="1" applyFill="1"/>
    <xf numFmtId="0" fontId="20" fillId="5" borderId="0" xfId="0" applyFont="1" applyFill="1" applyAlignment="1"/>
    <xf numFmtId="0" fontId="20" fillId="5" borderId="0" xfId="0" applyFont="1" applyFill="1" applyAlignment="1">
      <alignment horizontal="left" readingOrder="1"/>
    </xf>
    <xf numFmtId="0" fontId="6" fillId="5" borderId="1" xfId="0" applyFont="1" applyFill="1" applyBorder="1" applyAlignment="1">
      <alignment horizontal="center" vertical="center" wrapText="1"/>
    </xf>
    <xf numFmtId="167" fontId="6" fillId="5" borderId="0" xfId="0" applyNumberFormat="1" applyFont="1" applyFill="1"/>
    <xf numFmtId="166" fontId="6" fillId="5" borderId="0" xfId="0" applyNumberFormat="1" applyFont="1" applyFill="1"/>
    <xf numFmtId="165" fontId="19" fillId="5" borderId="6" xfId="0" applyNumberFormat="1" applyFont="1" applyFill="1" applyBorder="1" applyAlignment="1">
      <alignment horizontal="center" vertical="center" wrapText="1"/>
    </xf>
    <xf numFmtId="0" fontId="19" fillId="5" borderId="1" xfId="0" applyFont="1" applyFill="1" applyBorder="1" applyAlignment="1" applyProtection="1">
      <alignment horizontal="center" vertical="center" wrapText="1"/>
      <protection locked="0"/>
    </xf>
    <xf numFmtId="165" fontId="3" fillId="5" borderId="0" xfId="0" applyNumberFormat="1" applyFont="1" applyFill="1" applyBorder="1" applyAlignment="1">
      <alignment horizontal="center" vertical="center" wrapText="1"/>
    </xf>
    <xf numFmtId="0" fontId="19" fillId="5" borderId="0" xfId="0" applyFont="1" applyFill="1" applyBorder="1" applyAlignment="1" applyProtection="1">
      <alignment horizontal="left" vertical="center" wrapText="1"/>
      <protection locked="0"/>
    </xf>
    <xf numFmtId="167" fontId="19" fillId="5" borderId="0" xfId="2"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167" fontId="3" fillId="5" borderId="0" xfId="0" applyNumberFormat="1" applyFont="1" applyFill="1" applyBorder="1" applyAlignment="1">
      <alignment horizontal="center" vertical="center"/>
    </xf>
    <xf numFmtId="165" fontId="15" fillId="0" borderId="1" xfId="0" applyNumberFormat="1" applyFont="1" applyBorder="1" applyAlignment="1" applyProtection="1">
      <alignment vertical="center"/>
      <protection hidden="1"/>
    </xf>
    <xf numFmtId="165" fontId="15" fillId="0" borderId="1" xfId="0" applyNumberFormat="1" applyFont="1" applyBorder="1" applyAlignment="1">
      <alignment vertical="center"/>
    </xf>
    <xf numFmtId="165" fontId="15" fillId="0" borderId="1" xfId="0" applyNumberFormat="1" applyFont="1" applyBorder="1" applyAlignment="1" applyProtection="1">
      <alignment vertical="center" wrapText="1"/>
      <protection hidden="1"/>
    </xf>
    <xf numFmtId="165" fontId="15" fillId="0" borderId="4" xfId="0" applyNumberFormat="1" applyFont="1" applyBorder="1" applyAlignment="1" applyProtection="1">
      <alignment horizontal="center" vertical="top" wrapText="1"/>
      <protection hidden="1"/>
    </xf>
    <xf numFmtId="165" fontId="15" fillId="0" borderId="5" xfId="0" applyNumberFormat="1" applyFont="1" applyBorder="1" applyAlignment="1" applyProtection="1">
      <alignment horizontal="center" vertical="top" wrapText="1"/>
      <protection hidden="1"/>
    </xf>
    <xf numFmtId="165" fontId="15" fillId="0" borderId="2" xfId="0" applyNumberFormat="1" applyFont="1" applyBorder="1" applyAlignment="1" applyProtection="1">
      <alignment horizontal="center" vertical="top" wrapText="1"/>
      <protection hidden="1"/>
    </xf>
    <xf numFmtId="165" fontId="15" fillId="2" borderId="4" xfId="0" applyNumberFormat="1" applyFont="1" applyFill="1" applyBorder="1" applyAlignment="1" applyProtection="1">
      <alignment horizontal="center" vertical="top" wrapText="1"/>
      <protection hidden="1"/>
    </xf>
    <xf numFmtId="165" fontId="15" fillId="2" borderId="2" xfId="0" applyNumberFormat="1" applyFont="1" applyFill="1" applyBorder="1" applyAlignment="1" applyProtection="1">
      <alignment horizontal="center" vertical="top" wrapText="1"/>
      <protection hidden="1"/>
    </xf>
    <xf numFmtId="165" fontId="15" fillId="2" borderId="5" xfId="0" applyNumberFormat="1" applyFont="1" applyFill="1" applyBorder="1" applyAlignment="1" applyProtection="1">
      <alignment horizontal="center" vertical="top" wrapText="1"/>
      <protection hidden="1"/>
    </xf>
    <xf numFmtId="0" fontId="4" fillId="0" borderId="0" xfId="0" applyFont="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left" vertical="top"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6" xfId="0" applyFont="1" applyFill="1" applyBorder="1" applyAlignment="1">
      <alignment horizontal="left" vertical="top"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3" borderId="1" xfId="0"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16" fontId="3" fillId="0" borderId="6"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3" borderId="1" xfId="0" applyFont="1" applyFill="1" applyBorder="1" applyAlignment="1">
      <alignment horizontal="left" vertical="top" wrapText="1"/>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6" fillId="0" borderId="0" xfId="0" applyFont="1" applyAlignment="1">
      <alignment horizontal="left"/>
    </xf>
    <xf numFmtId="165" fontId="1" fillId="4" borderId="11" xfId="0" applyNumberFormat="1" applyFont="1" applyFill="1" applyBorder="1" applyAlignment="1">
      <alignment horizontal="center" vertical="center"/>
    </xf>
    <xf numFmtId="165" fontId="1" fillId="4" borderId="12" xfId="0" applyNumberFormat="1" applyFont="1" applyFill="1" applyBorder="1" applyAlignment="1">
      <alignment horizontal="center" vertical="center"/>
    </xf>
    <xf numFmtId="165" fontId="1" fillId="4" borderId="13" xfId="0" applyNumberFormat="1" applyFont="1" applyFill="1" applyBorder="1" applyAlignment="1">
      <alignment horizontal="center" vertical="center"/>
    </xf>
    <xf numFmtId="165" fontId="1" fillId="4" borderId="9" xfId="0" applyNumberFormat="1" applyFont="1" applyFill="1" applyBorder="1" applyAlignment="1">
      <alignment horizontal="center" vertical="center"/>
    </xf>
    <xf numFmtId="165" fontId="1" fillId="4" borderId="0" xfId="0" applyNumberFormat="1" applyFont="1" applyFill="1" applyBorder="1" applyAlignment="1">
      <alignment horizontal="center" vertical="center"/>
    </xf>
    <xf numFmtId="165" fontId="1" fillId="4" borderId="14"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xf>
    <xf numFmtId="165" fontId="1" fillId="4" borderId="7" xfId="0" applyNumberFormat="1" applyFont="1" applyFill="1" applyBorder="1" applyAlignment="1">
      <alignment horizontal="center" vertical="center"/>
    </xf>
    <xf numFmtId="165" fontId="1" fillId="4" borderId="3" xfId="0" applyNumberFormat="1" applyFont="1" applyFill="1" applyBorder="1" applyAlignment="1">
      <alignment horizontal="center" vertical="center"/>
    </xf>
    <xf numFmtId="0" fontId="25" fillId="0" borderId="10"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6" xfId="0" applyFont="1" applyFill="1" applyBorder="1" applyAlignment="1">
      <alignment horizontal="center" vertical="center" wrapText="1"/>
    </xf>
    <xf numFmtId="167" fontId="3" fillId="5" borderId="10" xfId="0" applyNumberFormat="1" applyFont="1" applyFill="1" applyBorder="1" applyAlignment="1">
      <alignment horizontal="center" vertical="center"/>
    </xf>
    <xf numFmtId="167" fontId="3" fillId="5" borderId="8" xfId="0" applyNumberFormat="1" applyFont="1" applyFill="1" applyBorder="1" applyAlignment="1">
      <alignment horizontal="center" vertical="center"/>
    </xf>
    <xf numFmtId="167" fontId="3" fillId="5" borderId="6" xfId="0" applyNumberFormat="1" applyFont="1" applyFill="1" applyBorder="1" applyAlignment="1">
      <alignment horizontal="center" vertical="center"/>
    </xf>
    <xf numFmtId="0" fontId="3" fillId="0" borderId="0" xfId="0" applyFont="1" applyFill="1" applyAlignment="1">
      <alignment vertical="center" wrapText="1"/>
    </xf>
    <xf numFmtId="0" fontId="0" fillId="0" borderId="0" xfId="0" applyAlignment="1">
      <alignment vertical="center" wrapText="1"/>
    </xf>
    <xf numFmtId="0" fontId="0" fillId="0" borderId="0" xfId="0" applyAlignment="1">
      <alignment vertical="center"/>
    </xf>
    <xf numFmtId="1" fontId="19" fillId="0" borderId="10" xfId="0" applyNumberFormat="1" applyFont="1" applyFill="1" applyBorder="1" applyAlignment="1">
      <alignment horizontal="center" vertical="center" wrapText="1"/>
    </xf>
    <xf numFmtId="1" fontId="19" fillId="0" borderId="8" xfId="0" applyNumberFormat="1" applyFont="1" applyFill="1" applyBorder="1" applyAlignment="1">
      <alignment horizontal="center" vertical="center" wrapText="1"/>
    </xf>
    <xf numFmtId="1" fontId="19" fillId="0" borderId="6" xfId="0" applyNumberFormat="1" applyFont="1" applyFill="1" applyBorder="1" applyAlignment="1">
      <alignment horizontal="center" vertical="center" wrapText="1"/>
    </xf>
    <xf numFmtId="0" fontId="22" fillId="5" borderId="10" xfId="0" applyFont="1" applyFill="1" applyBorder="1" applyAlignment="1" applyProtection="1">
      <alignment horizontal="left" vertical="center" wrapText="1"/>
      <protection locked="0"/>
    </xf>
    <xf numFmtId="0" fontId="22" fillId="5" borderId="8" xfId="0" applyFont="1" applyFill="1" applyBorder="1" applyAlignment="1" applyProtection="1">
      <alignment horizontal="left" vertical="center" wrapText="1"/>
      <protection locked="0"/>
    </xf>
    <xf numFmtId="0" fontId="22" fillId="5" borderId="6"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center" vertical="center" wrapText="1"/>
      <protection locked="0"/>
    </xf>
    <xf numFmtId="0" fontId="22" fillId="5" borderId="8" xfId="0" applyFont="1" applyFill="1" applyBorder="1" applyAlignment="1" applyProtection="1">
      <alignment horizontal="center" vertical="center" wrapText="1"/>
      <protection locked="0"/>
    </xf>
    <xf numFmtId="0" fontId="22" fillId="5" borderId="6" xfId="0" applyFont="1" applyFill="1" applyBorder="1" applyAlignment="1" applyProtection="1">
      <alignment horizontal="center" vertical="center" wrapText="1"/>
      <protection locked="0"/>
    </xf>
    <xf numFmtId="49" fontId="22" fillId="5" borderId="10" xfId="0" applyNumberFormat="1" applyFont="1" applyFill="1" applyBorder="1" applyAlignment="1" applyProtection="1">
      <alignment horizontal="center" vertical="center" wrapText="1"/>
      <protection locked="0"/>
    </xf>
    <xf numFmtId="49" fontId="22" fillId="5" borderId="8" xfId="0" applyNumberFormat="1" applyFont="1" applyFill="1" applyBorder="1" applyAlignment="1" applyProtection="1">
      <alignment horizontal="center" vertical="center" wrapText="1"/>
      <protection locked="0"/>
    </xf>
    <xf numFmtId="49" fontId="22" fillId="5" borderId="6" xfId="0" applyNumberFormat="1" applyFont="1" applyFill="1" applyBorder="1" applyAlignment="1" applyProtection="1">
      <alignment horizontal="center" vertical="center" wrapText="1"/>
      <protection locked="0"/>
    </xf>
    <xf numFmtId="0" fontId="24" fillId="5" borderId="10"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24" fillId="5" borderId="6" xfId="0" applyFont="1" applyFill="1" applyBorder="1" applyAlignment="1">
      <alignment horizontal="left" vertical="center" wrapText="1"/>
    </xf>
    <xf numFmtId="0" fontId="19" fillId="5" borderId="10"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24" fillId="0" borderId="10"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165" fontId="20" fillId="0" borderId="4" xfId="0" applyNumberFormat="1" applyFont="1" applyFill="1" applyBorder="1" applyAlignment="1">
      <alignment horizontal="left" vertical="center" wrapText="1"/>
    </xf>
    <xf numFmtId="165" fontId="20" fillId="0" borderId="5" xfId="0" applyNumberFormat="1" applyFont="1" applyFill="1" applyBorder="1" applyAlignment="1">
      <alignment horizontal="left" vertical="center" wrapText="1"/>
    </xf>
    <xf numFmtId="165" fontId="20" fillId="0" borderId="2" xfId="0" applyNumberFormat="1" applyFont="1" applyFill="1" applyBorder="1" applyAlignment="1">
      <alignment horizontal="left" vertical="center" wrapText="1"/>
    </xf>
    <xf numFmtId="0" fontId="28" fillId="4" borderId="11" xfId="0" applyFont="1" applyFill="1" applyBorder="1" applyAlignment="1" applyProtection="1">
      <alignment horizontal="left" vertical="center" wrapText="1"/>
      <protection locked="0"/>
    </xf>
    <xf numFmtId="0" fontId="28" fillId="4" borderId="12" xfId="0" applyFont="1" applyFill="1" applyBorder="1" applyAlignment="1" applyProtection="1">
      <alignment horizontal="left" vertical="center" wrapText="1"/>
      <protection locked="0"/>
    </xf>
    <xf numFmtId="0" fontId="28" fillId="4" borderId="13" xfId="0" applyFont="1" applyFill="1" applyBorder="1" applyAlignment="1" applyProtection="1">
      <alignment horizontal="left" vertical="center" wrapText="1"/>
      <protection locked="0"/>
    </xf>
    <xf numFmtId="0" fontId="28" fillId="4" borderId="9" xfId="0" applyFont="1" applyFill="1" applyBorder="1" applyAlignment="1" applyProtection="1">
      <alignment horizontal="left" vertical="center" wrapText="1"/>
      <protection locked="0"/>
    </xf>
    <xf numFmtId="0" fontId="28" fillId="4" borderId="0" xfId="0" applyFont="1" applyFill="1" applyBorder="1" applyAlignment="1" applyProtection="1">
      <alignment horizontal="left" vertical="center" wrapText="1"/>
      <protection locked="0"/>
    </xf>
    <xf numFmtId="0" fontId="28" fillId="4" borderId="14" xfId="0" applyFont="1" applyFill="1" applyBorder="1" applyAlignment="1" applyProtection="1">
      <alignment horizontal="left" vertical="center" wrapText="1"/>
      <protection locked="0"/>
    </xf>
    <xf numFmtId="0" fontId="28" fillId="4" borderId="15" xfId="0" applyFont="1" applyFill="1" applyBorder="1" applyAlignment="1" applyProtection="1">
      <alignment horizontal="left" vertical="center" wrapText="1"/>
      <protection locked="0"/>
    </xf>
    <xf numFmtId="0" fontId="28" fillId="4" borderId="7" xfId="0" applyFont="1" applyFill="1" applyBorder="1" applyAlignment="1" applyProtection="1">
      <alignment horizontal="left" vertical="center" wrapText="1"/>
      <protection locked="0"/>
    </xf>
    <xf numFmtId="0" fontId="28" fillId="4" borderId="3" xfId="0" applyFont="1" applyFill="1" applyBorder="1" applyAlignment="1" applyProtection="1">
      <alignment horizontal="left" vertical="center" wrapText="1"/>
      <protection locked="0"/>
    </xf>
    <xf numFmtId="167" fontId="1" fillId="0" borderId="10" xfId="0" applyNumberFormat="1" applyFont="1" applyFill="1" applyBorder="1" applyAlignment="1">
      <alignment horizontal="center" vertical="center"/>
    </xf>
    <xf numFmtId="167" fontId="1" fillId="0" borderId="8" xfId="0" applyNumberFormat="1" applyFont="1" applyFill="1" applyBorder="1" applyAlignment="1">
      <alignment horizontal="center" vertical="center"/>
    </xf>
    <xf numFmtId="167" fontId="1" fillId="0" borderId="6" xfId="0" applyNumberFormat="1" applyFont="1" applyFill="1" applyBorder="1" applyAlignment="1">
      <alignment horizontal="center" vertical="center"/>
    </xf>
    <xf numFmtId="49" fontId="19" fillId="0" borderId="10" xfId="0" applyNumberFormat="1" applyFont="1" applyFill="1" applyBorder="1" applyAlignment="1">
      <alignment horizontal="center" vertical="center" wrapText="1"/>
    </xf>
    <xf numFmtId="49" fontId="19" fillId="0" borderId="8" xfId="0" applyNumberFormat="1" applyFont="1" applyFill="1" applyBorder="1" applyAlignment="1">
      <alignment horizontal="center" vertical="center" wrapText="1"/>
    </xf>
    <xf numFmtId="49" fontId="19" fillId="0" borderId="6" xfId="0" applyNumberFormat="1"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5" fillId="5" borderId="6" xfId="0" applyFont="1" applyFill="1" applyBorder="1" applyAlignment="1">
      <alignment horizontal="center" vertical="center" wrapText="1"/>
    </xf>
    <xf numFmtId="165" fontId="19" fillId="0" borderId="10" xfId="0" applyNumberFormat="1" applyFont="1" applyFill="1" applyBorder="1" applyAlignment="1">
      <alignment horizontal="center" vertical="center" wrapText="1"/>
    </xf>
    <xf numFmtId="165" fontId="19" fillId="0" borderId="8" xfId="0" applyNumberFormat="1" applyFont="1" applyFill="1" applyBorder="1" applyAlignment="1">
      <alignment horizontal="center" vertical="center" wrapText="1"/>
    </xf>
    <xf numFmtId="165" fontId="19" fillId="0" borderId="6" xfId="0" applyNumberFormat="1" applyFont="1" applyFill="1" applyBorder="1" applyAlignment="1">
      <alignment horizontal="center" vertical="center" wrapText="1"/>
    </xf>
    <xf numFmtId="0" fontId="22" fillId="0" borderId="10" xfId="0" applyFont="1" applyFill="1" applyBorder="1" applyAlignment="1" applyProtection="1">
      <alignment horizontal="left" vertical="center" wrapText="1"/>
      <protection locked="0"/>
    </xf>
    <xf numFmtId="0" fontId="22" fillId="0" borderId="8"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0" fontId="27" fillId="0" borderId="10" xfId="0" applyFont="1" applyBorder="1" applyAlignment="1">
      <alignment horizontal="center" vertical="center"/>
    </xf>
    <xf numFmtId="0" fontId="27" fillId="0" borderId="8" xfId="0" applyFont="1" applyBorder="1" applyAlignment="1">
      <alignment horizontal="center" vertical="center"/>
    </xf>
    <xf numFmtId="0" fontId="27" fillId="0" borderId="6" xfId="0" applyFont="1" applyBorder="1" applyAlignment="1">
      <alignment horizontal="center" vertical="center"/>
    </xf>
    <xf numFmtId="0" fontId="19" fillId="5" borderId="16"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0" borderId="10" xfId="0" applyFont="1" applyFill="1" applyBorder="1" applyAlignment="1">
      <alignment horizontal="center" vertical="top" wrapText="1"/>
    </xf>
    <xf numFmtId="0" fontId="19" fillId="0" borderId="8" xfId="0" applyFont="1" applyFill="1" applyBorder="1" applyAlignment="1">
      <alignment horizontal="center" vertical="top" wrapText="1"/>
    </xf>
    <xf numFmtId="0" fontId="19" fillId="0" borderId="6" xfId="0" applyFont="1" applyFill="1" applyBorder="1" applyAlignment="1">
      <alignment horizontal="center" vertical="top" wrapText="1"/>
    </xf>
    <xf numFmtId="165" fontId="21" fillId="4" borderId="11" xfId="0" applyNumberFormat="1" applyFont="1" applyFill="1" applyBorder="1" applyAlignment="1">
      <alignment horizontal="left" vertical="center" wrapText="1"/>
    </xf>
    <xf numFmtId="165" fontId="21" fillId="4" borderId="12" xfId="0" applyNumberFormat="1" applyFont="1" applyFill="1" applyBorder="1" applyAlignment="1">
      <alignment horizontal="left" vertical="center" wrapText="1"/>
    </xf>
    <xf numFmtId="165" fontId="21" fillId="4" borderId="13" xfId="0" applyNumberFormat="1" applyFont="1" applyFill="1" applyBorder="1" applyAlignment="1">
      <alignment horizontal="left" vertical="center" wrapText="1"/>
    </xf>
    <xf numFmtId="165" fontId="21" fillId="4" borderId="9" xfId="0" applyNumberFormat="1" applyFont="1" applyFill="1" applyBorder="1" applyAlignment="1">
      <alignment horizontal="left" vertical="center" wrapText="1"/>
    </xf>
    <xf numFmtId="165" fontId="21" fillId="4" borderId="0" xfId="0" applyNumberFormat="1" applyFont="1" applyFill="1" applyBorder="1" applyAlignment="1">
      <alignment horizontal="left" vertical="center" wrapText="1"/>
    </xf>
    <xf numFmtId="165" fontId="21" fillId="4" borderId="14" xfId="0" applyNumberFormat="1" applyFont="1" applyFill="1" applyBorder="1" applyAlignment="1">
      <alignment horizontal="left" vertical="center" wrapText="1"/>
    </xf>
    <xf numFmtId="165" fontId="21" fillId="4" borderId="15" xfId="0" applyNumberFormat="1" applyFont="1" applyFill="1" applyBorder="1" applyAlignment="1">
      <alignment horizontal="left" vertical="center" wrapText="1"/>
    </xf>
    <xf numFmtId="165" fontId="21" fillId="4" borderId="7" xfId="0" applyNumberFormat="1" applyFont="1" applyFill="1" applyBorder="1" applyAlignment="1">
      <alignment horizontal="left" vertical="center" wrapText="1"/>
    </xf>
    <xf numFmtId="165" fontId="21" fillId="4" borderId="3" xfId="0" applyNumberFormat="1" applyFont="1" applyFill="1" applyBorder="1" applyAlignment="1">
      <alignment horizontal="left" vertical="center" wrapText="1"/>
    </xf>
    <xf numFmtId="167" fontId="1" fillId="0" borderId="13" xfId="0" applyNumberFormat="1" applyFont="1" applyFill="1" applyBorder="1" applyAlignment="1">
      <alignment horizontal="center" vertical="center"/>
    </xf>
    <xf numFmtId="167" fontId="1" fillId="0" borderId="14" xfId="0" applyNumberFormat="1" applyFont="1" applyFill="1" applyBorder="1" applyAlignment="1">
      <alignment horizontal="center" vertical="center"/>
    </xf>
    <xf numFmtId="167" fontId="1" fillId="0" borderId="3" xfId="0" applyNumberFormat="1" applyFont="1" applyFill="1" applyBorder="1" applyAlignment="1">
      <alignment horizontal="center" vertical="center"/>
    </xf>
    <xf numFmtId="0" fontId="25" fillId="0" borderId="1" xfId="0" applyFont="1" applyBorder="1" applyAlignment="1">
      <alignment horizontal="center" vertical="center" wrapText="1"/>
    </xf>
    <xf numFmtId="165" fontId="3" fillId="0" borderId="2"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0" xfId="0" applyFont="1" applyFill="1" applyAlignment="1">
      <alignment horizontal="left" vertical="center" wrapText="1"/>
    </xf>
    <xf numFmtId="165" fontId="3" fillId="0" borderId="10"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0" fontId="28" fillId="0" borderId="11"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left" vertical="center" wrapText="1"/>
      <protection locked="0"/>
    </xf>
    <xf numFmtId="0" fontId="28" fillId="0" borderId="13" xfId="0" applyFont="1" applyFill="1" applyBorder="1" applyAlignment="1" applyProtection="1">
      <alignment horizontal="left" vertical="center" wrapText="1"/>
      <protection locked="0"/>
    </xf>
    <xf numFmtId="0" fontId="28" fillId="0" borderId="9"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14" xfId="0" applyFont="1" applyFill="1" applyBorder="1" applyAlignment="1" applyProtection="1">
      <alignment horizontal="left" vertical="center" wrapText="1"/>
      <protection locked="0"/>
    </xf>
    <xf numFmtId="0" fontId="28" fillId="0" borderId="15" xfId="0" applyFont="1" applyFill="1" applyBorder="1" applyAlignment="1" applyProtection="1">
      <alignment horizontal="left" vertical="center" wrapText="1"/>
      <protection locked="0"/>
    </xf>
    <xf numFmtId="0" fontId="28" fillId="0" borderId="7" xfId="0" applyFont="1" applyFill="1" applyBorder="1" applyAlignment="1" applyProtection="1">
      <alignment horizontal="left" vertical="center" wrapText="1"/>
      <protection locked="0"/>
    </xf>
    <xf numFmtId="0" fontId="28" fillId="0" borderId="3" xfId="0" applyFont="1" applyFill="1" applyBorder="1" applyAlignment="1" applyProtection="1">
      <alignment horizontal="left" vertical="center" wrapText="1"/>
      <protection locked="0"/>
    </xf>
    <xf numFmtId="0" fontId="22" fillId="0" borderId="10" xfId="0"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49" fontId="22" fillId="0" borderId="10" xfId="0" applyNumberFormat="1" applyFont="1" applyFill="1" applyBorder="1" applyAlignment="1" applyProtection="1">
      <alignment horizontal="center" vertical="center" wrapText="1"/>
      <protection locked="0"/>
    </xf>
    <xf numFmtId="49" fontId="22" fillId="0" borderId="8" xfId="0" applyNumberFormat="1" applyFont="1" applyFill="1" applyBorder="1" applyAlignment="1" applyProtection="1">
      <alignment horizontal="center" vertical="center" wrapText="1"/>
      <protection locked="0"/>
    </xf>
    <xf numFmtId="49" fontId="22" fillId="0" borderId="6" xfId="0" applyNumberFormat="1" applyFont="1" applyFill="1" applyBorder="1" applyAlignment="1" applyProtection="1">
      <alignment horizontal="center" vertical="center" wrapText="1"/>
      <protection locked="0"/>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5" borderId="10" xfId="0" applyFont="1" applyFill="1" applyBorder="1" applyAlignment="1">
      <alignment horizontal="left" vertical="center" wrapText="1"/>
    </xf>
    <xf numFmtId="0" fontId="19" fillId="5" borderId="8" xfId="0" applyFont="1" applyFill="1" applyBorder="1" applyAlignment="1">
      <alignment horizontal="left" vertical="center" wrapText="1"/>
    </xf>
    <xf numFmtId="0" fontId="19" fillId="5" borderId="6"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6" xfId="0" applyFont="1" applyFill="1" applyBorder="1" applyAlignment="1">
      <alignment horizontal="left" vertical="center" wrapText="1"/>
    </xf>
    <xf numFmtId="165" fontId="20" fillId="4" borderId="4" xfId="0" applyNumberFormat="1" applyFont="1" applyFill="1" applyBorder="1" applyAlignment="1">
      <alignment horizontal="left" vertical="center" wrapText="1"/>
    </xf>
    <xf numFmtId="165" fontId="20" fillId="4" borderId="5" xfId="0" applyNumberFormat="1" applyFont="1" applyFill="1" applyBorder="1" applyAlignment="1">
      <alignment horizontal="left" vertical="center" wrapText="1"/>
    </xf>
    <xf numFmtId="165" fontId="20" fillId="4" borderId="2" xfId="0" applyNumberFormat="1" applyFont="1" applyFill="1" applyBorder="1" applyAlignment="1">
      <alignment horizontal="left" vertical="center" wrapText="1"/>
    </xf>
    <xf numFmtId="0" fontId="25" fillId="4" borderId="10"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167" fontId="1" fillId="4" borderId="10" xfId="0" applyNumberFormat="1" applyFont="1" applyFill="1" applyBorder="1" applyAlignment="1">
      <alignment horizontal="center" vertical="center"/>
    </xf>
    <xf numFmtId="167" fontId="1" fillId="4" borderId="8" xfId="0" applyNumberFormat="1" applyFont="1" applyFill="1" applyBorder="1" applyAlignment="1">
      <alignment horizontal="center" vertical="center"/>
    </xf>
    <xf numFmtId="167" fontId="1" fillId="4" borderId="6" xfId="0" applyNumberFormat="1" applyFont="1" applyFill="1" applyBorder="1" applyAlignment="1">
      <alignment horizontal="center" vertical="center"/>
    </xf>
    <xf numFmtId="0" fontId="19" fillId="5" borderId="16" xfId="0" applyFont="1" applyFill="1" applyBorder="1" applyAlignment="1">
      <alignment horizontal="left" vertical="center" wrapText="1"/>
    </xf>
    <xf numFmtId="0" fontId="19" fillId="5" borderId="17" xfId="0" applyFont="1" applyFill="1" applyBorder="1" applyAlignment="1">
      <alignment horizontal="left" vertical="center" wrapText="1"/>
    </xf>
    <xf numFmtId="0" fontId="19" fillId="5" borderId="1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9" fillId="0" borderId="10"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5" borderId="10" xfId="0" applyFont="1" applyFill="1" applyBorder="1" applyAlignment="1" applyProtection="1">
      <alignment horizontal="center" vertical="center" wrapText="1"/>
      <protection locked="0"/>
    </xf>
    <xf numFmtId="0" fontId="19" fillId="5" borderId="8"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49" fontId="19" fillId="5" borderId="10" xfId="0" applyNumberFormat="1" applyFont="1" applyFill="1" applyBorder="1" applyAlignment="1">
      <alignment horizontal="center" vertical="center" wrapText="1"/>
    </xf>
    <xf numFmtId="49" fontId="19" fillId="5" borderId="8" xfId="0" applyNumberFormat="1" applyFont="1" applyFill="1" applyBorder="1" applyAlignment="1">
      <alignment horizontal="center" vertical="center" wrapText="1"/>
    </xf>
    <xf numFmtId="49" fontId="19" fillId="5" borderId="6" xfId="0" applyNumberFormat="1" applyFont="1" applyFill="1" applyBorder="1" applyAlignment="1">
      <alignment horizontal="center" vertical="center" wrapText="1"/>
    </xf>
    <xf numFmtId="0" fontId="33" fillId="5" borderId="0" xfId="0" applyFont="1" applyFill="1" applyAlignment="1">
      <alignment horizontal="center" vertical="center" wrapText="1"/>
    </xf>
    <xf numFmtId="165" fontId="3" fillId="5" borderId="1" xfId="0" applyNumberFormat="1" applyFont="1" applyFill="1" applyBorder="1" applyAlignment="1">
      <alignment horizontal="center" vertical="center" wrapText="1"/>
    </xf>
    <xf numFmtId="165" fontId="3" fillId="5" borderId="10" xfId="0" applyNumberFormat="1" applyFont="1" applyFill="1" applyBorder="1" applyAlignment="1">
      <alignment horizontal="center" vertical="center" wrapText="1"/>
    </xf>
    <xf numFmtId="165" fontId="3" fillId="5" borderId="6"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65" fontId="3" fillId="5" borderId="2" xfId="0" applyNumberFormat="1" applyFont="1" applyFill="1" applyBorder="1" applyAlignment="1">
      <alignment horizontal="center" vertical="center" wrapText="1"/>
    </xf>
    <xf numFmtId="165" fontId="21" fillId="5" borderId="10" xfId="0" applyNumberFormat="1" applyFont="1" applyFill="1" applyBorder="1" applyAlignment="1">
      <alignment horizontal="center" vertical="center" wrapText="1"/>
    </xf>
    <xf numFmtId="165" fontId="21" fillId="5" borderId="8" xfId="0" applyNumberFormat="1" applyFont="1" applyFill="1" applyBorder="1" applyAlignment="1">
      <alignment horizontal="center" vertical="center" wrapText="1"/>
    </xf>
    <xf numFmtId="165" fontId="21" fillId="5" borderId="6" xfId="0" applyNumberFormat="1" applyFont="1" applyFill="1" applyBorder="1" applyAlignment="1">
      <alignment horizontal="center" vertical="center" wrapText="1"/>
    </xf>
    <xf numFmtId="165" fontId="21" fillId="5" borderId="11" xfId="0" applyNumberFormat="1" applyFont="1" applyFill="1" applyBorder="1" applyAlignment="1">
      <alignment horizontal="center" vertical="center" wrapText="1"/>
    </xf>
    <xf numFmtId="165" fontId="21" fillId="5" borderId="13" xfId="0" applyNumberFormat="1" applyFont="1" applyFill="1" applyBorder="1" applyAlignment="1">
      <alignment horizontal="center" vertical="center" wrapText="1"/>
    </xf>
    <xf numFmtId="165" fontId="21" fillId="5" borderId="9" xfId="0" applyNumberFormat="1" applyFont="1" applyFill="1" applyBorder="1" applyAlignment="1">
      <alignment horizontal="center" vertical="center" wrapText="1"/>
    </xf>
    <xf numFmtId="165" fontId="21" fillId="5" borderId="14" xfId="0" applyNumberFormat="1" applyFont="1" applyFill="1" applyBorder="1" applyAlignment="1">
      <alignment horizontal="center" vertical="center" wrapText="1"/>
    </xf>
    <xf numFmtId="165" fontId="21" fillId="5" borderId="15" xfId="0" applyNumberFormat="1" applyFont="1" applyFill="1" applyBorder="1" applyAlignment="1">
      <alignment horizontal="center" vertical="center" wrapText="1"/>
    </xf>
    <xf numFmtId="165" fontId="21" fillId="5" borderId="3" xfId="0" applyNumberFormat="1"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6" xfId="0" applyFont="1" applyFill="1" applyBorder="1" applyAlignment="1">
      <alignment horizontal="center" vertical="center" wrapText="1"/>
    </xf>
    <xf numFmtId="167" fontId="1" fillId="5" borderId="10" xfId="0" applyNumberFormat="1" applyFont="1" applyFill="1" applyBorder="1" applyAlignment="1">
      <alignment horizontal="center" vertical="center"/>
    </xf>
    <xf numFmtId="167" fontId="1" fillId="5" borderId="8" xfId="0" applyNumberFormat="1" applyFont="1" applyFill="1" applyBorder="1" applyAlignment="1">
      <alignment horizontal="center" vertical="center"/>
    </xf>
    <xf numFmtId="167" fontId="1" fillId="5" borderId="6" xfId="0" applyNumberFormat="1" applyFont="1" applyFill="1" applyBorder="1" applyAlignment="1">
      <alignment horizontal="center" vertical="center"/>
    </xf>
    <xf numFmtId="0" fontId="19" fillId="5" borderId="10" xfId="0" applyFont="1" applyFill="1" applyBorder="1" applyAlignment="1" applyProtection="1">
      <alignment horizontal="left" vertical="center" wrapText="1"/>
      <protection locked="0"/>
    </xf>
    <xf numFmtId="0" fontId="19" fillId="5" borderId="8" xfId="0" applyFont="1" applyFill="1" applyBorder="1" applyAlignment="1" applyProtection="1">
      <alignment horizontal="left" vertical="center" wrapText="1"/>
      <protection locked="0"/>
    </xf>
    <xf numFmtId="0" fontId="19" fillId="5" borderId="6" xfId="0" applyFont="1" applyFill="1" applyBorder="1" applyAlignment="1" applyProtection="1">
      <alignment horizontal="left" vertical="center" wrapText="1"/>
      <protection locked="0"/>
    </xf>
    <xf numFmtId="0" fontId="19" fillId="5" borderId="10" xfId="0" applyFont="1" applyFill="1" applyBorder="1" applyAlignment="1">
      <alignment horizontal="center" vertical="top" wrapText="1"/>
    </xf>
    <xf numFmtId="0" fontId="19" fillId="5" borderId="8" xfId="0" applyFont="1" applyFill="1" applyBorder="1" applyAlignment="1">
      <alignment horizontal="center" vertical="top" wrapText="1"/>
    </xf>
    <xf numFmtId="0" fontId="19" fillId="5" borderId="6" xfId="0" applyFont="1" applyFill="1" applyBorder="1" applyAlignment="1">
      <alignment horizontal="center" vertical="top" wrapText="1"/>
    </xf>
    <xf numFmtId="49" fontId="21" fillId="5" borderId="10" xfId="0" applyNumberFormat="1" applyFont="1" applyFill="1" applyBorder="1" applyAlignment="1" applyProtection="1">
      <alignment horizontal="center" vertical="center" wrapText="1"/>
      <protection locked="0"/>
    </xf>
    <xf numFmtId="49" fontId="21" fillId="5" borderId="8" xfId="0" applyNumberFormat="1" applyFont="1" applyFill="1" applyBorder="1" applyAlignment="1" applyProtection="1">
      <alignment horizontal="center" vertical="center" wrapText="1"/>
      <protection locked="0"/>
    </xf>
    <xf numFmtId="49" fontId="21" fillId="5" borderId="6" xfId="0" applyNumberFormat="1" applyFont="1" applyFill="1" applyBorder="1" applyAlignment="1" applyProtection="1">
      <alignment horizontal="center" vertical="center" wrapText="1"/>
      <protection locked="0"/>
    </xf>
    <xf numFmtId="0" fontId="21" fillId="5" borderId="11" xfId="0" applyFont="1" applyFill="1" applyBorder="1" applyAlignment="1" applyProtection="1">
      <alignment horizontal="center" vertical="center" wrapText="1"/>
      <protection locked="0"/>
    </xf>
    <xf numFmtId="0" fontId="21" fillId="5" borderId="13" xfId="0" applyFont="1" applyFill="1" applyBorder="1" applyAlignment="1" applyProtection="1">
      <alignment horizontal="center" vertical="center" wrapText="1"/>
      <protection locked="0"/>
    </xf>
    <xf numFmtId="0" fontId="21" fillId="5" borderId="9"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15" xfId="0" applyFont="1" applyFill="1" applyBorder="1" applyAlignment="1" applyProtection="1">
      <alignment horizontal="center" vertical="center" wrapText="1"/>
      <protection locked="0"/>
    </xf>
    <xf numFmtId="0" fontId="21" fillId="5" borderId="3" xfId="0" applyFont="1" applyFill="1" applyBorder="1" applyAlignment="1" applyProtection="1">
      <alignment horizontal="center" vertical="center" wrapText="1"/>
      <protection locked="0"/>
    </xf>
    <xf numFmtId="165" fontId="19" fillId="5" borderId="10" xfId="0" applyNumberFormat="1" applyFont="1" applyFill="1" applyBorder="1" applyAlignment="1">
      <alignment horizontal="center" vertical="center" wrapText="1"/>
    </xf>
    <xf numFmtId="165" fontId="19" fillId="5" borderId="8" xfId="0" applyNumberFormat="1" applyFont="1" applyFill="1" applyBorder="1" applyAlignment="1">
      <alignment horizontal="center" vertical="center" wrapText="1"/>
    </xf>
    <xf numFmtId="165" fontId="19" fillId="5" borderId="6"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xf>
    <xf numFmtId="167" fontId="3" fillId="5" borderId="1" xfId="0" applyNumberFormat="1" applyFont="1" applyFill="1" applyBorder="1" applyAlignment="1">
      <alignment horizontal="center" vertical="center"/>
    </xf>
    <xf numFmtId="49" fontId="19" fillId="5" borderId="1" xfId="0" applyNumberFormat="1" applyFont="1" applyFill="1" applyBorder="1" applyAlignment="1">
      <alignment horizontal="center" vertical="center" wrapText="1"/>
    </xf>
    <xf numFmtId="0" fontId="19" fillId="5" borderId="1" xfId="0" applyFont="1" applyFill="1" applyBorder="1" applyAlignment="1" applyProtection="1">
      <alignment horizontal="center" vertical="center" wrapText="1"/>
      <protection locked="0"/>
    </xf>
    <xf numFmtId="165" fontId="3" fillId="5" borderId="11" xfId="0" applyNumberFormat="1" applyFont="1" applyFill="1" applyBorder="1" applyAlignment="1">
      <alignment horizontal="center" vertical="center" wrapText="1"/>
    </xf>
    <xf numFmtId="165" fontId="3" fillId="5" borderId="12" xfId="0" applyNumberFormat="1" applyFont="1" applyFill="1" applyBorder="1" applyAlignment="1">
      <alignment horizontal="center" vertical="center" wrapText="1"/>
    </xf>
    <xf numFmtId="165" fontId="3" fillId="5" borderId="13" xfId="0" applyNumberFormat="1" applyFont="1" applyFill="1" applyBorder="1" applyAlignment="1">
      <alignment horizontal="center" vertical="center" wrapText="1"/>
    </xf>
    <xf numFmtId="165" fontId="3" fillId="5" borderId="9" xfId="0" applyNumberFormat="1" applyFont="1" applyFill="1" applyBorder="1" applyAlignment="1">
      <alignment horizontal="center" vertical="center" wrapText="1"/>
    </xf>
    <xf numFmtId="165" fontId="3" fillId="5" borderId="0" xfId="0" applyNumberFormat="1" applyFont="1" applyFill="1" applyBorder="1" applyAlignment="1">
      <alignment horizontal="center" vertical="center" wrapText="1"/>
    </xf>
    <xf numFmtId="165" fontId="3" fillId="5" borderId="14" xfId="0"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165" fontId="3" fillId="5" borderId="7" xfId="0" applyNumberFormat="1" applyFont="1" applyFill="1" applyBorder="1" applyAlignment="1">
      <alignment horizontal="center" vertical="center" wrapText="1"/>
    </xf>
    <xf numFmtId="165" fontId="3" fillId="5" borderId="3" xfId="0" applyNumberFormat="1" applyFont="1" applyFill="1" applyBorder="1" applyAlignment="1">
      <alignment horizontal="center" vertical="center" wrapText="1"/>
    </xf>
    <xf numFmtId="0" fontId="6" fillId="5" borderId="5" xfId="0" applyFont="1" applyFill="1" applyBorder="1" applyAlignment="1">
      <alignment horizontal="center"/>
    </xf>
    <xf numFmtId="0" fontId="20" fillId="5" borderId="0" xfId="0" applyFont="1" applyFill="1" applyAlignment="1">
      <alignment horizontal="left"/>
    </xf>
    <xf numFmtId="0" fontId="3" fillId="5" borderId="0" xfId="0" applyFont="1" applyFill="1" applyAlignment="1">
      <alignment horizontal="left" vertical="center" wrapText="1"/>
    </xf>
  </cellXfs>
  <cellStyles count="4">
    <cellStyle name="Обычный" xfId="0" builtinId="0"/>
    <cellStyle name="Обычный 2" xfId="1"/>
    <cellStyle name="Обычный 2 2" xfId="3"/>
    <cellStyle name="Финансовый" xfId="2" builtinId="3"/>
  </cellStyles>
  <dxfs count="5">
    <dxf>
      <font>
        <b/>
        <i val="0"/>
        <color indexed="10"/>
      </font>
    </dxf>
    <dxf>
      <font>
        <b/>
        <i val="0"/>
        <color indexed="10"/>
      </font>
    </dxf>
    <dxf>
      <font>
        <b/>
        <i val="0"/>
        <color indexed="10"/>
      </font>
    </dxf>
    <dxf>
      <font>
        <b/>
        <i val="0"/>
        <color indexed="10"/>
      </font>
    </dxf>
    <dxf>
      <fill>
        <patternFill>
          <bgColor theme="4" tint="0.79998168889431442"/>
        </patternFill>
      </fill>
    </dxf>
  </dxfs>
  <tableStyles count="0" defaultTableStyle="TableStyleMedium9" defaultPivotStyle="PivotStyleLight16"/>
  <colors>
    <mruColors>
      <color rgb="FFFF5353"/>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962025</xdr:colOff>
      <xdr:row>87</xdr:row>
      <xdr:rowOff>19050</xdr:rowOff>
    </xdr:from>
    <xdr:ext cx="184731" cy="239809"/>
    <xdr:sp macro="" textlink="">
      <xdr:nvSpPr>
        <xdr:cNvPr id="2" name="Text Box 1"/>
        <xdr:cNvSpPr txBox="1">
          <a:spLocks noChangeArrowheads="1"/>
        </xdr:cNvSpPr>
      </xdr:nvSpPr>
      <xdr:spPr bwMode="auto">
        <a:xfrm>
          <a:off x="4733925" y="5815012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962025</xdr:colOff>
      <xdr:row>87</xdr:row>
      <xdr:rowOff>19050</xdr:rowOff>
    </xdr:from>
    <xdr:ext cx="184731" cy="239809"/>
    <xdr:sp macro="" textlink="">
      <xdr:nvSpPr>
        <xdr:cNvPr id="2" name="Text Box 1"/>
        <xdr:cNvSpPr txBox="1">
          <a:spLocks noChangeArrowheads="1"/>
        </xdr:cNvSpPr>
      </xdr:nvSpPr>
      <xdr:spPr bwMode="auto">
        <a:xfrm>
          <a:off x="4733925" y="4175760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962025</xdr:colOff>
      <xdr:row>87</xdr:row>
      <xdr:rowOff>19050</xdr:rowOff>
    </xdr:from>
    <xdr:ext cx="184731" cy="239809"/>
    <xdr:sp macro="" textlink="">
      <xdr:nvSpPr>
        <xdr:cNvPr id="2" name="Text Box 1"/>
        <xdr:cNvSpPr txBox="1">
          <a:spLocks noChangeArrowheads="1"/>
        </xdr:cNvSpPr>
      </xdr:nvSpPr>
      <xdr:spPr bwMode="auto">
        <a:xfrm>
          <a:off x="4733925" y="4565332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962025</xdr:colOff>
      <xdr:row>55</xdr:row>
      <xdr:rowOff>0</xdr:rowOff>
    </xdr:from>
    <xdr:ext cx="184731" cy="239809"/>
    <xdr:sp macro="" textlink="">
      <xdr:nvSpPr>
        <xdr:cNvPr id="2" name="Text Box 1"/>
        <xdr:cNvSpPr txBox="1">
          <a:spLocks noChangeArrowheads="1"/>
        </xdr:cNvSpPr>
      </xdr:nvSpPr>
      <xdr:spPr bwMode="auto">
        <a:xfrm>
          <a:off x="4495800" y="3357562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93</xdr:row>
      <xdr:rowOff>0</xdr:rowOff>
    </xdr:from>
    <xdr:ext cx="184731" cy="239809"/>
    <xdr:sp macro="" textlink="">
      <xdr:nvSpPr>
        <xdr:cNvPr id="3" name="Text Box 1"/>
        <xdr:cNvSpPr txBox="1">
          <a:spLocks noChangeArrowheads="1"/>
        </xdr:cNvSpPr>
      </xdr:nvSpPr>
      <xdr:spPr bwMode="auto">
        <a:xfrm>
          <a:off x="3533775" y="4357687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98</xdr:row>
      <xdr:rowOff>0</xdr:rowOff>
    </xdr:from>
    <xdr:ext cx="184731" cy="239809"/>
    <xdr:sp macro="" textlink="">
      <xdr:nvSpPr>
        <xdr:cNvPr id="4" name="Text Box 1"/>
        <xdr:cNvSpPr txBox="1">
          <a:spLocks noChangeArrowheads="1"/>
        </xdr:cNvSpPr>
      </xdr:nvSpPr>
      <xdr:spPr bwMode="auto">
        <a:xfrm>
          <a:off x="3533775" y="4511992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105</xdr:row>
      <xdr:rowOff>0</xdr:rowOff>
    </xdr:from>
    <xdr:ext cx="184731" cy="239809"/>
    <xdr:sp macro="" textlink="">
      <xdr:nvSpPr>
        <xdr:cNvPr id="5" name="Text Box 1"/>
        <xdr:cNvSpPr txBox="1">
          <a:spLocks noChangeArrowheads="1"/>
        </xdr:cNvSpPr>
      </xdr:nvSpPr>
      <xdr:spPr bwMode="auto">
        <a:xfrm>
          <a:off x="3533775" y="4731067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110</xdr:row>
      <xdr:rowOff>0</xdr:rowOff>
    </xdr:from>
    <xdr:ext cx="184731" cy="239809"/>
    <xdr:sp macro="" textlink="">
      <xdr:nvSpPr>
        <xdr:cNvPr id="6" name="Text Box 1"/>
        <xdr:cNvSpPr txBox="1">
          <a:spLocks noChangeArrowheads="1"/>
        </xdr:cNvSpPr>
      </xdr:nvSpPr>
      <xdr:spPr bwMode="auto">
        <a:xfrm>
          <a:off x="3533775" y="4885372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116</xdr:row>
      <xdr:rowOff>0</xdr:rowOff>
    </xdr:from>
    <xdr:ext cx="184731" cy="239809"/>
    <xdr:sp macro="" textlink="">
      <xdr:nvSpPr>
        <xdr:cNvPr id="7" name="Text Box 1"/>
        <xdr:cNvSpPr txBox="1">
          <a:spLocks noChangeArrowheads="1"/>
        </xdr:cNvSpPr>
      </xdr:nvSpPr>
      <xdr:spPr bwMode="auto">
        <a:xfrm>
          <a:off x="3533775" y="5085397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121</xdr:row>
      <xdr:rowOff>0</xdr:rowOff>
    </xdr:from>
    <xdr:ext cx="184731" cy="239809"/>
    <xdr:sp macro="" textlink="">
      <xdr:nvSpPr>
        <xdr:cNvPr id="8" name="Text Box 1"/>
        <xdr:cNvSpPr txBox="1">
          <a:spLocks noChangeArrowheads="1"/>
        </xdr:cNvSpPr>
      </xdr:nvSpPr>
      <xdr:spPr bwMode="auto">
        <a:xfrm>
          <a:off x="3533775" y="5270182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126</xdr:row>
      <xdr:rowOff>0</xdr:rowOff>
    </xdr:from>
    <xdr:ext cx="184731" cy="239809"/>
    <xdr:sp macro="" textlink="">
      <xdr:nvSpPr>
        <xdr:cNvPr id="9" name="Text Box 1"/>
        <xdr:cNvSpPr txBox="1">
          <a:spLocks noChangeArrowheads="1"/>
        </xdr:cNvSpPr>
      </xdr:nvSpPr>
      <xdr:spPr bwMode="auto">
        <a:xfrm>
          <a:off x="3533775" y="5424487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131</xdr:row>
      <xdr:rowOff>0</xdr:rowOff>
    </xdr:from>
    <xdr:ext cx="184731" cy="239809"/>
    <xdr:sp macro="" textlink="">
      <xdr:nvSpPr>
        <xdr:cNvPr id="10" name="Text Box 1"/>
        <xdr:cNvSpPr txBox="1">
          <a:spLocks noChangeArrowheads="1"/>
        </xdr:cNvSpPr>
      </xdr:nvSpPr>
      <xdr:spPr bwMode="auto">
        <a:xfrm>
          <a:off x="3533775" y="5578792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136</xdr:row>
      <xdr:rowOff>0</xdr:rowOff>
    </xdr:from>
    <xdr:ext cx="184731" cy="239809"/>
    <xdr:sp macro="" textlink="">
      <xdr:nvSpPr>
        <xdr:cNvPr id="11" name="Text Box 1"/>
        <xdr:cNvSpPr txBox="1">
          <a:spLocks noChangeArrowheads="1"/>
        </xdr:cNvSpPr>
      </xdr:nvSpPr>
      <xdr:spPr bwMode="auto">
        <a:xfrm>
          <a:off x="3533775" y="5733097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147</xdr:row>
      <xdr:rowOff>0</xdr:rowOff>
    </xdr:from>
    <xdr:ext cx="184731" cy="239809"/>
    <xdr:sp macro="" textlink="">
      <xdr:nvSpPr>
        <xdr:cNvPr id="12" name="Text Box 1"/>
        <xdr:cNvSpPr txBox="1">
          <a:spLocks noChangeArrowheads="1"/>
        </xdr:cNvSpPr>
      </xdr:nvSpPr>
      <xdr:spPr bwMode="auto">
        <a:xfrm>
          <a:off x="3533775" y="5906452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962025</xdr:colOff>
      <xdr:row>55</xdr:row>
      <xdr:rowOff>0</xdr:rowOff>
    </xdr:from>
    <xdr:ext cx="184731" cy="239809"/>
    <xdr:sp macro="" textlink="">
      <xdr:nvSpPr>
        <xdr:cNvPr id="13" name="Text Box 1"/>
        <xdr:cNvSpPr txBox="1">
          <a:spLocks noChangeArrowheads="1"/>
        </xdr:cNvSpPr>
      </xdr:nvSpPr>
      <xdr:spPr bwMode="auto">
        <a:xfrm>
          <a:off x="4495800" y="2121217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93</xdr:row>
      <xdr:rowOff>0</xdr:rowOff>
    </xdr:from>
    <xdr:ext cx="184731" cy="239809"/>
    <xdr:sp macro="" textlink="">
      <xdr:nvSpPr>
        <xdr:cNvPr id="14" name="Text Box 1"/>
        <xdr:cNvSpPr txBox="1">
          <a:spLocks noChangeArrowheads="1"/>
        </xdr:cNvSpPr>
      </xdr:nvSpPr>
      <xdr:spPr bwMode="auto">
        <a:xfrm>
          <a:off x="3533775" y="2984182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98</xdr:row>
      <xdr:rowOff>0</xdr:rowOff>
    </xdr:from>
    <xdr:ext cx="184731" cy="239809"/>
    <xdr:sp macro="" textlink="">
      <xdr:nvSpPr>
        <xdr:cNvPr id="15" name="Text Box 1"/>
        <xdr:cNvSpPr txBox="1">
          <a:spLocks noChangeArrowheads="1"/>
        </xdr:cNvSpPr>
      </xdr:nvSpPr>
      <xdr:spPr bwMode="auto">
        <a:xfrm>
          <a:off x="3533775" y="3138487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105</xdr:row>
      <xdr:rowOff>0</xdr:rowOff>
    </xdr:from>
    <xdr:ext cx="184731" cy="239809"/>
    <xdr:sp macro="" textlink="">
      <xdr:nvSpPr>
        <xdr:cNvPr id="16" name="Text Box 1"/>
        <xdr:cNvSpPr txBox="1">
          <a:spLocks noChangeArrowheads="1"/>
        </xdr:cNvSpPr>
      </xdr:nvSpPr>
      <xdr:spPr bwMode="auto">
        <a:xfrm>
          <a:off x="3533775" y="3357562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110</xdr:row>
      <xdr:rowOff>0</xdr:rowOff>
    </xdr:from>
    <xdr:ext cx="184731" cy="239809"/>
    <xdr:sp macro="" textlink="">
      <xdr:nvSpPr>
        <xdr:cNvPr id="17" name="Text Box 1"/>
        <xdr:cNvSpPr txBox="1">
          <a:spLocks noChangeArrowheads="1"/>
        </xdr:cNvSpPr>
      </xdr:nvSpPr>
      <xdr:spPr bwMode="auto">
        <a:xfrm>
          <a:off x="3533775" y="3511867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116</xdr:row>
      <xdr:rowOff>0</xdr:rowOff>
    </xdr:from>
    <xdr:ext cx="184731" cy="239809"/>
    <xdr:sp macro="" textlink="">
      <xdr:nvSpPr>
        <xdr:cNvPr id="18" name="Text Box 1"/>
        <xdr:cNvSpPr txBox="1">
          <a:spLocks noChangeArrowheads="1"/>
        </xdr:cNvSpPr>
      </xdr:nvSpPr>
      <xdr:spPr bwMode="auto">
        <a:xfrm>
          <a:off x="3533775" y="3711892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121</xdr:row>
      <xdr:rowOff>0</xdr:rowOff>
    </xdr:from>
    <xdr:ext cx="184731" cy="239809"/>
    <xdr:sp macro="" textlink="">
      <xdr:nvSpPr>
        <xdr:cNvPr id="19" name="Text Box 1"/>
        <xdr:cNvSpPr txBox="1">
          <a:spLocks noChangeArrowheads="1"/>
        </xdr:cNvSpPr>
      </xdr:nvSpPr>
      <xdr:spPr bwMode="auto">
        <a:xfrm>
          <a:off x="3533775" y="3896677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126</xdr:row>
      <xdr:rowOff>0</xdr:rowOff>
    </xdr:from>
    <xdr:ext cx="184731" cy="239809"/>
    <xdr:sp macro="" textlink="">
      <xdr:nvSpPr>
        <xdr:cNvPr id="20" name="Text Box 1"/>
        <xdr:cNvSpPr txBox="1">
          <a:spLocks noChangeArrowheads="1"/>
        </xdr:cNvSpPr>
      </xdr:nvSpPr>
      <xdr:spPr bwMode="auto">
        <a:xfrm>
          <a:off x="3533775" y="4050982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131</xdr:row>
      <xdr:rowOff>0</xdr:rowOff>
    </xdr:from>
    <xdr:ext cx="184731" cy="239809"/>
    <xdr:sp macro="" textlink="">
      <xdr:nvSpPr>
        <xdr:cNvPr id="21" name="Text Box 1"/>
        <xdr:cNvSpPr txBox="1">
          <a:spLocks noChangeArrowheads="1"/>
        </xdr:cNvSpPr>
      </xdr:nvSpPr>
      <xdr:spPr bwMode="auto">
        <a:xfrm>
          <a:off x="3533775" y="4205287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136</xdr:row>
      <xdr:rowOff>0</xdr:rowOff>
    </xdr:from>
    <xdr:ext cx="184731" cy="239809"/>
    <xdr:sp macro="" textlink="">
      <xdr:nvSpPr>
        <xdr:cNvPr id="22" name="Text Box 1"/>
        <xdr:cNvSpPr txBox="1">
          <a:spLocks noChangeArrowheads="1"/>
        </xdr:cNvSpPr>
      </xdr:nvSpPr>
      <xdr:spPr bwMode="auto">
        <a:xfrm>
          <a:off x="3533775" y="4359592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141</xdr:row>
      <xdr:rowOff>0</xdr:rowOff>
    </xdr:from>
    <xdr:ext cx="184731" cy="239809"/>
    <xdr:sp macro="" textlink="">
      <xdr:nvSpPr>
        <xdr:cNvPr id="23" name="Text Box 1"/>
        <xdr:cNvSpPr txBox="1">
          <a:spLocks noChangeArrowheads="1"/>
        </xdr:cNvSpPr>
      </xdr:nvSpPr>
      <xdr:spPr bwMode="auto">
        <a:xfrm>
          <a:off x="3533775" y="5722620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141</xdr:row>
      <xdr:rowOff>0</xdr:rowOff>
    </xdr:from>
    <xdr:ext cx="184731" cy="239809"/>
    <xdr:sp macro="" textlink="">
      <xdr:nvSpPr>
        <xdr:cNvPr id="24" name="Text Box 1"/>
        <xdr:cNvSpPr txBox="1">
          <a:spLocks noChangeArrowheads="1"/>
        </xdr:cNvSpPr>
      </xdr:nvSpPr>
      <xdr:spPr bwMode="auto">
        <a:xfrm>
          <a:off x="3533775" y="5722620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147</xdr:row>
      <xdr:rowOff>0</xdr:rowOff>
    </xdr:from>
    <xdr:ext cx="184731" cy="239809"/>
    <xdr:sp macro="" textlink="">
      <xdr:nvSpPr>
        <xdr:cNvPr id="25" name="Text Box 1"/>
        <xdr:cNvSpPr txBox="1">
          <a:spLocks noChangeArrowheads="1"/>
        </xdr:cNvSpPr>
      </xdr:nvSpPr>
      <xdr:spPr bwMode="auto">
        <a:xfrm>
          <a:off x="3533775" y="5876925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147</xdr:row>
      <xdr:rowOff>0</xdr:rowOff>
    </xdr:from>
    <xdr:ext cx="184731" cy="239809"/>
    <xdr:sp macro="" textlink="">
      <xdr:nvSpPr>
        <xdr:cNvPr id="26" name="Text Box 1"/>
        <xdr:cNvSpPr txBox="1">
          <a:spLocks noChangeArrowheads="1"/>
        </xdr:cNvSpPr>
      </xdr:nvSpPr>
      <xdr:spPr bwMode="auto">
        <a:xfrm>
          <a:off x="3533775" y="5876925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147</xdr:row>
      <xdr:rowOff>0</xdr:rowOff>
    </xdr:from>
    <xdr:ext cx="184731" cy="239809"/>
    <xdr:sp macro="" textlink="">
      <xdr:nvSpPr>
        <xdr:cNvPr id="27" name="Text Box 1"/>
        <xdr:cNvSpPr txBox="1">
          <a:spLocks noChangeArrowheads="1"/>
        </xdr:cNvSpPr>
      </xdr:nvSpPr>
      <xdr:spPr bwMode="auto">
        <a:xfrm>
          <a:off x="3538904" y="63099462"/>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147</xdr:row>
      <xdr:rowOff>0</xdr:rowOff>
    </xdr:from>
    <xdr:ext cx="184731" cy="239809"/>
    <xdr:sp macro="" textlink="">
      <xdr:nvSpPr>
        <xdr:cNvPr id="28" name="Text Box 1"/>
        <xdr:cNvSpPr txBox="1">
          <a:spLocks noChangeArrowheads="1"/>
        </xdr:cNvSpPr>
      </xdr:nvSpPr>
      <xdr:spPr bwMode="auto">
        <a:xfrm>
          <a:off x="3538904" y="63099462"/>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40625" defaultRowHeight="15"/>
  <cols>
    <col min="1" max="1" width="4" style="1" customWidth="1"/>
    <col min="2" max="2" width="24.7109375" style="1" customWidth="1"/>
    <col min="3" max="3" width="18.140625" style="1" customWidth="1"/>
    <col min="4" max="4" width="13.7109375" style="1" customWidth="1"/>
    <col min="5" max="5" width="11.85546875" style="1" customWidth="1"/>
    <col min="6" max="6" width="6.7109375" style="1" customWidth="1"/>
    <col min="7" max="16384" width="9.140625" style="1"/>
  </cols>
  <sheetData>
    <row r="1" spans="1:48" ht="30.75" customHeight="1">
      <c r="A1" s="270" t="s">
        <v>40</v>
      </c>
      <c r="B1" s="271"/>
      <c r="C1" s="272" t="s">
        <v>41</v>
      </c>
      <c r="D1" s="273" t="s">
        <v>45</v>
      </c>
      <c r="E1" s="274"/>
      <c r="F1" s="275"/>
      <c r="G1" s="273" t="s">
        <v>18</v>
      </c>
      <c r="H1" s="274"/>
      <c r="I1" s="275"/>
      <c r="J1" s="273" t="s">
        <v>19</v>
      </c>
      <c r="K1" s="274"/>
      <c r="L1" s="275"/>
      <c r="M1" s="273" t="s">
        <v>23</v>
      </c>
      <c r="N1" s="274"/>
      <c r="O1" s="275"/>
      <c r="P1" s="276" t="s">
        <v>24</v>
      </c>
      <c r="Q1" s="277"/>
      <c r="R1" s="273" t="s">
        <v>25</v>
      </c>
      <c r="S1" s="274"/>
      <c r="T1" s="275"/>
      <c r="U1" s="273" t="s">
        <v>26</v>
      </c>
      <c r="V1" s="274"/>
      <c r="W1" s="275"/>
      <c r="X1" s="276" t="s">
        <v>27</v>
      </c>
      <c r="Y1" s="278"/>
      <c r="Z1" s="277"/>
      <c r="AA1" s="276" t="s">
        <v>28</v>
      </c>
      <c r="AB1" s="277"/>
      <c r="AC1" s="273" t="s">
        <v>29</v>
      </c>
      <c r="AD1" s="274"/>
      <c r="AE1" s="275"/>
      <c r="AF1" s="273" t="s">
        <v>30</v>
      </c>
      <c r="AG1" s="274"/>
      <c r="AH1" s="275"/>
      <c r="AI1" s="273" t="s">
        <v>31</v>
      </c>
      <c r="AJ1" s="274"/>
      <c r="AK1" s="275"/>
      <c r="AL1" s="276" t="s">
        <v>32</v>
      </c>
      <c r="AM1" s="277"/>
      <c r="AN1" s="273" t="s">
        <v>33</v>
      </c>
      <c r="AO1" s="274"/>
      <c r="AP1" s="275"/>
      <c r="AQ1" s="273" t="s">
        <v>34</v>
      </c>
      <c r="AR1" s="274"/>
      <c r="AS1" s="275"/>
      <c r="AT1" s="273" t="s">
        <v>35</v>
      </c>
      <c r="AU1" s="274"/>
      <c r="AV1" s="275"/>
    </row>
    <row r="2" spans="1:48" ht="39" customHeight="1">
      <c r="A2" s="271"/>
      <c r="B2" s="271"/>
      <c r="C2" s="272"/>
      <c r="D2" s="10" t="s">
        <v>48</v>
      </c>
      <c r="E2" s="10" t="s">
        <v>49</v>
      </c>
      <c r="F2" s="10" t="s">
        <v>20</v>
      </c>
      <c r="G2" s="2" t="s">
        <v>21</v>
      </c>
      <c r="H2" s="2" t="s">
        <v>22</v>
      </c>
      <c r="I2" s="2" t="s">
        <v>20</v>
      </c>
      <c r="J2" s="2" t="s">
        <v>21</v>
      </c>
      <c r="K2" s="2" t="s">
        <v>22</v>
      </c>
      <c r="L2" s="2" t="s">
        <v>20</v>
      </c>
      <c r="M2" s="2" t="s">
        <v>21</v>
      </c>
      <c r="N2" s="2" t="s">
        <v>22</v>
      </c>
      <c r="O2" s="2" t="s">
        <v>20</v>
      </c>
      <c r="P2" s="3" t="s">
        <v>22</v>
      </c>
      <c r="Q2" s="3" t="s">
        <v>20</v>
      </c>
      <c r="R2" s="2" t="s">
        <v>21</v>
      </c>
      <c r="S2" s="2" t="s">
        <v>22</v>
      </c>
      <c r="T2" s="2" t="s">
        <v>20</v>
      </c>
      <c r="U2" s="2" t="s">
        <v>21</v>
      </c>
      <c r="V2" s="2" t="s">
        <v>22</v>
      </c>
      <c r="W2" s="2" t="s">
        <v>20</v>
      </c>
      <c r="X2" s="3" t="s">
        <v>21</v>
      </c>
      <c r="Y2" s="3" t="s">
        <v>22</v>
      </c>
      <c r="Z2" s="3" t="s">
        <v>20</v>
      </c>
      <c r="AA2" s="3" t="s">
        <v>22</v>
      </c>
      <c r="AB2" s="3" t="s">
        <v>20</v>
      </c>
      <c r="AC2" s="2" t="s">
        <v>21</v>
      </c>
      <c r="AD2" s="2" t="s">
        <v>22</v>
      </c>
      <c r="AE2" s="2" t="s">
        <v>20</v>
      </c>
      <c r="AF2" s="2" t="s">
        <v>21</v>
      </c>
      <c r="AG2" s="2" t="s">
        <v>22</v>
      </c>
      <c r="AH2" s="2" t="s">
        <v>20</v>
      </c>
      <c r="AI2" s="2" t="s">
        <v>21</v>
      </c>
      <c r="AJ2" s="2" t="s">
        <v>22</v>
      </c>
      <c r="AK2" s="2" t="s">
        <v>20</v>
      </c>
      <c r="AL2" s="3" t="s">
        <v>22</v>
      </c>
      <c r="AM2" s="3" t="s">
        <v>20</v>
      </c>
      <c r="AN2" s="2" t="s">
        <v>21</v>
      </c>
      <c r="AO2" s="2" t="s">
        <v>22</v>
      </c>
      <c r="AP2" s="2" t="s">
        <v>20</v>
      </c>
      <c r="AQ2" s="2" t="s">
        <v>21</v>
      </c>
      <c r="AR2" s="2" t="s">
        <v>22</v>
      </c>
      <c r="AS2" s="2" t="s">
        <v>20</v>
      </c>
      <c r="AT2" s="2" t="s">
        <v>21</v>
      </c>
      <c r="AU2" s="2" t="s">
        <v>22</v>
      </c>
      <c r="AV2" s="2" t="s">
        <v>20</v>
      </c>
    </row>
    <row r="3" spans="1:48">
      <c r="A3" s="272" t="s">
        <v>83</v>
      </c>
      <c r="B3" s="272"/>
      <c r="C3" s="4" t="s">
        <v>36</v>
      </c>
      <c r="D3" s="11" t="e">
        <f>#REF!</f>
        <v>#REF!</v>
      </c>
      <c r="E3" s="11" t="e">
        <f>#REF!</f>
        <v>#REF!</v>
      </c>
      <c r="F3" s="11" t="e">
        <f>#REF!</f>
        <v>#REF!</v>
      </c>
      <c r="G3" s="11" t="e">
        <f>#REF!</f>
        <v>#REF!</v>
      </c>
      <c r="H3" s="11" t="e">
        <f>#REF!</f>
        <v>#REF!</v>
      </c>
      <c r="I3" s="11" t="e">
        <f>#REF!</f>
        <v>#REF!</v>
      </c>
      <c r="J3" s="11" t="e">
        <f>#REF!</f>
        <v>#REF!</v>
      </c>
      <c r="K3" s="11" t="e">
        <f>#REF!</f>
        <v>#REF!</v>
      </c>
      <c r="L3" s="11" t="e">
        <f>#REF!</f>
        <v>#REF!</v>
      </c>
      <c r="M3" s="11" t="e">
        <f>#REF!</f>
        <v>#REF!</v>
      </c>
      <c r="N3" s="11" t="e">
        <f>#REF!</f>
        <v>#REF!</v>
      </c>
      <c r="O3" s="11" t="e">
        <f>#REF!</f>
        <v>#REF!</v>
      </c>
      <c r="P3" s="11" t="e">
        <f>#REF!</f>
        <v>#REF!</v>
      </c>
      <c r="Q3" s="11" t="e">
        <f>#REF!</f>
        <v>#REF!</v>
      </c>
      <c r="R3" s="11" t="e">
        <f>#REF!</f>
        <v>#REF!</v>
      </c>
      <c r="S3" s="11" t="e">
        <f>#REF!</f>
        <v>#REF!</v>
      </c>
      <c r="T3" s="11" t="e">
        <f>#REF!</f>
        <v>#REF!</v>
      </c>
      <c r="U3" s="11" t="e">
        <f>#REF!</f>
        <v>#REF!</v>
      </c>
      <c r="V3" s="11" t="e">
        <f>#REF!</f>
        <v>#REF!</v>
      </c>
      <c r="W3" s="11" t="e">
        <f>#REF!</f>
        <v>#REF!</v>
      </c>
      <c r="X3" s="11" t="e">
        <f>#REF!</f>
        <v>#REF!</v>
      </c>
      <c r="Y3" s="11" t="e">
        <f>#REF!</f>
        <v>#REF!</v>
      </c>
      <c r="Z3" s="11" t="e">
        <f>#REF!</f>
        <v>#REF!</v>
      </c>
      <c r="AA3" s="11" t="e">
        <f>#REF!</f>
        <v>#REF!</v>
      </c>
      <c r="AB3" s="11" t="e">
        <f>#REF!</f>
        <v>#REF!</v>
      </c>
      <c r="AC3" s="11" t="e">
        <f>#REF!</f>
        <v>#REF!</v>
      </c>
      <c r="AD3" s="11" t="e">
        <f>#REF!</f>
        <v>#REF!</v>
      </c>
      <c r="AE3" s="11" t="e">
        <f>#REF!</f>
        <v>#REF!</v>
      </c>
      <c r="AF3" s="11" t="e">
        <f>#REF!</f>
        <v>#REF!</v>
      </c>
      <c r="AG3" s="11" t="e">
        <f>#REF!</f>
        <v>#REF!</v>
      </c>
      <c r="AH3" s="11" t="e">
        <f>#REF!</f>
        <v>#REF!</v>
      </c>
      <c r="AI3" s="11" t="e">
        <f>#REF!</f>
        <v>#REF!</v>
      </c>
      <c r="AJ3" s="11" t="e">
        <f>#REF!</f>
        <v>#REF!</v>
      </c>
      <c r="AK3" s="11" t="e">
        <f>#REF!</f>
        <v>#REF!</v>
      </c>
      <c r="AL3" s="11" t="e">
        <f>#REF!</f>
        <v>#REF!</v>
      </c>
      <c r="AM3" s="11" t="e">
        <f>#REF!</f>
        <v>#REF!</v>
      </c>
      <c r="AN3" s="11" t="e">
        <f>#REF!</f>
        <v>#REF!</v>
      </c>
      <c r="AO3" s="11" t="e">
        <f>#REF!</f>
        <v>#REF!</v>
      </c>
      <c r="AP3" s="11" t="e">
        <f>#REF!</f>
        <v>#REF!</v>
      </c>
      <c r="AQ3" s="11" t="e">
        <f>#REF!</f>
        <v>#REF!</v>
      </c>
      <c r="AR3" s="11" t="e">
        <f>#REF!</f>
        <v>#REF!</v>
      </c>
      <c r="AS3" s="11" t="e">
        <f>#REF!</f>
        <v>#REF!</v>
      </c>
      <c r="AT3" s="11" t="e">
        <f>#REF!</f>
        <v>#REF!</v>
      </c>
      <c r="AU3" s="11" t="e">
        <f>#REF!</f>
        <v>#REF!</v>
      </c>
      <c r="AV3" s="11" t="e">
        <f>#REF!</f>
        <v>#REF!</v>
      </c>
    </row>
    <row r="4" spans="1:48">
      <c r="A4" s="272"/>
      <c r="B4" s="272"/>
      <c r="C4" s="5" t="s">
        <v>37</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272"/>
      <c r="B5" s="272"/>
      <c r="C5" s="8" t="s">
        <v>38</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5.5">
      <c r="A6" s="272"/>
      <c r="B6" s="272"/>
      <c r="C6" s="8" t="s">
        <v>3</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272"/>
      <c r="B7" s="272"/>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5.5">
      <c r="A8" s="272"/>
      <c r="B8" s="272"/>
      <c r="C8" s="8" t="s">
        <v>39</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5.5">
      <c r="A9" s="272"/>
      <c r="B9" s="272"/>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honeticPr fontId="1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5"/>
  <cols>
    <col min="1" max="1" width="48.85546875" customWidth="1"/>
    <col min="2" max="2" width="11.7109375" customWidth="1"/>
    <col min="3" max="3" width="13.7109375" customWidth="1"/>
    <col min="4" max="4" width="16.28515625" customWidth="1"/>
    <col min="5" max="5" width="26.85546875" customWidth="1"/>
  </cols>
  <sheetData>
    <row r="1" spans="1:5">
      <c r="A1" s="280" t="s">
        <v>58</v>
      </c>
      <c r="B1" s="280"/>
      <c r="C1" s="280"/>
      <c r="D1" s="280"/>
      <c r="E1" s="280"/>
    </row>
    <row r="2" spans="1:5">
      <c r="A2" s="12"/>
      <c r="B2" s="12"/>
      <c r="C2" s="12"/>
      <c r="D2" s="12"/>
      <c r="E2" s="12"/>
    </row>
    <row r="3" spans="1:5">
      <c r="A3" s="281" t="s">
        <v>130</v>
      </c>
      <c r="B3" s="281"/>
      <c r="C3" s="281"/>
      <c r="D3" s="281"/>
      <c r="E3" s="281"/>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7">
      <c r="A9" s="17" t="s">
        <v>64</v>
      </c>
      <c r="B9" s="18">
        <v>0.5</v>
      </c>
      <c r="C9" s="19"/>
      <c r="D9" s="18">
        <f t="shared" si="0"/>
        <v>0</v>
      </c>
      <c r="E9" s="17"/>
    </row>
    <row r="10" spans="1:5" ht="27">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7">
      <c r="A15" s="24" t="s">
        <v>70</v>
      </c>
      <c r="B15" s="25">
        <v>0.5</v>
      </c>
      <c r="C15" s="26"/>
      <c r="D15" s="25">
        <f t="shared" si="0"/>
        <v>0</v>
      </c>
      <c r="E15" s="24"/>
    </row>
    <row r="16" spans="1:5" ht="27">
      <c r="A16" s="17" t="s">
        <v>71</v>
      </c>
      <c r="B16" s="18">
        <v>0.5</v>
      </c>
      <c r="C16" s="19"/>
      <c r="D16" s="18">
        <f t="shared" si="0"/>
        <v>0</v>
      </c>
      <c r="E16" s="17"/>
    </row>
    <row r="17" spans="1:5" ht="17.25" customHeight="1">
      <c r="A17" s="14" t="s">
        <v>72</v>
      </c>
      <c r="B17" s="15">
        <v>0.1</v>
      </c>
      <c r="C17" s="16">
        <f>SUM(D18)</f>
        <v>0</v>
      </c>
      <c r="D17" s="15">
        <f t="shared" si="0"/>
        <v>0</v>
      </c>
      <c r="E17" s="14"/>
    </row>
    <row r="18" spans="1:5">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7">
      <c r="A21" s="17" t="s">
        <v>76</v>
      </c>
      <c r="B21" s="18">
        <v>0.5</v>
      </c>
      <c r="C21" s="19"/>
      <c r="D21" s="18">
        <f t="shared" si="0"/>
        <v>0</v>
      </c>
      <c r="E21" s="17"/>
    </row>
    <row r="22" spans="1:5" ht="33.75" customHeight="1">
      <c r="A22" s="14" t="s">
        <v>77</v>
      </c>
      <c r="B22" s="15">
        <v>0.05</v>
      </c>
      <c r="C22" s="16">
        <f>SUM(D23)</f>
        <v>0</v>
      </c>
      <c r="D22" s="15">
        <f t="shared" si="0"/>
        <v>0</v>
      </c>
      <c r="E22" s="14"/>
    </row>
    <row r="23" spans="1:5" ht="27">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279" t="s">
        <v>79</v>
      </c>
      <c r="B26" s="279"/>
      <c r="C26" s="279"/>
      <c r="D26" s="279"/>
      <c r="E26" s="279"/>
    </row>
    <row r="27" spans="1:5">
      <c r="A27" s="28"/>
      <c r="B27" s="28"/>
      <c r="C27" s="28"/>
      <c r="D27" s="28"/>
      <c r="E27" s="28"/>
    </row>
    <row r="28" spans="1:5">
      <c r="A28" s="279" t="s">
        <v>80</v>
      </c>
      <c r="B28" s="279"/>
      <c r="C28" s="279"/>
      <c r="D28" s="279"/>
      <c r="E28" s="279"/>
    </row>
    <row r="29" spans="1:5">
      <c r="A29" s="279"/>
      <c r="B29" s="279"/>
      <c r="C29" s="279"/>
      <c r="D29" s="279"/>
      <c r="E29" s="279"/>
    </row>
  </sheetData>
  <mergeCells count="5">
    <mergeCell ref="A29:E29"/>
    <mergeCell ref="A1:E1"/>
    <mergeCell ref="A3:E3"/>
    <mergeCell ref="A26:E26"/>
    <mergeCell ref="A28:E28"/>
  </mergeCells>
  <phoneticPr fontId="17" type="noConversion"/>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40625" defaultRowHeight="12.75"/>
  <cols>
    <col min="1" max="1" width="4.5703125" style="48" customWidth="1"/>
    <col min="2" max="2" width="42.5703125" style="48" customWidth="1"/>
    <col min="3" max="3" width="6.85546875" style="48" customWidth="1"/>
    <col min="4" max="15" width="9.5703125" style="48" customWidth="1"/>
    <col min="16" max="17" width="10.5703125" style="48" customWidth="1"/>
    <col min="18" max="29" width="0" style="49" hidden="1" customWidth="1"/>
    <col min="30" max="16384" width="9.140625" style="49"/>
  </cols>
  <sheetData>
    <row r="1" spans="1:256">
      <c r="Q1" s="38" t="s">
        <v>51</v>
      </c>
    </row>
    <row r="2" spans="1:256">
      <c r="A2" s="50" t="s">
        <v>82</v>
      </c>
      <c r="B2" s="51"/>
      <c r="C2" s="51"/>
      <c r="D2" s="51"/>
      <c r="E2" s="51"/>
      <c r="F2" s="51"/>
      <c r="G2" s="51"/>
      <c r="H2" s="51"/>
      <c r="I2" s="51"/>
      <c r="J2" s="51"/>
      <c r="K2" s="51"/>
      <c r="L2" s="51"/>
      <c r="M2" s="51"/>
      <c r="N2" s="51"/>
      <c r="O2" s="51"/>
      <c r="P2" s="51"/>
      <c r="Q2" s="51"/>
    </row>
    <row r="3" spans="1:256" s="53" customFormat="1" ht="53.25" customHeight="1">
      <c r="A3" s="40" t="s">
        <v>0</v>
      </c>
      <c r="B3" s="294" t="s">
        <v>46</v>
      </c>
      <c r="C3" s="294"/>
      <c r="D3" s="40" t="s">
        <v>18</v>
      </c>
      <c r="E3" s="52" t="s">
        <v>19</v>
      </c>
      <c r="F3" s="40" t="s">
        <v>23</v>
      </c>
      <c r="G3" s="52" t="s">
        <v>25</v>
      </c>
      <c r="H3" s="40" t="s">
        <v>26</v>
      </c>
      <c r="I3" s="52" t="s">
        <v>27</v>
      </c>
      <c r="J3" s="40" t="s">
        <v>29</v>
      </c>
      <c r="K3" s="52" t="s">
        <v>30</v>
      </c>
      <c r="L3" s="40" t="s">
        <v>31</v>
      </c>
      <c r="M3" s="52" t="s">
        <v>33</v>
      </c>
      <c r="N3" s="40" t="s">
        <v>34</v>
      </c>
      <c r="O3" s="52" t="s">
        <v>35</v>
      </c>
      <c r="P3" s="40" t="s">
        <v>81</v>
      </c>
      <c r="Q3" s="40" t="s">
        <v>50</v>
      </c>
      <c r="R3" s="39" t="s">
        <v>18</v>
      </c>
      <c r="S3" s="33" t="s">
        <v>19</v>
      </c>
      <c r="T3" s="39" t="s">
        <v>23</v>
      </c>
      <c r="U3" s="33" t="s">
        <v>25</v>
      </c>
      <c r="V3" s="39" t="s">
        <v>26</v>
      </c>
      <c r="W3" s="33" t="s">
        <v>27</v>
      </c>
      <c r="X3" s="39" t="s">
        <v>29</v>
      </c>
      <c r="Y3" s="33" t="s">
        <v>30</v>
      </c>
      <c r="Z3" s="39" t="s">
        <v>31</v>
      </c>
      <c r="AA3" s="33" t="s">
        <v>33</v>
      </c>
      <c r="AB3" s="39" t="s">
        <v>34</v>
      </c>
      <c r="AC3" s="33" t="s">
        <v>35</v>
      </c>
    </row>
    <row r="4" spans="1:256" ht="15" customHeight="1">
      <c r="A4" s="54" t="s">
        <v>84</v>
      </c>
      <c r="B4" s="55"/>
      <c r="C4" s="55"/>
      <c r="D4" s="55"/>
      <c r="E4" s="51"/>
      <c r="F4" s="51"/>
      <c r="G4" s="51"/>
      <c r="H4" s="51"/>
      <c r="I4" s="51"/>
      <c r="J4" s="51"/>
      <c r="K4" s="51"/>
      <c r="L4" s="51"/>
      <c r="M4" s="51"/>
      <c r="N4" s="51"/>
      <c r="O4" s="51"/>
      <c r="P4" s="51"/>
      <c r="Q4" s="56"/>
    </row>
    <row r="5" spans="1:256" ht="283.5" customHeight="1">
      <c r="A5" s="295" t="s">
        <v>2</v>
      </c>
      <c r="B5" s="288" t="s">
        <v>85</v>
      </c>
      <c r="C5" s="57" t="s">
        <v>21</v>
      </c>
      <c r="D5" s="59" t="s">
        <v>217</v>
      </c>
      <c r="E5" s="59" t="s">
        <v>218</v>
      </c>
      <c r="F5" s="59" t="s">
        <v>219</v>
      </c>
      <c r="G5" s="59" t="s">
        <v>220</v>
      </c>
      <c r="H5" s="59" t="s">
        <v>219</v>
      </c>
      <c r="I5" s="59" t="s">
        <v>221</v>
      </c>
      <c r="J5" s="59" t="s">
        <v>220</v>
      </c>
      <c r="K5" s="59" t="s">
        <v>222</v>
      </c>
      <c r="L5" s="59" t="s">
        <v>223</v>
      </c>
      <c r="M5" s="59" t="s">
        <v>224</v>
      </c>
      <c r="N5" s="59" t="s">
        <v>223</v>
      </c>
      <c r="O5" s="59" t="s">
        <v>225</v>
      </c>
      <c r="P5" s="60"/>
      <c r="Q5" s="60"/>
    </row>
    <row r="6" spans="1:256" ht="105.75" customHeight="1">
      <c r="A6" s="295"/>
      <c r="B6" s="288"/>
      <c r="C6" s="57"/>
      <c r="D6" s="59"/>
      <c r="E6" s="59"/>
      <c r="F6" s="59"/>
      <c r="G6" s="59"/>
      <c r="H6" s="59"/>
      <c r="I6" s="59"/>
      <c r="J6" s="59"/>
      <c r="K6" s="61" t="s">
        <v>200</v>
      </c>
      <c r="L6" s="61" t="s">
        <v>201</v>
      </c>
      <c r="M6" s="61" t="s">
        <v>202</v>
      </c>
      <c r="N6" s="61" t="s">
        <v>203</v>
      </c>
      <c r="O6" s="59" t="s">
        <v>205</v>
      </c>
      <c r="P6" s="60"/>
      <c r="Q6" s="60"/>
    </row>
    <row r="7" spans="1:256" ht="74.25" customHeight="1">
      <c r="A7" s="295"/>
      <c r="B7" s="288"/>
      <c r="C7" s="57" t="s">
        <v>22</v>
      </c>
      <c r="D7" s="59"/>
      <c r="E7" s="60"/>
      <c r="F7" s="60"/>
      <c r="G7" s="60"/>
      <c r="H7" s="60"/>
      <c r="I7" s="60"/>
      <c r="J7" s="60"/>
      <c r="K7" s="60"/>
      <c r="L7" s="60"/>
      <c r="M7" s="60"/>
      <c r="N7" s="60"/>
      <c r="O7" s="60"/>
      <c r="P7" s="60"/>
      <c r="Q7" s="60"/>
    </row>
    <row r="8" spans="1:256" ht="175.5" customHeight="1">
      <c r="A8" s="295" t="s">
        <v>4</v>
      </c>
      <c r="B8" s="288" t="s">
        <v>86</v>
      </c>
      <c r="C8" s="57" t="s">
        <v>21</v>
      </c>
      <c r="D8" s="59"/>
      <c r="E8" s="60"/>
      <c r="F8" s="60"/>
      <c r="G8" s="60"/>
      <c r="H8" s="60"/>
      <c r="I8" s="61" t="s">
        <v>200</v>
      </c>
      <c r="J8" s="61" t="s">
        <v>201</v>
      </c>
      <c r="K8" s="61" t="s">
        <v>202</v>
      </c>
      <c r="L8" s="61" t="s">
        <v>203</v>
      </c>
      <c r="M8" s="282" t="s">
        <v>205</v>
      </c>
      <c r="N8" s="283"/>
      <c r="O8" s="284"/>
      <c r="P8" s="60"/>
      <c r="Q8" s="60"/>
    </row>
    <row r="9" spans="1:256" ht="33.75" customHeight="1">
      <c r="A9" s="295"/>
      <c r="B9" s="288"/>
      <c r="C9" s="57" t="s">
        <v>22</v>
      </c>
      <c r="D9" s="59"/>
      <c r="E9" s="60"/>
      <c r="F9" s="60"/>
      <c r="G9" s="60"/>
      <c r="H9" s="60"/>
      <c r="I9" s="60"/>
      <c r="J9" s="60"/>
      <c r="K9" s="60"/>
      <c r="L9" s="60"/>
      <c r="M9" s="60"/>
      <c r="N9" s="60"/>
      <c r="O9" s="60"/>
      <c r="P9" s="60"/>
      <c r="Q9" s="60"/>
    </row>
    <row r="10" spans="1:256" ht="151.5" customHeight="1">
      <c r="A10" s="295" t="s">
        <v>5</v>
      </c>
      <c r="B10" s="288" t="s">
        <v>87</v>
      </c>
      <c r="C10" s="57" t="s">
        <v>21</v>
      </c>
      <c r="D10" s="59" t="s">
        <v>206</v>
      </c>
      <c r="E10" s="59"/>
      <c r="F10" s="59" t="s">
        <v>207</v>
      </c>
      <c r="G10" s="59"/>
      <c r="H10" s="59" t="s">
        <v>208</v>
      </c>
      <c r="I10" s="59" t="s">
        <v>209</v>
      </c>
      <c r="J10" s="59" t="s">
        <v>210</v>
      </c>
      <c r="K10" s="59"/>
      <c r="L10" s="59"/>
      <c r="M10" s="59" t="s">
        <v>211</v>
      </c>
      <c r="N10" s="59"/>
      <c r="O10" s="59"/>
      <c r="P10" s="60"/>
      <c r="Q10" s="60"/>
    </row>
    <row r="11" spans="1:256" ht="40.5" customHeight="1">
      <c r="A11" s="295"/>
      <c r="B11" s="288"/>
      <c r="C11" s="57" t="s">
        <v>22</v>
      </c>
      <c r="D11" s="59"/>
      <c r="E11" s="60"/>
      <c r="F11" s="60"/>
      <c r="G11" s="60"/>
      <c r="H11" s="60"/>
      <c r="I11" s="60"/>
      <c r="J11" s="60"/>
      <c r="K11" s="60"/>
      <c r="L11" s="60"/>
      <c r="M11" s="60"/>
      <c r="N11" s="60"/>
      <c r="O11" s="60"/>
      <c r="P11" s="60"/>
      <c r="Q11" s="60"/>
    </row>
    <row r="12" spans="1:256" ht="355.5" customHeight="1">
      <c r="A12" s="295" t="s">
        <v>6</v>
      </c>
      <c r="B12" s="288" t="s">
        <v>228</v>
      </c>
      <c r="C12" s="57" t="s">
        <v>21</v>
      </c>
      <c r="D12" s="59"/>
      <c r="E12" s="59" t="s">
        <v>149</v>
      </c>
      <c r="F12" s="59"/>
      <c r="G12" s="59" t="s">
        <v>150</v>
      </c>
      <c r="H12" s="59" t="s">
        <v>151</v>
      </c>
      <c r="I12" s="59" t="s">
        <v>152</v>
      </c>
      <c r="J12" s="59"/>
      <c r="K12" s="59"/>
      <c r="L12" s="59" t="s">
        <v>151</v>
      </c>
      <c r="M12" s="59"/>
      <c r="N12" s="59"/>
      <c r="O12" s="59" t="s">
        <v>153</v>
      </c>
      <c r="P12" s="60"/>
      <c r="Q12" s="60"/>
    </row>
    <row r="13" spans="1:256" ht="24" customHeight="1">
      <c r="A13" s="295"/>
      <c r="B13" s="288"/>
      <c r="C13" s="57" t="s">
        <v>22</v>
      </c>
      <c r="D13" s="59"/>
      <c r="E13" s="60"/>
      <c r="F13" s="60"/>
      <c r="G13" s="60"/>
      <c r="H13" s="60"/>
      <c r="I13" s="60"/>
      <c r="J13" s="60"/>
      <c r="K13" s="60"/>
      <c r="L13" s="60"/>
      <c r="M13" s="60"/>
      <c r="N13" s="60"/>
      <c r="O13" s="60"/>
      <c r="P13" s="60"/>
      <c r="Q13" s="60"/>
    </row>
    <row r="14" spans="1:256" ht="96" customHeight="1">
      <c r="A14" s="295" t="s">
        <v>10</v>
      </c>
      <c r="B14" s="288" t="s">
        <v>88</v>
      </c>
      <c r="C14" s="57" t="s">
        <v>21</v>
      </c>
      <c r="D14" s="59"/>
      <c r="E14" s="60"/>
      <c r="F14" s="65" t="s">
        <v>240</v>
      </c>
      <c r="G14" s="60"/>
      <c r="H14" s="60"/>
      <c r="I14" s="60"/>
      <c r="J14" s="60"/>
      <c r="K14" s="60"/>
      <c r="L14" s="60"/>
      <c r="M14" s="60"/>
      <c r="N14" s="60"/>
      <c r="O14" s="60"/>
      <c r="P14" s="60"/>
      <c r="Q14" s="60"/>
    </row>
    <row r="15" spans="1:256" ht="39" customHeight="1">
      <c r="A15" s="295"/>
      <c r="B15" s="288"/>
      <c r="C15" s="57" t="s">
        <v>22</v>
      </c>
      <c r="D15" s="59"/>
      <c r="E15" s="60"/>
      <c r="F15" s="60"/>
      <c r="G15" s="60"/>
      <c r="H15" s="60"/>
      <c r="I15" s="60"/>
      <c r="J15" s="60"/>
      <c r="K15" s="60"/>
      <c r="L15" s="60"/>
      <c r="M15" s="60"/>
      <c r="N15" s="60"/>
      <c r="O15" s="60"/>
      <c r="P15" s="60"/>
      <c r="Q15" s="60"/>
    </row>
    <row r="16" spans="1:256">
      <c r="A16" s="35" t="s">
        <v>89</v>
      </c>
      <c r="B16" s="66"/>
      <c r="C16" s="66"/>
      <c r="D16" s="63"/>
      <c r="E16" s="63"/>
      <c r="F16" s="63"/>
      <c r="G16" s="63"/>
      <c r="H16" s="63"/>
      <c r="I16" s="63"/>
      <c r="J16" s="63"/>
      <c r="K16" s="63"/>
      <c r="L16" s="63"/>
      <c r="M16" s="63"/>
      <c r="N16" s="63"/>
      <c r="O16" s="63"/>
      <c r="P16" s="63"/>
      <c r="Q16" s="64"/>
      <c r="AI16" s="301"/>
      <c r="AJ16" s="301"/>
      <c r="AK16" s="301"/>
      <c r="AZ16" s="301"/>
      <c r="BA16" s="301"/>
      <c r="BB16" s="301"/>
      <c r="BQ16" s="301"/>
      <c r="BR16" s="301"/>
      <c r="BS16" s="301"/>
      <c r="CH16" s="301"/>
      <c r="CI16" s="301"/>
      <c r="CJ16" s="301"/>
      <c r="CY16" s="301"/>
      <c r="CZ16" s="301"/>
      <c r="DA16" s="301"/>
      <c r="DP16" s="301"/>
      <c r="DQ16" s="301"/>
      <c r="DR16" s="301"/>
      <c r="EG16" s="301"/>
      <c r="EH16" s="301"/>
      <c r="EI16" s="301"/>
      <c r="EX16" s="301"/>
      <c r="EY16" s="301"/>
      <c r="EZ16" s="301"/>
      <c r="FO16" s="301"/>
      <c r="FP16" s="301"/>
      <c r="FQ16" s="301"/>
      <c r="GF16" s="301"/>
      <c r="GG16" s="301"/>
      <c r="GH16" s="301"/>
      <c r="GW16" s="301"/>
      <c r="GX16" s="301"/>
      <c r="GY16" s="301"/>
      <c r="HN16" s="301"/>
      <c r="HO16" s="301"/>
      <c r="HP16" s="301"/>
      <c r="IE16" s="301"/>
      <c r="IF16" s="301"/>
      <c r="IG16" s="301"/>
      <c r="IV16" s="301"/>
    </row>
    <row r="17" spans="1:17" ht="320.25" customHeight="1">
      <c r="A17" s="295" t="s">
        <v>7</v>
      </c>
      <c r="B17" s="288" t="s">
        <v>90</v>
      </c>
      <c r="C17" s="57" t="s">
        <v>21</v>
      </c>
      <c r="D17" s="67" t="s">
        <v>158</v>
      </c>
      <c r="E17" s="67" t="s">
        <v>159</v>
      </c>
      <c r="F17" s="67" t="s">
        <v>160</v>
      </c>
      <c r="G17" s="67" t="s">
        <v>161</v>
      </c>
      <c r="H17" s="67" t="s">
        <v>162</v>
      </c>
      <c r="I17" s="60"/>
      <c r="J17" s="60"/>
      <c r="K17" s="60"/>
      <c r="L17" s="60"/>
      <c r="M17" s="60"/>
      <c r="N17" s="60"/>
      <c r="O17" s="60"/>
      <c r="P17" s="60"/>
      <c r="Q17" s="60"/>
    </row>
    <row r="18" spans="1:17" ht="39.950000000000003" customHeight="1">
      <c r="A18" s="295"/>
      <c r="B18" s="288"/>
      <c r="C18" s="57" t="s">
        <v>22</v>
      </c>
      <c r="D18" s="59"/>
      <c r="E18" s="60"/>
      <c r="F18" s="60"/>
      <c r="G18" s="60"/>
      <c r="H18" s="60"/>
      <c r="I18" s="60"/>
      <c r="J18" s="60"/>
      <c r="K18" s="60"/>
      <c r="L18" s="60"/>
      <c r="M18" s="60"/>
      <c r="N18" s="60"/>
      <c r="O18" s="60"/>
      <c r="P18" s="60"/>
      <c r="Q18" s="60"/>
    </row>
    <row r="19" spans="1:17" ht="194.25" customHeight="1">
      <c r="A19" s="295" t="s">
        <v>8</v>
      </c>
      <c r="B19" s="288" t="s">
        <v>226</v>
      </c>
      <c r="C19" s="57" t="s">
        <v>21</v>
      </c>
      <c r="D19" s="61" t="s">
        <v>241</v>
      </c>
      <c r="E19" s="61" t="s">
        <v>242</v>
      </c>
      <c r="F19" s="68" t="s">
        <v>171</v>
      </c>
      <c r="G19" s="61" t="s">
        <v>172</v>
      </c>
      <c r="H19" s="69"/>
      <c r="I19" s="69"/>
      <c r="J19" s="69"/>
      <c r="K19" s="61"/>
      <c r="L19" s="61"/>
      <c r="M19" s="61"/>
      <c r="N19" s="61"/>
      <c r="O19" s="61"/>
      <c r="P19" s="61" t="s">
        <v>173</v>
      </c>
      <c r="Q19" s="60"/>
    </row>
    <row r="20" spans="1:17" ht="39.950000000000003" customHeight="1">
      <c r="A20" s="295"/>
      <c r="B20" s="288"/>
      <c r="C20" s="57" t="s">
        <v>22</v>
      </c>
      <c r="D20" s="59"/>
      <c r="E20" s="60"/>
      <c r="F20" s="60"/>
      <c r="G20" s="60"/>
      <c r="H20" s="60"/>
      <c r="I20" s="60"/>
      <c r="J20" s="60"/>
      <c r="K20" s="60"/>
      <c r="L20" s="60"/>
      <c r="M20" s="60"/>
      <c r="N20" s="60"/>
      <c r="O20" s="60"/>
      <c r="P20" s="60"/>
      <c r="Q20" s="60"/>
    </row>
    <row r="21" spans="1:17" ht="211.5" customHeight="1">
      <c r="A21" s="295" t="s">
        <v>9</v>
      </c>
      <c r="B21" s="288" t="s">
        <v>229</v>
      </c>
      <c r="C21" s="57" t="s">
        <v>21</v>
      </c>
      <c r="D21" s="70" t="s">
        <v>243</v>
      </c>
      <c r="E21" s="70" t="s">
        <v>174</v>
      </c>
      <c r="F21" s="70" t="s">
        <v>171</v>
      </c>
      <c r="G21" s="71" t="s">
        <v>175</v>
      </c>
      <c r="H21" s="71" t="s">
        <v>175</v>
      </c>
      <c r="I21" s="70" t="s">
        <v>175</v>
      </c>
      <c r="J21" s="70" t="s">
        <v>175</v>
      </c>
      <c r="K21" s="70" t="s">
        <v>175</v>
      </c>
      <c r="L21" s="70" t="s">
        <v>175</v>
      </c>
      <c r="M21" s="70" t="s">
        <v>175</v>
      </c>
      <c r="N21" s="70" t="s">
        <v>176</v>
      </c>
      <c r="O21" s="70" t="s">
        <v>177</v>
      </c>
      <c r="P21" s="61" t="s">
        <v>178</v>
      </c>
      <c r="Q21" s="60"/>
    </row>
    <row r="22" spans="1:17" ht="31.5" customHeight="1">
      <c r="A22" s="295"/>
      <c r="B22" s="288"/>
      <c r="C22" s="57" t="s">
        <v>22</v>
      </c>
      <c r="D22" s="59"/>
      <c r="E22" s="60"/>
      <c r="F22" s="60"/>
      <c r="G22" s="60"/>
      <c r="H22" s="60"/>
      <c r="I22" s="60"/>
      <c r="J22" s="60"/>
      <c r="K22" s="60"/>
      <c r="L22" s="60"/>
      <c r="M22" s="60"/>
      <c r="N22" s="60"/>
      <c r="O22" s="60"/>
      <c r="P22" s="60"/>
      <c r="Q22" s="60"/>
    </row>
    <row r="23" spans="1:17" s="73" customFormat="1" ht="223.5" customHeight="1">
      <c r="A23" s="285" t="s">
        <v>15</v>
      </c>
      <c r="B23" s="302" t="s">
        <v>230</v>
      </c>
      <c r="C23" s="72" t="s">
        <v>21</v>
      </c>
      <c r="D23" s="61" t="str">
        <f>$D$19</f>
        <v>подготовка конкурсной документации</v>
      </c>
      <c r="E23" s="61" t="s">
        <v>244</v>
      </c>
      <c r="F23" s="68" t="s">
        <v>171</v>
      </c>
      <c r="G23" s="61" t="s">
        <v>179</v>
      </c>
      <c r="H23" s="61" t="s">
        <v>180</v>
      </c>
      <c r="I23" s="61" t="s">
        <v>135</v>
      </c>
      <c r="J23" s="61"/>
      <c r="K23" s="61" t="s">
        <v>181</v>
      </c>
      <c r="L23" s="61"/>
      <c r="M23" s="69"/>
      <c r="N23" s="69"/>
      <c r="O23" s="69"/>
      <c r="P23" s="61" t="s">
        <v>182</v>
      </c>
      <c r="Q23" s="69"/>
    </row>
    <row r="24" spans="1:17" s="73" customFormat="1" ht="39.950000000000003" customHeight="1">
      <c r="A24" s="287"/>
      <c r="B24" s="302"/>
      <c r="C24" s="72" t="s">
        <v>22</v>
      </c>
      <c r="D24" s="61"/>
      <c r="E24" s="69"/>
      <c r="F24" s="69"/>
      <c r="G24" s="69"/>
      <c r="H24" s="69"/>
      <c r="I24" s="69"/>
      <c r="J24" s="69"/>
      <c r="K24" s="69"/>
      <c r="L24" s="69"/>
      <c r="M24" s="69"/>
      <c r="N24" s="69"/>
      <c r="O24" s="69"/>
      <c r="P24" s="69"/>
      <c r="Q24" s="69"/>
    </row>
    <row r="25" spans="1:17" s="73" customFormat="1" ht="104.25" customHeight="1">
      <c r="A25" s="298" t="s">
        <v>16</v>
      </c>
      <c r="B25" s="302" t="s">
        <v>231</v>
      </c>
      <c r="C25" s="72" t="s">
        <v>21</v>
      </c>
      <c r="D25" s="74"/>
      <c r="E25" s="61" t="str">
        <f>$D$19</f>
        <v>подготовка конкурсной документации</v>
      </c>
      <c r="F25" s="68" t="s">
        <v>171</v>
      </c>
      <c r="G25" s="61" t="s">
        <v>183</v>
      </c>
      <c r="H25" s="61" t="str">
        <f>$D$19</f>
        <v>подготовка конкурсной документации</v>
      </c>
      <c r="I25" s="68" t="s">
        <v>171</v>
      </c>
      <c r="J25" s="61" t="s">
        <v>183</v>
      </c>
      <c r="K25" s="69"/>
      <c r="L25" s="69"/>
      <c r="M25" s="69"/>
      <c r="N25" s="69"/>
      <c r="O25" s="69"/>
      <c r="P25" s="70" t="s">
        <v>184</v>
      </c>
      <c r="Q25" s="69"/>
    </row>
    <row r="26" spans="1:17" s="73" customFormat="1" ht="39.950000000000003" customHeight="1">
      <c r="A26" s="298"/>
      <c r="B26" s="302"/>
      <c r="C26" s="72" t="s">
        <v>22</v>
      </c>
      <c r="D26" s="61"/>
      <c r="E26" s="69"/>
      <c r="F26" s="69"/>
      <c r="G26" s="69"/>
      <c r="H26" s="69"/>
      <c r="I26" s="69"/>
      <c r="J26" s="69"/>
      <c r="K26" s="69"/>
      <c r="L26" s="69"/>
      <c r="M26" s="69"/>
      <c r="N26" s="69"/>
      <c r="O26" s="69"/>
      <c r="P26" s="69"/>
      <c r="Q26" s="69"/>
    </row>
    <row r="27" spans="1:17">
      <c r="A27" s="35" t="s">
        <v>91</v>
      </c>
      <c r="B27" s="75"/>
      <c r="C27" s="75"/>
      <c r="D27" s="59"/>
      <c r="E27" s="60"/>
      <c r="F27" s="60"/>
      <c r="G27" s="60"/>
      <c r="H27" s="60"/>
      <c r="I27" s="60"/>
      <c r="J27" s="60"/>
      <c r="K27" s="60"/>
      <c r="L27" s="60"/>
      <c r="M27" s="60"/>
      <c r="N27" s="60"/>
      <c r="O27" s="60"/>
      <c r="P27" s="60"/>
      <c r="Q27" s="60"/>
    </row>
    <row r="28" spans="1:17" ht="201.75" customHeight="1">
      <c r="A28" s="57" t="s">
        <v>17</v>
      </c>
      <c r="B28" s="58" t="s">
        <v>232</v>
      </c>
      <c r="C28" s="57" t="s">
        <v>21</v>
      </c>
      <c r="D28" s="59" t="s">
        <v>139</v>
      </c>
      <c r="E28" s="59" t="s">
        <v>139</v>
      </c>
      <c r="F28" s="59" t="s">
        <v>139</v>
      </c>
      <c r="G28" s="59" t="s">
        <v>140</v>
      </c>
      <c r="H28" s="59" t="s">
        <v>140</v>
      </c>
      <c r="I28" s="59" t="s">
        <v>140</v>
      </c>
      <c r="J28" s="59" t="s">
        <v>141</v>
      </c>
      <c r="K28" s="59" t="s">
        <v>141</v>
      </c>
      <c r="L28" s="59" t="s">
        <v>141</v>
      </c>
      <c r="M28" s="59" t="s">
        <v>142</v>
      </c>
      <c r="N28" s="59" t="s">
        <v>142</v>
      </c>
      <c r="O28" s="60"/>
      <c r="P28" s="60"/>
      <c r="Q28" s="60"/>
    </row>
    <row r="29" spans="1:17" ht="39.950000000000003" customHeight="1">
      <c r="A29" s="57"/>
      <c r="B29" s="58"/>
      <c r="C29" s="57" t="s">
        <v>22</v>
      </c>
      <c r="D29" s="59"/>
      <c r="E29" s="60"/>
      <c r="F29" s="60"/>
      <c r="G29" s="60"/>
      <c r="H29" s="60"/>
      <c r="I29" s="60"/>
      <c r="J29" s="60"/>
      <c r="K29" s="60"/>
      <c r="L29" s="60"/>
      <c r="M29" s="60"/>
      <c r="N29" s="60"/>
      <c r="O29" s="60"/>
      <c r="P29" s="60"/>
      <c r="Q29" s="60"/>
    </row>
    <row r="30" spans="1:17">
      <c r="A30" s="36" t="s">
        <v>92</v>
      </c>
      <c r="B30" s="76"/>
      <c r="C30" s="77"/>
      <c r="D30" s="78"/>
      <c r="E30" s="79"/>
      <c r="F30" s="79"/>
      <c r="G30" s="80"/>
      <c r="H30" s="81"/>
      <c r="I30" s="81"/>
      <c r="J30" s="81"/>
      <c r="K30" s="81"/>
      <c r="L30" s="81"/>
      <c r="M30" s="81"/>
      <c r="N30" s="81"/>
      <c r="O30" s="81"/>
      <c r="P30" s="81"/>
      <c r="Q30" s="81"/>
    </row>
    <row r="31" spans="1:17" ht="241.5" customHeight="1">
      <c r="A31" s="295" t="s">
        <v>94</v>
      </c>
      <c r="B31" s="288" t="s">
        <v>93</v>
      </c>
      <c r="C31" s="57" t="s">
        <v>21</v>
      </c>
      <c r="D31" s="59" t="s">
        <v>212</v>
      </c>
      <c r="E31" s="59" t="s">
        <v>213</v>
      </c>
      <c r="F31" s="59" t="s">
        <v>214</v>
      </c>
      <c r="G31" s="59" t="s">
        <v>214</v>
      </c>
      <c r="H31" s="59" t="s">
        <v>141</v>
      </c>
      <c r="I31" s="59" t="s">
        <v>142</v>
      </c>
      <c r="J31" s="59" t="s">
        <v>142</v>
      </c>
      <c r="K31" s="59" t="s">
        <v>142</v>
      </c>
      <c r="L31" s="59" t="s">
        <v>142</v>
      </c>
      <c r="M31" s="59" t="s">
        <v>215</v>
      </c>
      <c r="N31" s="59" t="s">
        <v>215</v>
      </c>
      <c r="O31" s="59" t="s">
        <v>215</v>
      </c>
      <c r="P31" s="60"/>
      <c r="Q31" s="60"/>
    </row>
    <row r="32" spans="1:17" ht="45.75" customHeight="1">
      <c r="A32" s="295"/>
      <c r="B32" s="288"/>
      <c r="C32" s="57" t="s">
        <v>22</v>
      </c>
      <c r="D32" s="59"/>
      <c r="E32" s="60"/>
      <c r="F32" s="60"/>
      <c r="G32" s="60"/>
      <c r="H32" s="60"/>
      <c r="I32" s="60"/>
      <c r="J32" s="60"/>
      <c r="K32" s="60"/>
      <c r="L32" s="60"/>
      <c r="M32" s="60"/>
      <c r="N32" s="60"/>
      <c r="O32" s="60"/>
      <c r="P32" s="60"/>
      <c r="Q32" s="60"/>
    </row>
    <row r="33" spans="1:17">
      <c r="A33" s="35" t="s">
        <v>95</v>
      </c>
      <c r="B33" s="58"/>
      <c r="C33" s="57"/>
      <c r="D33" s="59"/>
      <c r="E33" s="60"/>
      <c r="F33" s="60"/>
      <c r="G33" s="60"/>
      <c r="H33" s="62"/>
      <c r="I33" s="81"/>
      <c r="J33" s="81"/>
      <c r="K33" s="81"/>
      <c r="L33" s="81"/>
      <c r="M33" s="81"/>
      <c r="N33" s="81"/>
      <c r="O33" s="81"/>
      <c r="P33" s="81"/>
      <c r="Q33" s="81"/>
    </row>
    <row r="34" spans="1:17" ht="30.75" customHeight="1">
      <c r="A34" s="295" t="s">
        <v>96</v>
      </c>
      <c r="B34" s="288" t="s">
        <v>97</v>
      </c>
      <c r="C34" s="57" t="s">
        <v>21</v>
      </c>
      <c r="D34" s="59"/>
      <c r="E34" s="60"/>
      <c r="F34" s="60"/>
      <c r="G34" s="60"/>
      <c r="H34" s="60"/>
      <c r="I34" s="60"/>
      <c r="J34" s="60"/>
      <c r="K34" s="60"/>
      <c r="L34" s="60"/>
      <c r="M34" s="60"/>
      <c r="N34" s="60"/>
      <c r="O34" s="60"/>
      <c r="P34" s="60"/>
      <c r="Q34" s="60"/>
    </row>
    <row r="35" spans="1:17" ht="30.75" customHeight="1">
      <c r="A35" s="295"/>
      <c r="B35" s="288"/>
      <c r="C35" s="57" t="s">
        <v>22</v>
      </c>
      <c r="D35" s="59"/>
      <c r="E35" s="60"/>
      <c r="F35" s="60"/>
      <c r="G35" s="60"/>
      <c r="H35" s="60"/>
      <c r="I35" s="60"/>
      <c r="J35" s="60"/>
      <c r="K35" s="60"/>
      <c r="L35" s="60"/>
      <c r="M35" s="60"/>
      <c r="N35" s="60"/>
      <c r="O35" s="60"/>
      <c r="P35" s="60"/>
      <c r="Q35" s="60"/>
    </row>
    <row r="36" spans="1:17" ht="39.950000000000003" customHeight="1">
      <c r="A36" s="299" t="s">
        <v>98</v>
      </c>
      <c r="B36" s="289" t="s">
        <v>129</v>
      </c>
      <c r="C36" s="57" t="s">
        <v>21</v>
      </c>
      <c r="D36" s="59"/>
      <c r="E36" s="60"/>
      <c r="F36" s="60"/>
      <c r="G36" s="60"/>
      <c r="H36" s="60"/>
      <c r="I36" s="60"/>
      <c r="J36" s="60"/>
      <c r="K36" s="60"/>
      <c r="L36" s="60"/>
      <c r="M36" s="60"/>
      <c r="N36" s="60"/>
      <c r="O36" s="60"/>
      <c r="P36" s="60"/>
      <c r="Q36" s="60"/>
    </row>
    <row r="37" spans="1:17" ht="39.950000000000003" customHeight="1">
      <c r="A37" s="300"/>
      <c r="B37" s="290"/>
      <c r="C37" s="57" t="s">
        <v>22</v>
      </c>
      <c r="D37" s="59"/>
      <c r="E37" s="60"/>
      <c r="F37" s="60"/>
      <c r="G37" s="60"/>
      <c r="H37" s="60"/>
      <c r="I37" s="60"/>
      <c r="J37" s="60"/>
      <c r="K37" s="60"/>
      <c r="L37" s="60"/>
      <c r="M37" s="60"/>
      <c r="N37" s="60"/>
      <c r="O37" s="60"/>
      <c r="P37" s="60"/>
      <c r="Q37" s="60"/>
    </row>
    <row r="38" spans="1:17">
      <c r="A38" s="37" t="s">
        <v>99</v>
      </c>
      <c r="B38" s="82"/>
      <c r="C38" s="83"/>
      <c r="D38" s="84"/>
      <c r="E38" s="81"/>
      <c r="F38" s="81"/>
      <c r="G38" s="81"/>
      <c r="H38" s="81"/>
      <c r="I38" s="81"/>
      <c r="J38" s="81"/>
      <c r="K38" s="81"/>
      <c r="L38" s="81"/>
      <c r="M38" s="81"/>
      <c r="N38" s="81"/>
      <c r="O38" s="81"/>
      <c r="P38" s="81"/>
      <c r="Q38" s="81"/>
    </row>
    <row r="39" spans="1:17" ht="238.5" customHeight="1">
      <c r="A39" s="295" t="s">
        <v>100</v>
      </c>
      <c r="B39" s="288" t="s">
        <v>227</v>
      </c>
      <c r="C39" s="57" t="s">
        <v>21</v>
      </c>
      <c r="D39" s="96"/>
      <c r="E39" s="96" t="s">
        <v>246</v>
      </c>
      <c r="F39" s="96" t="s">
        <v>245</v>
      </c>
      <c r="G39" s="96" t="s">
        <v>234</v>
      </c>
      <c r="H39" s="291" t="s">
        <v>247</v>
      </c>
      <c r="I39" s="292"/>
      <c r="J39" s="292"/>
      <c r="K39" s="292"/>
      <c r="L39" s="292"/>
      <c r="M39" s="292"/>
      <c r="N39" s="292"/>
      <c r="O39" s="293"/>
      <c r="P39" s="59" t="s">
        <v>189</v>
      </c>
      <c r="Q39" s="60"/>
    </row>
    <row r="40" spans="1:17" ht="39.950000000000003" customHeight="1">
      <c r="A40" s="295" t="s">
        <v>11</v>
      </c>
      <c r="B40" s="288" t="s">
        <v>12</v>
      </c>
      <c r="C40" s="57" t="s">
        <v>22</v>
      </c>
      <c r="D40" s="59"/>
      <c r="E40" s="60"/>
      <c r="F40" s="60"/>
      <c r="G40" s="60"/>
      <c r="H40" s="60"/>
      <c r="I40" s="60"/>
      <c r="J40" s="60"/>
      <c r="K40" s="60"/>
      <c r="L40" s="60"/>
      <c r="M40" s="60"/>
      <c r="N40" s="60"/>
      <c r="O40" s="60"/>
      <c r="P40" s="60"/>
      <c r="Q40" s="60"/>
    </row>
    <row r="41" spans="1:17" ht="194.25" customHeight="1">
      <c r="A41" s="295" t="s">
        <v>101</v>
      </c>
      <c r="B41" s="288" t="s">
        <v>102</v>
      </c>
      <c r="C41" s="57" t="s">
        <v>21</v>
      </c>
      <c r="D41" s="59"/>
      <c r="E41" s="60"/>
      <c r="F41" s="60"/>
      <c r="G41" s="60"/>
      <c r="H41" s="60"/>
      <c r="I41" s="60"/>
      <c r="J41" s="60"/>
      <c r="K41" s="60"/>
      <c r="L41" s="60"/>
      <c r="M41" s="60"/>
      <c r="N41" s="60"/>
      <c r="O41" s="60"/>
      <c r="P41" s="86" t="s">
        <v>154</v>
      </c>
      <c r="Q41" s="60"/>
    </row>
    <row r="42" spans="1:17" ht="39.950000000000003" customHeight="1">
      <c r="A42" s="295"/>
      <c r="B42" s="288"/>
      <c r="C42" s="57" t="s">
        <v>22</v>
      </c>
      <c r="D42" s="59"/>
      <c r="E42" s="60"/>
      <c r="F42" s="60"/>
      <c r="G42" s="60"/>
      <c r="H42" s="60"/>
      <c r="I42" s="60"/>
      <c r="J42" s="60"/>
      <c r="K42" s="60"/>
      <c r="L42" s="60"/>
      <c r="M42" s="60"/>
      <c r="N42" s="60"/>
      <c r="O42" s="60"/>
      <c r="P42" s="60"/>
      <c r="Q42" s="60"/>
    </row>
    <row r="43" spans="1:17" ht="186" customHeight="1">
      <c r="A43" s="295" t="s">
        <v>103</v>
      </c>
      <c r="B43" s="288" t="s">
        <v>104</v>
      </c>
      <c r="C43" s="57" t="s">
        <v>21</v>
      </c>
      <c r="D43" s="61" t="s">
        <v>200</v>
      </c>
      <c r="E43" s="61" t="s">
        <v>201</v>
      </c>
      <c r="F43" s="61" t="s">
        <v>204</v>
      </c>
      <c r="G43" s="305" t="s">
        <v>192</v>
      </c>
      <c r="H43" s="306"/>
      <c r="I43" s="306"/>
      <c r="J43" s="306"/>
      <c r="K43" s="306"/>
      <c r="L43" s="306"/>
      <c r="M43" s="306"/>
      <c r="N43" s="306"/>
      <c r="O43" s="307"/>
      <c r="P43" s="60"/>
      <c r="Q43" s="60"/>
    </row>
    <row r="44" spans="1:17" ht="39.950000000000003" customHeight="1">
      <c r="A44" s="295"/>
      <c r="B44" s="288"/>
      <c r="C44" s="57" t="s">
        <v>22</v>
      </c>
      <c r="D44" s="59"/>
      <c r="E44" s="60"/>
      <c r="F44" s="60"/>
      <c r="G44" s="60"/>
      <c r="H44" s="60"/>
      <c r="I44" s="60"/>
      <c r="J44" s="60"/>
      <c r="K44" s="60"/>
      <c r="L44" s="60"/>
      <c r="M44" s="60"/>
      <c r="N44" s="60"/>
      <c r="O44" s="60"/>
      <c r="P44" s="60"/>
      <c r="Q44" s="60"/>
    </row>
    <row r="45" spans="1:17" ht="278.25" customHeight="1">
      <c r="A45" s="295" t="s">
        <v>105</v>
      </c>
      <c r="B45" s="288" t="s">
        <v>106</v>
      </c>
      <c r="C45" s="57" t="s">
        <v>21</v>
      </c>
      <c r="D45" s="87" t="s">
        <v>190</v>
      </c>
      <c r="E45" s="87" t="s">
        <v>191</v>
      </c>
      <c r="F45" s="87" t="s">
        <v>192</v>
      </c>
      <c r="G45" s="87" t="s">
        <v>192</v>
      </c>
      <c r="H45" s="87" t="s">
        <v>193</v>
      </c>
      <c r="I45" s="87" t="s">
        <v>192</v>
      </c>
      <c r="J45" s="87" t="s">
        <v>192</v>
      </c>
      <c r="K45" s="87" t="s">
        <v>194</v>
      </c>
      <c r="L45" s="87" t="s">
        <v>192</v>
      </c>
      <c r="M45" s="87" t="s">
        <v>195</v>
      </c>
      <c r="N45" s="87" t="s">
        <v>196</v>
      </c>
      <c r="O45" s="87" t="s">
        <v>197</v>
      </c>
      <c r="P45" s="87" t="s">
        <v>198</v>
      </c>
      <c r="Q45" s="60"/>
    </row>
    <row r="46" spans="1:17" ht="39.950000000000003" customHeight="1">
      <c r="A46" s="295" t="s">
        <v>13</v>
      </c>
      <c r="B46" s="288" t="s">
        <v>14</v>
      </c>
      <c r="C46" s="57" t="s">
        <v>22</v>
      </c>
      <c r="D46" s="59"/>
      <c r="E46" s="60"/>
      <c r="F46" s="60"/>
      <c r="G46" s="60"/>
      <c r="H46" s="60"/>
      <c r="I46" s="60"/>
      <c r="J46" s="60"/>
      <c r="K46" s="60"/>
      <c r="L46" s="60"/>
      <c r="M46" s="60"/>
      <c r="N46" s="60"/>
      <c r="O46" s="60"/>
      <c r="P46" s="60"/>
      <c r="Q46" s="60"/>
    </row>
    <row r="47" spans="1:17" ht="39.950000000000003" customHeight="1">
      <c r="A47" s="296" t="s">
        <v>108</v>
      </c>
      <c r="B47" s="289" t="s">
        <v>107</v>
      </c>
      <c r="C47" s="57" t="s">
        <v>21</v>
      </c>
      <c r="D47" s="59"/>
      <c r="E47" s="60"/>
      <c r="F47" s="60"/>
      <c r="G47" s="60"/>
      <c r="H47" s="60"/>
      <c r="I47" s="60"/>
      <c r="J47" s="60"/>
      <c r="K47" s="60"/>
      <c r="L47" s="60"/>
      <c r="M47" s="60"/>
      <c r="N47" s="60"/>
      <c r="O47" s="60"/>
      <c r="P47" s="60"/>
      <c r="Q47" s="60"/>
    </row>
    <row r="48" spans="1:17" ht="39.950000000000003" customHeight="1">
      <c r="A48" s="297"/>
      <c r="B48" s="290"/>
      <c r="C48" s="57" t="s">
        <v>22</v>
      </c>
      <c r="D48" s="59"/>
      <c r="E48" s="60"/>
      <c r="F48" s="60"/>
      <c r="G48" s="60"/>
      <c r="H48" s="60"/>
      <c r="I48" s="60"/>
      <c r="J48" s="60"/>
      <c r="K48" s="60"/>
      <c r="L48" s="60"/>
      <c r="M48" s="60"/>
      <c r="N48" s="60"/>
      <c r="O48" s="60"/>
      <c r="P48" s="60"/>
      <c r="Q48" s="60"/>
    </row>
    <row r="49" spans="1:17" ht="129.75" customHeight="1">
      <c r="A49" s="296" t="s">
        <v>109</v>
      </c>
      <c r="B49" s="289" t="s">
        <v>110</v>
      </c>
      <c r="C49" s="88" t="s">
        <v>21</v>
      </c>
      <c r="D49" s="34" t="s">
        <v>248</v>
      </c>
      <c r="E49" s="34" t="s">
        <v>248</v>
      </c>
      <c r="F49" s="34" t="s">
        <v>248</v>
      </c>
      <c r="G49" s="34" t="s">
        <v>249</v>
      </c>
      <c r="H49" s="34" t="s">
        <v>250</v>
      </c>
      <c r="I49" s="98" t="s">
        <v>251</v>
      </c>
      <c r="J49" s="34" t="s">
        <v>252</v>
      </c>
      <c r="K49" s="34" t="s">
        <v>248</v>
      </c>
      <c r="L49" s="34" t="s">
        <v>253</v>
      </c>
      <c r="M49" s="34" t="s">
        <v>248</v>
      </c>
      <c r="N49" s="98" t="s">
        <v>254</v>
      </c>
      <c r="O49" s="34" t="s">
        <v>248</v>
      </c>
      <c r="P49" s="89"/>
      <c r="Q49" s="89"/>
    </row>
    <row r="50" spans="1:17" ht="39.950000000000003" customHeight="1">
      <c r="A50" s="297"/>
      <c r="B50" s="290"/>
      <c r="C50" s="57" t="s">
        <v>22</v>
      </c>
      <c r="D50" s="59"/>
      <c r="E50" s="60"/>
      <c r="F50" s="60"/>
      <c r="G50" s="60"/>
      <c r="H50" s="60"/>
      <c r="I50" s="60"/>
      <c r="J50" s="60"/>
      <c r="K50" s="60"/>
      <c r="L50" s="60"/>
      <c r="M50" s="60"/>
      <c r="N50" s="60"/>
      <c r="O50" s="60"/>
      <c r="P50" s="60"/>
      <c r="Q50" s="60"/>
    </row>
    <row r="51" spans="1:17" s="73" customFormat="1" ht="391.5" customHeight="1">
      <c r="A51" s="295" t="s">
        <v>111</v>
      </c>
      <c r="B51" s="288" t="s">
        <v>112</v>
      </c>
      <c r="C51" s="72" t="s">
        <v>21</v>
      </c>
      <c r="D51" s="61" t="s">
        <v>131</v>
      </c>
      <c r="E51" s="61" t="s">
        <v>132</v>
      </c>
      <c r="F51" s="61" t="s">
        <v>133</v>
      </c>
      <c r="G51" s="61" t="s">
        <v>134</v>
      </c>
      <c r="H51" s="61" t="s">
        <v>135</v>
      </c>
      <c r="I51" s="61" t="s">
        <v>136</v>
      </c>
      <c r="J51" s="61" t="s">
        <v>136</v>
      </c>
      <c r="K51" s="61" t="s">
        <v>136</v>
      </c>
      <c r="L51" s="61" t="s">
        <v>137</v>
      </c>
      <c r="M51" s="69"/>
      <c r="N51" s="69"/>
      <c r="O51" s="69"/>
      <c r="P51" s="61" t="s">
        <v>138</v>
      </c>
      <c r="Q51" s="69"/>
    </row>
    <row r="52" spans="1:17" ht="39.950000000000003" customHeight="1">
      <c r="A52" s="295"/>
      <c r="B52" s="288"/>
      <c r="C52" s="57" t="s">
        <v>22</v>
      </c>
      <c r="D52" s="90"/>
      <c r="E52" s="89"/>
      <c r="F52" s="89"/>
      <c r="G52" s="89"/>
      <c r="H52" s="89"/>
      <c r="I52" s="89"/>
      <c r="J52" s="89"/>
      <c r="K52" s="89"/>
      <c r="L52" s="89"/>
      <c r="M52" s="89"/>
      <c r="N52" s="60"/>
      <c r="O52" s="60"/>
      <c r="P52" s="60"/>
      <c r="Q52" s="60"/>
    </row>
    <row r="53" spans="1:17" ht="75.75" customHeight="1">
      <c r="A53" s="295" t="s">
        <v>114</v>
      </c>
      <c r="B53" s="288" t="s">
        <v>113</v>
      </c>
      <c r="C53" s="57" t="s">
        <v>21</v>
      </c>
      <c r="D53" s="87" t="s">
        <v>143</v>
      </c>
      <c r="E53" s="87" t="s">
        <v>143</v>
      </c>
      <c r="F53" s="87" t="s">
        <v>143</v>
      </c>
      <c r="G53" s="87" t="s">
        <v>148</v>
      </c>
      <c r="H53" s="87" t="s">
        <v>144</v>
      </c>
      <c r="I53" s="87" t="s">
        <v>202</v>
      </c>
      <c r="J53" s="87" t="s">
        <v>145</v>
      </c>
      <c r="K53" s="87" t="s">
        <v>146</v>
      </c>
      <c r="L53" s="87" t="s">
        <v>147</v>
      </c>
      <c r="M53" s="87"/>
      <c r="N53" s="85"/>
      <c r="O53" s="59"/>
      <c r="P53" s="59"/>
      <c r="Q53" s="59"/>
    </row>
    <row r="54" spans="1:17" ht="31.5" customHeight="1">
      <c r="A54" s="295"/>
      <c r="B54" s="288"/>
      <c r="C54" s="57" t="s">
        <v>22</v>
      </c>
      <c r="D54" s="91"/>
      <c r="E54" s="91"/>
      <c r="F54" s="91"/>
      <c r="G54" s="91"/>
      <c r="H54" s="91"/>
      <c r="I54" s="91"/>
      <c r="J54" s="91"/>
      <c r="K54" s="91"/>
      <c r="L54" s="91"/>
      <c r="M54" s="91"/>
      <c r="N54" s="59"/>
      <c r="O54" s="59"/>
      <c r="P54" s="59"/>
      <c r="Q54" s="59"/>
    </row>
    <row r="55" spans="1:17" ht="52.5" customHeight="1">
      <c r="A55" s="295" t="s">
        <v>115</v>
      </c>
      <c r="B55" s="288" t="s">
        <v>116</v>
      </c>
      <c r="C55" s="57" t="s">
        <v>21</v>
      </c>
      <c r="D55" s="59"/>
      <c r="E55" s="60"/>
      <c r="F55" s="60"/>
      <c r="G55" s="60"/>
      <c r="H55" s="60"/>
      <c r="I55" s="60"/>
      <c r="J55" s="60"/>
      <c r="K55" s="60"/>
      <c r="L55" s="60"/>
      <c r="M55" s="60"/>
      <c r="N55" s="60"/>
      <c r="O55" s="60"/>
      <c r="P55" s="60"/>
      <c r="Q55" s="60"/>
    </row>
    <row r="56" spans="1:17" ht="52.5" customHeight="1">
      <c r="A56" s="295"/>
      <c r="B56" s="288"/>
      <c r="C56" s="57" t="s">
        <v>22</v>
      </c>
      <c r="D56" s="59"/>
      <c r="E56" s="60"/>
      <c r="F56" s="60"/>
      <c r="G56" s="60"/>
      <c r="H56" s="60"/>
      <c r="I56" s="60"/>
      <c r="J56" s="60"/>
      <c r="K56" s="60"/>
      <c r="L56" s="60"/>
      <c r="M56" s="60"/>
      <c r="N56" s="60"/>
      <c r="O56" s="60"/>
      <c r="P56" s="60"/>
      <c r="Q56" s="60"/>
    </row>
    <row r="57" spans="1:17" ht="409.5" customHeight="1">
      <c r="A57" s="295" t="s">
        <v>117</v>
      </c>
      <c r="B57" s="288" t="s">
        <v>118</v>
      </c>
      <c r="C57" s="57" t="s">
        <v>21</v>
      </c>
      <c r="D57" s="97" t="s">
        <v>235</v>
      </c>
      <c r="E57" s="96"/>
      <c r="F57" s="96" t="s">
        <v>236</v>
      </c>
      <c r="G57" s="308" t="s">
        <v>233</v>
      </c>
      <c r="H57" s="308"/>
      <c r="I57" s="96" t="s">
        <v>237</v>
      </c>
      <c r="J57" s="96" t="s">
        <v>238</v>
      </c>
      <c r="K57" s="282" t="s">
        <v>239</v>
      </c>
      <c r="L57" s="283"/>
      <c r="M57" s="283"/>
      <c r="N57" s="283"/>
      <c r="O57" s="284"/>
      <c r="P57" s="92" t="s">
        <v>199</v>
      </c>
      <c r="Q57" s="60"/>
    </row>
    <row r="58" spans="1:17" ht="39.950000000000003" customHeight="1">
      <c r="A58" s="295"/>
      <c r="B58" s="288"/>
      <c r="C58" s="57" t="s">
        <v>22</v>
      </c>
      <c r="D58" s="59"/>
      <c r="E58" s="60"/>
      <c r="F58" s="60"/>
      <c r="G58" s="60"/>
      <c r="H58" s="60"/>
      <c r="I58" s="60"/>
      <c r="J58" s="60"/>
      <c r="K58" s="60"/>
      <c r="L58" s="60"/>
      <c r="M58" s="60"/>
      <c r="N58" s="60"/>
      <c r="O58" s="60"/>
      <c r="P58" s="60"/>
      <c r="Q58" s="60"/>
    </row>
    <row r="59" spans="1:17" s="73" customFormat="1" ht="183.75" customHeight="1">
      <c r="A59" s="285" t="s">
        <v>120</v>
      </c>
      <c r="B59" s="285" t="s">
        <v>119</v>
      </c>
      <c r="C59" s="285" t="s">
        <v>21</v>
      </c>
      <c r="D59" s="61"/>
      <c r="E59" s="61" t="s">
        <v>167</v>
      </c>
      <c r="F59" s="61" t="s">
        <v>168</v>
      </c>
      <c r="G59" s="93" t="s">
        <v>169</v>
      </c>
      <c r="H59" s="93" t="s">
        <v>169</v>
      </c>
      <c r="I59" s="93" t="s">
        <v>169</v>
      </c>
      <c r="J59" s="93" t="s">
        <v>169</v>
      </c>
      <c r="K59" s="93" t="s">
        <v>169</v>
      </c>
      <c r="L59" s="93" t="s">
        <v>169</v>
      </c>
      <c r="M59" s="93" t="s">
        <v>169</v>
      </c>
      <c r="N59" s="93" t="s">
        <v>169</v>
      </c>
      <c r="O59" s="93" t="s">
        <v>170</v>
      </c>
      <c r="P59" s="69"/>
      <c r="Q59" s="69"/>
    </row>
    <row r="60" spans="1:17" s="73" customFormat="1" ht="150" customHeight="1">
      <c r="A60" s="286"/>
      <c r="B60" s="286"/>
      <c r="C60" s="286"/>
      <c r="D60" s="61" t="s">
        <v>163</v>
      </c>
      <c r="E60" s="61" t="s">
        <v>163</v>
      </c>
      <c r="F60" s="61" t="s">
        <v>163</v>
      </c>
      <c r="G60" s="61" t="s">
        <v>163</v>
      </c>
      <c r="H60" s="61" t="s">
        <v>163</v>
      </c>
      <c r="I60" s="61" t="s">
        <v>163</v>
      </c>
      <c r="J60" s="61" t="s">
        <v>163</v>
      </c>
      <c r="K60" s="61" t="s">
        <v>163</v>
      </c>
      <c r="L60" s="61" t="s">
        <v>163</v>
      </c>
      <c r="M60" s="61" t="s">
        <v>163</v>
      </c>
      <c r="N60" s="61" t="s">
        <v>163</v>
      </c>
      <c r="O60" s="61" t="s">
        <v>163</v>
      </c>
      <c r="P60" s="69"/>
      <c r="Q60" s="69"/>
    </row>
    <row r="61" spans="1:17" s="73" customFormat="1" ht="316.5" customHeight="1">
      <c r="A61" s="286"/>
      <c r="B61" s="286"/>
      <c r="C61" s="287"/>
      <c r="D61" s="61" t="s">
        <v>164</v>
      </c>
      <c r="E61" s="61" t="s">
        <v>165</v>
      </c>
      <c r="F61" s="61" t="s">
        <v>166</v>
      </c>
      <c r="G61" s="61" t="s">
        <v>166</v>
      </c>
      <c r="H61" s="61" t="s">
        <v>166</v>
      </c>
      <c r="I61" s="61" t="s">
        <v>166</v>
      </c>
      <c r="J61" s="61" t="s">
        <v>166</v>
      </c>
      <c r="K61" s="61" t="s">
        <v>166</v>
      </c>
      <c r="L61" s="61" t="s">
        <v>166</v>
      </c>
      <c r="M61" s="61" t="s">
        <v>166</v>
      </c>
      <c r="N61" s="61" t="s">
        <v>166</v>
      </c>
      <c r="O61" s="61" t="s">
        <v>166</v>
      </c>
      <c r="P61" s="69"/>
      <c r="Q61" s="69"/>
    </row>
    <row r="62" spans="1:17" s="73" customFormat="1" ht="39.950000000000003" customHeight="1">
      <c r="A62" s="287"/>
      <c r="B62" s="287"/>
      <c r="C62" s="72" t="s">
        <v>22</v>
      </c>
      <c r="D62" s="61"/>
      <c r="E62" s="69"/>
      <c r="F62" s="69"/>
      <c r="G62" s="69"/>
      <c r="H62" s="69"/>
      <c r="I62" s="69"/>
      <c r="J62" s="69"/>
      <c r="K62" s="69"/>
      <c r="L62" s="69"/>
      <c r="M62" s="69"/>
      <c r="N62" s="69"/>
      <c r="O62" s="69"/>
      <c r="P62" s="69"/>
      <c r="Q62" s="69"/>
    </row>
    <row r="63" spans="1:17" ht="39.950000000000003" customHeight="1">
      <c r="A63" s="295" t="s">
        <v>121</v>
      </c>
      <c r="B63" s="288" t="s">
        <v>122</v>
      </c>
      <c r="C63" s="57" t="s">
        <v>21</v>
      </c>
      <c r="D63" s="59"/>
      <c r="E63" s="60"/>
      <c r="F63" s="60"/>
      <c r="G63" s="60"/>
      <c r="H63" s="60"/>
      <c r="I63" s="60"/>
      <c r="J63" s="60"/>
      <c r="K63" s="60"/>
      <c r="L63" s="60"/>
      <c r="M63" s="60"/>
      <c r="N63" s="60"/>
      <c r="O63" s="60"/>
      <c r="P63" s="60"/>
      <c r="Q63" s="60"/>
    </row>
    <row r="64" spans="1:17" ht="39.950000000000003" customHeight="1">
      <c r="A64" s="295"/>
      <c r="B64" s="288"/>
      <c r="C64" s="57" t="s">
        <v>22</v>
      </c>
      <c r="D64" s="59"/>
      <c r="E64" s="60"/>
      <c r="F64" s="60"/>
      <c r="G64" s="60"/>
      <c r="H64" s="60"/>
      <c r="I64" s="60"/>
      <c r="J64" s="60"/>
      <c r="K64" s="60"/>
      <c r="L64" s="60"/>
      <c r="M64" s="60"/>
      <c r="N64" s="60"/>
      <c r="O64" s="60"/>
      <c r="P64" s="60"/>
      <c r="Q64" s="60"/>
    </row>
    <row r="65" spans="1:20" s="73" customFormat="1" ht="154.5" customHeight="1">
      <c r="A65" s="298" t="s">
        <v>123</v>
      </c>
      <c r="B65" s="302" t="s">
        <v>124</v>
      </c>
      <c r="C65" s="72" t="s">
        <v>21</v>
      </c>
      <c r="D65" s="70"/>
      <c r="E65" s="70"/>
      <c r="F65" s="70" t="s">
        <v>185</v>
      </c>
      <c r="G65" s="70" t="s">
        <v>171</v>
      </c>
      <c r="H65" s="70" t="s">
        <v>186</v>
      </c>
      <c r="I65" s="70"/>
      <c r="J65" s="70" t="s">
        <v>186</v>
      </c>
      <c r="K65" s="70"/>
      <c r="L65" s="70"/>
      <c r="M65" s="70" t="s">
        <v>186</v>
      </c>
      <c r="N65" s="70"/>
      <c r="O65" s="70" t="s">
        <v>187</v>
      </c>
      <c r="P65" s="70" t="s">
        <v>188</v>
      </c>
      <c r="Q65" s="69"/>
    </row>
    <row r="66" spans="1:20" s="73" customFormat="1" ht="39.950000000000003" customHeight="1">
      <c r="A66" s="298"/>
      <c r="B66" s="302"/>
      <c r="C66" s="72" t="s">
        <v>22</v>
      </c>
      <c r="D66" s="69"/>
      <c r="E66" s="69"/>
      <c r="F66" s="69"/>
      <c r="G66" s="69"/>
      <c r="H66" s="69"/>
      <c r="I66" s="69"/>
      <c r="J66" s="69"/>
      <c r="K66" s="69"/>
      <c r="L66" s="69"/>
      <c r="M66" s="69"/>
      <c r="N66" s="69"/>
      <c r="O66" s="69"/>
      <c r="P66" s="69"/>
      <c r="Q66" s="69"/>
    </row>
    <row r="67" spans="1:20" ht="39.950000000000003" customHeight="1">
      <c r="A67" s="295" t="s">
        <v>125</v>
      </c>
      <c r="B67" s="288" t="s">
        <v>126</v>
      </c>
      <c r="C67" s="57" t="s">
        <v>21</v>
      </c>
      <c r="D67" s="59"/>
      <c r="E67" s="60"/>
      <c r="F67" s="60"/>
      <c r="G67" s="60"/>
      <c r="H67" s="60"/>
      <c r="I67" s="60"/>
      <c r="J67" s="60"/>
      <c r="K67" s="60"/>
      <c r="L67" s="60"/>
      <c r="M67" s="60"/>
      <c r="N67" s="60"/>
      <c r="O67" s="60"/>
      <c r="P67" s="60"/>
      <c r="Q67" s="60"/>
    </row>
    <row r="68" spans="1:20" ht="39.950000000000003" customHeight="1">
      <c r="A68" s="295"/>
      <c r="B68" s="288"/>
      <c r="C68" s="57" t="s">
        <v>22</v>
      </c>
      <c r="D68" s="59"/>
      <c r="E68" s="60"/>
      <c r="F68" s="60"/>
      <c r="G68" s="60"/>
      <c r="H68" s="60"/>
      <c r="I68" s="60"/>
      <c r="J68" s="60"/>
      <c r="K68" s="60"/>
      <c r="L68" s="60"/>
      <c r="M68" s="60"/>
      <c r="N68" s="60"/>
      <c r="O68" s="60"/>
      <c r="P68" s="60"/>
      <c r="Q68" s="60"/>
    </row>
    <row r="69" spans="1:20" ht="147" customHeight="1">
      <c r="A69" s="296" t="s">
        <v>127</v>
      </c>
      <c r="B69" s="289" t="s">
        <v>128</v>
      </c>
      <c r="C69" s="57" t="s">
        <v>21</v>
      </c>
      <c r="D69" s="59"/>
      <c r="E69" s="94" t="s">
        <v>155</v>
      </c>
      <c r="F69" s="94" t="s">
        <v>156</v>
      </c>
      <c r="G69" s="60"/>
      <c r="H69" s="60"/>
      <c r="I69" s="60"/>
      <c r="J69" s="60"/>
      <c r="K69" s="60"/>
      <c r="L69" s="60"/>
      <c r="M69" s="60"/>
      <c r="N69" s="60"/>
      <c r="O69" s="94" t="s">
        <v>157</v>
      </c>
      <c r="P69" s="60"/>
      <c r="Q69" s="60"/>
    </row>
    <row r="70" spans="1:20" ht="39.950000000000003" customHeight="1">
      <c r="A70" s="297"/>
      <c r="B70" s="290"/>
      <c r="C70" s="57" t="s">
        <v>22</v>
      </c>
      <c r="D70" s="59"/>
      <c r="E70" s="60"/>
      <c r="F70" s="60"/>
      <c r="G70" s="60"/>
      <c r="H70" s="60"/>
      <c r="I70" s="60"/>
      <c r="J70" s="60"/>
      <c r="K70" s="60"/>
      <c r="L70" s="60"/>
      <c r="M70" s="60"/>
      <c r="N70" s="60"/>
      <c r="O70" s="60"/>
      <c r="P70" s="60"/>
      <c r="Q70" s="60"/>
    </row>
    <row r="71" spans="1:20">
      <c r="A71" s="95"/>
      <c r="B71" s="95"/>
      <c r="C71" s="95"/>
      <c r="D71" s="95"/>
      <c r="E71" s="95"/>
      <c r="F71" s="95"/>
      <c r="G71" s="95"/>
      <c r="H71" s="95"/>
      <c r="I71" s="95"/>
      <c r="J71" s="95"/>
      <c r="K71" s="95"/>
      <c r="L71" s="95"/>
      <c r="M71" s="95"/>
      <c r="N71" s="95"/>
      <c r="O71" s="95"/>
      <c r="P71" s="95"/>
      <c r="Q71" s="95"/>
    </row>
    <row r="73" spans="1:20">
      <c r="B73" s="303" t="s">
        <v>255</v>
      </c>
      <c r="C73" s="303"/>
      <c r="D73" s="303"/>
      <c r="E73" s="303"/>
      <c r="F73" s="303"/>
      <c r="G73" s="303"/>
      <c r="H73" s="303"/>
      <c r="I73" s="303"/>
      <c r="J73" s="303"/>
      <c r="K73" s="303"/>
      <c r="L73" s="303"/>
      <c r="M73" s="303"/>
      <c r="N73" s="303"/>
      <c r="O73" s="303"/>
      <c r="P73" s="303"/>
      <c r="Q73" s="303"/>
      <c r="R73" s="303"/>
      <c r="S73" s="303"/>
      <c r="T73" s="303"/>
    </row>
    <row r="74" spans="1:20" ht="15">
      <c r="B74" s="42"/>
      <c r="C74" s="43"/>
      <c r="D74" s="44"/>
      <c r="E74" s="44"/>
      <c r="F74" s="44"/>
      <c r="G74" s="44"/>
      <c r="H74" s="44"/>
      <c r="I74" s="44"/>
      <c r="J74" s="44"/>
      <c r="K74" s="44"/>
      <c r="L74" s="44"/>
      <c r="M74" s="44"/>
      <c r="N74" s="44"/>
      <c r="O74" s="44"/>
      <c r="P74" s="44"/>
      <c r="Q74" s="44"/>
      <c r="R74" s="44"/>
      <c r="S74" s="44"/>
      <c r="T74" s="44"/>
    </row>
    <row r="75" spans="1:20" ht="15">
      <c r="B75" s="42"/>
      <c r="C75" s="43"/>
      <c r="D75" s="44"/>
      <c r="E75" s="44"/>
      <c r="F75" s="44"/>
      <c r="G75" s="44"/>
      <c r="H75" s="44"/>
      <c r="I75" s="44"/>
      <c r="J75" s="44"/>
      <c r="K75" s="44"/>
      <c r="L75" s="44"/>
      <c r="M75" s="44"/>
      <c r="N75" s="44"/>
      <c r="O75" s="44"/>
      <c r="P75" s="44"/>
      <c r="Q75" s="44"/>
      <c r="R75" s="44"/>
      <c r="S75" s="44"/>
      <c r="T75" s="44"/>
    </row>
    <row r="76" spans="1:20" ht="15">
      <c r="B76" s="42"/>
      <c r="C76" s="43"/>
      <c r="D76" s="44"/>
      <c r="E76" s="44"/>
      <c r="F76" s="44"/>
      <c r="G76" s="44"/>
      <c r="H76" s="44"/>
      <c r="I76" s="44"/>
      <c r="J76" s="44"/>
      <c r="K76" s="44"/>
      <c r="L76" s="44"/>
      <c r="M76" s="44"/>
      <c r="N76" s="44"/>
      <c r="O76" s="44"/>
      <c r="P76" s="44"/>
      <c r="Q76" s="44"/>
      <c r="R76" s="44"/>
      <c r="S76" s="44"/>
      <c r="T76" s="44"/>
    </row>
    <row r="77" spans="1:20" ht="15">
      <c r="B77" s="42"/>
      <c r="C77" s="43"/>
      <c r="D77" s="44"/>
      <c r="E77" s="44"/>
      <c r="F77" s="44"/>
      <c r="G77" s="44"/>
      <c r="H77" s="44"/>
      <c r="I77" s="44"/>
      <c r="J77" s="44"/>
      <c r="K77" s="44"/>
      <c r="L77" s="44"/>
      <c r="M77" s="44"/>
      <c r="N77" s="44"/>
      <c r="O77" s="44"/>
      <c r="P77" s="44"/>
      <c r="Q77" s="44"/>
      <c r="R77" s="44"/>
      <c r="S77" s="44"/>
      <c r="T77" s="44"/>
    </row>
    <row r="78" spans="1:20" ht="15">
      <c r="B78" s="45" t="s">
        <v>47</v>
      </c>
      <c r="C78" s="46"/>
      <c r="D78" s="47"/>
      <c r="E78" s="47"/>
      <c r="F78" s="44"/>
      <c r="G78" s="44"/>
      <c r="H78" s="44"/>
      <c r="I78" s="44"/>
      <c r="J78" s="44"/>
      <c r="K78" s="44"/>
      <c r="L78" s="44"/>
      <c r="M78" s="44"/>
      <c r="N78" s="44"/>
      <c r="O78" s="44"/>
      <c r="P78" s="44"/>
      <c r="Q78" s="44"/>
      <c r="R78" s="44"/>
      <c r="S78" s="44"/>
      <c r="T78" s="44"/>
    </row>
    <row r="79" spans="1:20" ht="58.5" customHeight="1">
      <c r="B79" s="304" t="s">
        <v>216</v>
      </c>
      <c r="C79" s="304"/>
      <c r="D79" s="304"/>
      <c r="E79" s="304"/>
      <c r="F79" s="44"/>
      <c r="G79" s="44"/>
      <c r="H79" s="44"/>
      <c r="I79" s="44"/>
      <c r="J79" s="44"/>
      <c r="K79" s="44"/>
      <c r="L79" s="44"/>
      <c r="M79" s="44"/>
      <c r="N79" s="44"/>
      <c r="O79" s="44"/>
      <c r="P79" s="44"/>
      <c r="Q79" s="44"/>
      <c r="R79" s="44"/>
      <c r="S79" s="44"/>
      <c r="T79" s="44"/>
    </row>
  </sheetData>
  <mergeCells count="79">
    <mergeCell ref="B73:T73"/>
    <mergeCell ref="B79:E79"/>
    <mergeCell ref="G43:O43"/>
    <mergeCell ref="B67:B68"/>
    <mergeCell ref="B69:B70"/>
    <mergeCell ref="B55:B56"/>
    <mergeCell ref="G57:H57"/>
    <mergeCell ref="K57:O57"/>
    <mergeCell ref="B51:B52"/>
    <mergeCell ref="B49:B50"/>
    <mergeCell ref="B59:B62"/>
    <mergeCell ref="B57:B58"/>
    <mergeCell ref="B65:B66"/>
    <mergeCell ref="B63:B64"/>
    <mergeCell ref="EG16:EI16"/>
    <mergeCell ref="DP16:DR16"/>
    <mergeCell ref="CH16:CJ16"/>
    <mergeCell ref="CY16:DA16"/>
    <mergeCell ref="BQ16:BS16"/>
    <mergeCell ref="IV16"/>
    <mergeCell ref="EX16:EZ16"/>
    <mergeCell ref="FO16:FQ16"/>
    <mergeCell ref="GF16:GH16"/>
    <mergeCell ref="GW16:GY16"/>
    <mergeCell ref="HN16:HP16"/>
    <mergeCell ref="IE16:IG16"/>
    <mergeCell ref="AZ16:BB16"/>
    <mergeCell ref="B31:B32"/>
    <mergeCell ref="A31:A32"/>
    <mergeCell ref="B23:B24"/>
    <mergeCell ref="A34:A35"/>
    <mergeCell ref="B25:B26"/>
    <mergeCell ref="AI16:AK16"/>
    <mergeCell ref="B34:B35"/>
    <mergeCell ref="A21:A22"/>
    <mergeCell ref="A23:A24"/>
    <mergeCell ref="A39:A40"/>
    <mergeCell ref="A41:A42"/>
    <mergeCell ref="A36:A37"/>
    <mergeCell ref="A51:A52"/>
    <mergeCell ref="A25:A26"/>
    <mergeCell ref="A45:A46"/>
    <mergeCell ref="A43:A44"/>
    <mergeCell ref="A49:A50"/>
    <mergeCell ref="A47:A48"/>
    <mergeCell ref="A69:A70"/>
    <mergeCell ref="A53:A54"/>
    <mergeCell ref="A63:A64"/>
    <mergeCell ref="A67:A68"/>
    <mergeCell ref="A65:A66"/>
    <mergeCell ref="A59:A62"/>
    <mergeCell ref="A55:A56"/>
    <mergeCell ref="A57:A58"/>
    <mergeCell ref="B3:C3"/>
    <mergeCell ref="B10:B11"/>
    <mergeCell ref="B17:B18"/>
    <mergeCell ref="B14:B15"/>
    <mergeCell ref="A19:A20"/>
    <mergeCell ref="B5:B7"/>
    <mergeCell ref="A5:A7"/>
    <mergeCell ref="A10:A11"/>
    <mergeCell ref="A8:A9"/>
    <mergeCell ref="A12:A13"/>
    <mergeCell ref="A14:A15"/>
    <mergeCell ref="A17:A18"/>
    <mergeCell ref="M8:O8"/>
    <mergeCell ref="C59:C61"/>
    <mergeCell ref="B19:B20"/>
    <mergeCell ref="B8:B9"/>
    <mergeCell ref="B12:B13"/>
    <mergeCell ref="B47:B48"/>
    <mergeCell ref="B45:B46"/>
    <mergeCell ref="B21:B22"/>
    <mergeCell ref="B39:B40"/>
    <mergeCell ref="B43:B44"/>
    <mergeCell ref="B41:B42"/>
    <mergeCell ref="H39:O39"/>
    <mergeCell ref="B53:B54"/>
    <mergeCell ref="B36:B37"/>
  </mergeCells>
  <phoneticPr fontId="17" type="noConversion"/>
  <conditionalFormatting sqref="R5:AN6 R7:AC70">
    <cfRule type="expression" dxfId="4"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tabColor rgb="FF00B050"/>
    <pageSetUpPr fitToPage="1"/>
  </sheetPr>
  <dimension ref="A1:AW180"/>
  <sheetViews>
    <sheetView workbookViewId="0">
      <pane xSplit="4" ySplit="8" topLeftCell="E13" activePane="bottomRight" state="frozen"/>
      <selection pane="topRight" activeCell="E1" sqref="E1"/>
      <selection pane="bottomLeft" activeCell="A9" sqref="A9"/>
      <selection pane="bottomRight" activeCell="A13" sqref="A13:A16"/>
    </sheetView>
  </sheetViews>
  <sheetFormatPr defaultRowHeight="15"/>
  <cols>
    <col min="2" max="4" width="23.7109375" customWidth="1"/>
    <col min="5" max="5" width="13.28515625" customWidth="1"/>
    <col min="6" max="6" width="10.85546875" customWidth="1"/>
    <col min="7" max="7" width="10.7109375" customWidth="1"/>
    <col min="10" max="11" width="9.140625" hidden="1" customWidth="1"/>
    <col min="13" max="13" width="9.140625" style="122" hidden="1" customWidth="1"/>
    <col min="14" max="14" width="9.140625" hidden="1" customWidth="1"/>
    <col min="16" max="16" width="9.140625" hidden="1" customWidth="1"/>
    <col min="17" max="17" width="10.7109375" hidden="1" customWidth="1"/>
    <col min="19" max="20" width="9.140625" hidden="1" customWidth="1"/>
    <col min="22" max="23" width="9.140625" hidden="1" customWidth="1"/>
    <col min="25" max="26" width="9.140625" hidden="1" customWidth="1"/>
    <col min="27" max="27" width="9.28515625" style="122" customWidth="1"/>
    <col min="28" max="29" width="9.140625" hidden="1" customWidth="1"/>
    <col min="30" max="30" width="9.140625" style="122"/>
    <col min="31" max="32" width="9.140625" style="122" hidden="1" customWidth="1"/>
    <col min="33" max="33" width="9.140625" style="122"/>
    <col min="34" max="35" width="9.140625" hidden="1" customWidth="1"/>
    <col min="37" max="38" width="9.140625" hidden="1" customWidth="1"/>
    <col min="39" max="39" width="9.140625" style="122"/>
    <col min="40" max="41" width="9.140625" hidden="1" customWidth="1"/>
    <col min="42" max="42" width="9.140625" style="125"/>
    <col min="43" max="43" width="10.42578125" hidden="1" customWidth="1"/>
    <col min="44" max="44" width="9.140625" hidden="1" customWidth="1"/>
    <col min="45" max="45" width="48.7109375" style="130" hidden="1" customWidth="1"/>
    <col min="46" max="46" width="44.7109375" hidden="1" customWidth="1"/>
    <col min="47" max="50" width="0" hidden="1" customWidth="1"/>
  </cols>
  <sheetData>
    <row r="1" spans="1:49" s="31" customFormat="1" ht="20.25" customHeight="1">
      <c r="A1" s="151"/>
      <c r="B1" s="151"/>
      <c r="C1" s="151"/>
      <c r="D1" s="151"/>
      <c r="E1" s="29"/>
      <c r="F1" s="29"/>
      <c r="G1" s="29"/>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Q1" s="151"/>
      <c r="AR1" s="151"/>
      <c r="AS1" s="151"/>
    </row>
    <row r="2" spans="1:49" s="118" customFormat="1" ht="40.5" customHeight="1">
      <c r="A2" s="403" t="s">
        <v>321</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152"/>
    </row>
    <row r="3" spans="1:49" s="118" customFormat="1" ht="10.5" customHeight="1">
      <c r="A3" s="404"/>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153"/>
    </row>
    <row r="4" spans="1:49" s="31" customFormat="1" ht="30" customHeight="1">
      <c r="A4" s="30"/>
      <c r="B4" s="151"/>
      <c r="C4" s="151"/>
      <c r="D4" s="151"/>
      <c r="E4" s="29"/>
      <c r="F4" s="29"/>
      <c r="G4" s="29"/>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02"/>
      <c r="AQ4" s="102"/>
      <c r="AR4" s="102"/>
      <c r="AS4" s="102"/>
    </row>
    <row r="5" spans="1:49" s="31" customFormat="1" ht="41.25" customHeight="1">
      <c r="A5" s="402" t="s">
        <v>0</v>
      </c>
      <c r="B5" s="402" t="s">
        <v>261</v>
      </c>
      <c r="C5" s="405" t="s">
        <v>47</v>
      </c>
      <c r="D5" s="405" t="s">
        <v>262</v>
      </c>
      <c r="E5" s="402" t="s">
        <v>1</v>
      </c>
      <c r="F5" s="402" t="s">
        <v>263</v>
      </c>
      <c r="G5" s="402"/>
      <c r="H5" s="402"/>
      <c r="I5" s="402" t="s">
        <v>18</v>
      </c>
      <c r="J5" s="402"/>
      <c r="K5" s="402"/>
      <c r="L5" s="402" t="s">
        <v>19</v>
      </c>
      <c r="M5" s="402"/>
      <c r="N5" s="402"/>
      <c r="O5" s="402" t="s">
        <v>23</v>
      </c>
      <c r="P5" s="402"/>
      <c r="Q5" s="402"/>
      <c r="R5" s="402" t="s">
        <v>25</v>
      </c>
      <c r="S5" s="402"/>
      <c r="T5" s="402"/>
      <c r="U5" s="402" t="s">
        <v>26</v>
      </c>
      <c r="V5" s="402"/>
      <c r="W5" s="402"/>
      <c r="X5" s="402" t="s">
        <v>27</v>
      </c>
      <c r="Y5" s="402"/>
      <c r="Z5" s="402"/>
      <c r="AA5" s="402" t="s">
        <v>29</v>
      </c>
      <c r="AB5" s="402"/>
      <c r="AC5" s="402"/>
      <c r="AD5" s="402" t="s">
        <v>30</v>
      </c>
      <c r="AE5" s="402"/>
      <c r="AF5" s="402"/>
      <c r="AG5" s="402" t="s">
        <v>31</v>
      </c>
      <c r="AH5" s="402"/>
      <c r="AI5" s="402"/>
      <c r="AJ5" s="402" t="s">
        <v>33</v>
      </c>
      <c r="AK5" s="402"/>
      <c r="AL5" s="402"/>
      <c r="AM5" s="402" t="s">
        <v>34</v>
      </c>
      <c r="AN5" s="402"/>
      <c r="AO5" s="402"/>
      <c r="AP5" s="402" t="s">
        <v>35</v>
      </c>
      <c r="AQ5" s="402"/>
      <c r="AR5" s="402"/>
      <c r="AS5" s="400" t="s">
        <v>273</v>
      </c>
      <c r="AT5" s="401" t="s">
        <v>274</v>
      </c>
      <c r="AU5" s="32"/>
      <c r="AV5" s="32"/>
    </row>
    <row r="6" spans="1:49" s="31" customFormat="1" ht="24.75" customHeight="1">
      <c r="A6" s="402"/>
      <c r="B6" s="402"/>
      <c r="C6" s="406"/>
      <c r="D6" s="406"/>
      <c r="E6" s="402"/>
      <c r="F6" s="154" t="s">
        <v>264</v>
      </c>
      <c r="G6" s="154" t="s">
        <v>265</v>
      </c>
      <c r="H6" s="128" t="s">
        <v>266</v>
      </c>
      <c r="I6" s="154" t="s">
        <v>264</v>
      </c>
      <c r="J6" s="154" t="s">
        <v>265</v>
      </c>
      <c r="K6" s="128" t="s">
        <v>266</v>
      </c>
      <c r="L6" s="154" t="s">
        <v>264</v>
      </c>
      <c r="M6" s="154" t="s">
        <v>265</v>
      </c>
      <c r="N6" s="128" t="s">
        <v>266</v>
      </c>
      <c r="O6" s="154" t="s">
        <v>264</v>
      </c>
      <c r="P6" s="154" t="s">
        <v>265</v>
      </c>
      <c r="Q6" s="128" t="s">
        <v>266</v>
      </c>
      <c r="R6" s="154" t="s">
        <v>264</v>
      </c>
      <c r="S6" s="154" t="s">
        <v>265</v>
      </c>
      <c r="T6" s="128" t="s">
        <v>266</v>
      </c>
      <c r="U6" s="154" t="s">
        <v>264</v>
      </c>
      <c r="V6" s="154" t="s">
        <v>265</v>
      </c>
      <c r="W6" s="128" t="s">
        <v>266</v>
      </c>
      <c r="X6" s="154" t="s">
        <v>264</v>
      </c>
      <c r="Y6" s="154" t="s">
        <v>265</v>
      </c>
      <c r="Z6" s="128" t="s">
        <v>266</v>
      </c>
      <c r="AA6" s="154" t="s">
        <v>264</v>
      </c>
      <c r="AB6" s="154" t="s">
        <v>265</v>
      </c>
      <c r="AC6" s="128" t="s">
        <v>266</v>
      </c>
      <c r="AD6" s="154" t="s">
        <v>264</v>
      </c>
      <c r="AE6" s="154" t="s">
        <v>265</v>
      </c>
      <c r="AF6" s="128" t="s">
        <v>266</v>
      </c>
      <c r="AG6" s="154" t="s">
        <v>264</v>
      </c>
      <c r="AH6" s="154" t="s">
        <v>265</v>
      </c>
      <c r="AI6" s="128" t="s">
        <v>266</v>
      </c>
      <c r="AJ6" s="154" t="s">
        <v>264</v>
      </c>
      <c r="AK6" s="154" t="s">
        <v>265</v>
      </c>
      <c r="AL6" s="128" t="s">
        <v>266</v>
      </c>
      <c r="AM6" s="154" t="s">
        <v>264</v>
      </c>
      <c r="AN6" s="154" t="s">
        <v>265</v>
      </c>
      <c r="AO6" s="128" t="s">
        <v>266</v>
      </c>
      <c r="AP6" s="154" t="s">
        <v>264</v>
      </c>
      <c r="AQ6" s="154" t="s">
        <v>265</v>
      </c>
      <c r="AR6" s="128" t="s">
        <v>266</v>
      </c>
      <c r="AS6" s="400"/>
      <c r="AT6" s="401"/>
    </row>
    <row r="7" spans="1:49" s="31" customFormat="1" ht="24.75" customHeight="1">
      <c r="A7" s="352" t="s">
        <v>322</v>
      </c>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4"/>
    </row>
    <row r="8" spans="1:49" s="31" customFormat="1" ht="24.75" customHeight="1">
      <c r="A8" s="352" t="s">
        <v>294</v>
      </c>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353"/>
      <c r="AQ8" s="353"/>
      <c r="AR8" s="353"/>
      <c r="AS8" s="353"/>
      <c r="AT8" s="354"/>
    </row>
    <row r="9" spans="1:49" s="100" customFormat="1" ht="12.75" customHeight="1">
      <c r="A9" s="388" t="s">
        <v>267</v>
      </c>
      <c r="B9" s="389"/>
      <c r="C9" s="389"/>
      <c r="D9" s="390"/>
      <c r="E9" s="129" t="s">
        <v>42</v>
      </c>
      <c r="F9" s="106">
        <f>F10+F11+F12</f>
        <v>387855.89999999991</v>
      </c>
      <c r="G9" s="106">
        <f t="shared" ref="G9:AP9" si="0">G10+G11+G12</f>
        <v>0</v>
      </c>
      <c r="H9" s="106">
        <f>G9/F9*100</f>
        <v>0</v>
      </c>
      <c r="I9" s="106">
        <f t="shared" si="0"/>
        <v>14263.3</v>
      </c>
      <c r="J9" s="106">
        <f t="shared" si="0"/>
        <v>0</v>
      </c>
      <c r="K9" s="106">
        <f>J9/I9*100</f>
        <v>0</v>
      </c>
      <c r="L9" s="106">
        <f t="shared" si="0"/>
        <v>40977.500000000007</v>
      </c>
      <c r="M9" s="106">
        <f t="shared" si="0"/>
        <v>0</v>
      </c>
      <c r="N9" s="106">
        <f>M9/L9*100</f>
        <v>0</v>
      </c>
      <c r="O9" s="106">
        <f t="shared" si="0"/>
        <v>33406</v>
      </c>
      <c r="P9" s="106">
        <f t="shared" si="0"/>
        <v>0</v>
      </c>
      <c r="Q9" s="106">
        <f>P9/O9*100</f>
        <v>0</v>
      </c>
      <c r="R9" s="106">
        <f t="shared" si="0"/>
        <v>40349.699999999997</v>
      </c>
      <c r="S9" s="106">
        <f t="shared" si="0"/>
        <v>0</v>
      </c>
      <c r="T9" s="106">
        <f>S9/R9*100</f>
        <v>0</v>
      </c>
      <c r="U9" s="106">
        <f t="shared" si="0"/>
        <v>31635.799999999996</v>
      </c>
      <c r="V9" s="106">
        <f t="shared" si="0"/>
        <v>0</v>
      </c>
      <c r="W9" s="106">
        <f>V9/U9*100</f>
        <v>0</v>
      </c>
      <c r="X9" s="106">
        <f t="shared" si="0"/>
        <v>34593.499999999993</v>
      </c>
      <c r="Y9" s="106">
        <f t="shared" si="0"/>
        <v>0</v>
      </c>
      <c r="Z9" s="106" t="e">
        <f t="shared" si="0"/>
        <v>#REF!</v>
      </c>
      <c r="AA9" s="106">
        <f t="shared" si="0"/>
        <v>45981.8</v>
      </c>
      <c r="AB9" s="106">
        <f t="shared" si="0"/>
        <v>0</v>
      </c>
      <c r="AC9" s="106" t="e">
        <f t="shared" si="0"/>
        <v>#REF!</v>
      </c>
      <c r="AD9" s="106">
        <f t="shared" si="0"/>
        <v>33741.599999999999</v>
      </c>
      <c r="AE9" s="106">
        <f t="shared" si="0"/>
        <v>0</v>
      </c>
      <c r="AF9" s="106">
        <f>AE9/AD9*100</f>
        <v>0</v>
      </c>
      <c r="AG9" s="106">
        <f t="shared" si="0"/>
        <v>25527.399999999994</v>
      </c>
      <c r="AH9" s="106">
        <f t="shared" si="0"/>
        <v>0</v>
      </c>
      <c r="AI9" s="106" t="e">
        <f t="shared" si="0"/>
        <v>#REF!</v>
      </c>
      <c r="AJ9" s="106">
        <f t="shared" si="0"/>
        <v>21812.199999999997</v>
      </c>
      <c r="AK9" s="106">
        <f t="shared" si="0"/>
        <v>0</v>
      </c>
      <c r="AL9" s="106" t="e">
        <f t="shared" si="0"/>
        <v>#REF!</v>
      </c>
      <c r="AM9" s="106">
        <f t="shared" si="0"/>
        <v>21829.799999999996</v>
      </c>
      <c r="AN9" s="106">
        <f t="shared" si="0"/>
        <v>0</v>
      </c>
      <c r="AO9" s="106" t="e">
        <f t="shared" si="0"/>
        <v>#REF!</v>
      </c>
      <c r="AP9" s="106">
        <f t="shared" si="0"/>
        <v>43737.299999999996</v>
      </c>
      <c r="AQ9" s="106" t="e">
        <f>#REF!+#REF!</f>
        <v>#REF!</v>
      </c>
      <c r="AR9" s="106" t="e">
        <f>#REF!+#REF!</f>
        <v>#REF!</v>
      </c>
      <c r="AS9" s="319"/>
      <c r="AT9" s="397"/>
      <c r="AU9" s="127"/>
    </row>
    <row r="10" spans="1:49" s="100" customFormat="1" ht="36">
      <c r="A10" s="391"/>
      <c r="B10" s="392"/>
      <c r="C10" s="392"/>
      <c r="D10" s="393"/>
      <c r="E10" s="111" t="s">
        <v>3</v>
      </c>
      <c r="F10" s="106">
        <f>F14+F18+F23+F26+F30</f>
        <v>93990.699999999983</v>
      </c>
      <c r="G10" s="106">
        <f>G14+G18+G23+G26+G30</f>
        <v>0</v>
      </c>
      <c r="H10" s="106">
        <f>G10/F10*100</f>
        <v>0</v>
      </c>
      <c r="I10" s="106">
        <f>I14+I18+I23+I26+I30</f>
        <v>949.6</v>
      </c>
      <c r="J10" s="106">
        <f>J14+J18+J23+J26+J30</f>
        <v>0</v>
      </c>
      <c r="K10" s="106">
        <f t="shared" ref="K10:K12" si="1">J10/I10*100</f>
        <v>0</v>
      </c>
      <c r="L10" s="106">
        <f>L14+L18+L23+L26+L30</f>
        <v>6698.4</v>
      </c>
      <c r="M10" s="106">
        <f>M14+M18+M23+M26+M30</f>
        <v>0</v>
      </c>
      <c r="N10" s="106">
        <f t="shared" ref="N10:N12" si="2">M10/L10*100</f>
        <v>0</v>
      </c>
      <c r="O10" s="106">
        <f>O14+O18+O23+O26+O30</f>
        <v>7360.1999999999989</v>
      </c>
      <c r="P10" s="106">
        <f>P14+P18+P23+P26+P30</f>
        <v>0</v>
      </c>
      <c r="Q10" s="106">
        <f t="shared" ref="Q10:Q12" si="3">P10/O10*100</f>
        <v>0</v>
      </c>
      <c r="R10" s="106">
        <f>R14+R18+R23+R26+R30</f>
        <v>7135.4</v>
      </c>
      <c r="S10" s="106">
        <f>S14+S18+S23+S26+S30</f>
        <v>0</v>
      </c>
      <c r="T10" s="106">
        <f t="shared" ref="T10:T12" si="4">S10/R10*100</f>
        <v>0</v>
      </c>
      <c r="U10" s="106">
        <f>U14+U18+U23+U26+U30</f>
        <v>6459.3999999999987</v>
      </c>
      <c r="V10" s="106">
        <f>V14+V18+V23+V26+V30</f>
        <v>0</v>
      </c>
      <c r="W10" s="106">
        <f t="shared" ref="W10:W12" si="5">V10/U10*100</f>
        <v>0</v>
      </c>
      <c r="X10" s="106">
        <f>X14+X18+X23+X26+X30</f>
        <v>7599.6999999999989</v>
      </c>
      <c r="Y10" s="106">
        <f>Y14+Y18+Y23+Y26+Y30</f>
        <v>0</v>
      </c>
      <c r="Z10" s="106" t="e">
        <f>Z14+Z18+Z23+Z26+#REF!+#REF!+#REF!+#REF!+#REF!+#REF!+#REF!+#REF!+#REF!+#REF!</f>
        <v>#REF!</v>
      </c>
      <c r="AA10" s="106">
        <f>AA14+AA18+AA23+AA26+AA30</f>
        <v>7969.9000000000005</v>
      </c>
      <c r="AB10" s="106">
        <f>AB14+AB18+AB23+AB26+AB30</f>
        <v>0</v>
      </c>
      <c r="AC10" s="106" t="e">
        <f>AC14+AC18+AC23+AC26+#REF!+#REF!+#REF!+#REF!+#REF!+#REF!+#REF!+#REF!+#REF!+#REF!</f>
        <v>#REF!</v>
      </c>
      <c r="AD10" s="106">
        <f>AD14+AD18+AD23+AD26+AD30</f>
        <v>9039.2999999999993</v>
      </c>
      <c r="AE10" s="106">
        <f>AE14+AE18+AE23+AE26+AE30</f>
        <v>0</v>
      </c>
      <c r="AF10" s="106">
        <f t="shared" ref="AF10:AF25" si="6">AE10/AD10*100</f>
        <v>0</v>
      </c>
      <c r="AG10" s="106">
        <f>AG14+AG18+AG23+AG26+AG30</f>
        <v>6928.9</v>
      </c>
      <c r="AH10" s="106">
        <f>AH14+AH18+AH23+AH26+AH30</f>
        <v>0</v>
      </c>
      <c r="AI10" s="106" t="e">
        <f>AI14+AI18+AI23+AI26+#REF!+#REF!+#REF!+#REF!+#REF!+#REF!+#REF!+#REF!+#REF!+#REF!</f>
        <v>#REF!</v>
      </c>
      <c r="AJ10" s="106">
        <f>AJ14+AJ18+AJ23+AJ26+AJ30</f>
        <v>7044.1999999999989</v>
      </c>
      <c r="AK10" s="106">
        <f>AK14+AK18+AK23+AK26+AK30</f>
        <v>0</v>
      </c>
      <c r="AL10" s="106" t="e">
        <f>AL14+AL18+AL23+AL26+#REF!+#REF!+#REF!+#REF!+#REF!+#REF!+#REF!+#REF!+#REF!+#REF!</f>
        <v>#REF!</v>
      </c>
      <c r="AM10" s="106">
        <f>AM14+AM18+AM23+AM26+AM30</f>
        <v>7060.0999999999995</v>
      </c>
      <c r="AN10" s="106">
        <f>AN14+AN18+AN23+AN26+AN30</f>
        <v>0</v>
      </c>
      <c r="AO10" s="106" t="e">
        <f>AO14+AO18+AO23+AO26+#REF!+#REF!+#REF!+#REF!+#REF!+#REF!+#REF!+#REF!+#REF!+#REF!</f>
        <v>#REF!</v>
      </c>
      <c r="AP10" s="106">
        <f>AP14+AP18+AP23+AP26+AP30</f>
        <v>19745.599999999999</v>
      </c>
      <c r="AQ10" s="106">
        <f>AQ14+AQ18+AQ23+AQ26+AQ30</f>
        <v>0</v>
      </c>
      <c r="AR10" s="106" t="e">
        <f>AR14+AR18+AR23+AR26+#REF!+#REF!+#REF!+#REF!+#REF!+#REF!+#REF!+#REF!+#REF!+#REF!</f>
        <v>#REF!</v>
      </c>
      <c r="AS10" s="320"/>
      <c r="AT10" s="398"/>
      <c r="AU10" s="127"/>
    </row>
    <row r="11" spans="1:49" s="100" customFormat="1" ht="24">
      <c r="A11" s="391"/>
      <c r="B11" s="392"/>
      <c r="C11" s="392"/>
      <c r="D11" s="393"/>
      <c r="E11" s="111" t="s">
        <v>44</v>
      </c>
      <c r="F11" s="106">
        <f>F15+F19+F24+F27+F31</f>
        <v>288033.09999999998</v>
      </c>
      <c r="G11" s="106">
        <f>G15+G19+G24+G27+G31</f>
        <v>0</v>
      </c>
      <c r="H11" s="106">
        <f>G11/F11*100</f>
        <v>0</v>
      </c>
      <c r="I11" s="106">
        <f>I15+I19+I24+I27+I31</f>
        <v>13051.9</v>
      </c>
      <c r="J11" s="106">
        <f>J15+J19+J24+J27+J31</f>
        <v>0</v>
      </c>
      <c r="K11" s="106">
        <f t="shared" si="1"/>
        <v>0</v>
      </c>
      <c r="L11" s="106">
        <f>L15+L19+L24+L27+L31</f>
        <v>33942.600000000006</v>
      </c>
      <c r="M11" s="106">
        <f>M15+M19+M24+M27+M31</f>
        <v>0</v>
      </c>
      <c r="N11" s="106">
        <f t="shared" si="2"/>
        <v>0</v>
      </c>
      <c r="O11" s="106">
        <f>O15+O19+O24+O27+O31</f>
        <v>25234.5</v>
      </c>
      <c r="P11" s="106">
        <f>P15+P19+P24+P27+P31</f>
        <v>0</v>
      </c>
      <c r="Q11" s="106">
        <f t="shared" si="3"/>
        <v>0</v>
      </c>
      <c r="R11" s="106">
        <f>R15+R19+R24+R27+R31</f>
        <v>32473.7</v>
      </c>
      <c r="S11" s="106">
        <f>S15+S19+S24+S27+S31</f>
        <v>0</v>
      </c>
      <c r="T11" s="106">
        <f t="shared" si="4"/>
        <v>0</v>
      </c>
      <c r="U11" s="106">
        <f>U15+U19+U24+U27+U31</f>
        <v>24696.699999999997</v>
      </c>
      <c r="V11" s="106">
        <f>V15+V19+V24+V27+V31</f>
        <v>0</v>
      </c>
      <c r="W11" s="106">
        <f t="shared" si="5"/>
        <v>0</v>
      </c>
      <c r="X11" s="106">
        <f>X15+X19+X24+X27+X31</f>
        <v>26640.999999999993</v>
      </c>
      <c r="Y11" s="106">
        <f>Y15+Y19+Y24+Y27+Y31</f>
        <v>0</v>
      </c>
      <c r="Z11" s="106" t="e">
        <f>Z15+Z19+Z24+Z27+#REF!+#REF!+#REF!+#REF!+#REF!+#REF!+#REF!+#REF!+#REF!+#REF!</f>
        <v>#REF!</v>
      </c>
      <c r="AA11" s="106">
        <f>AA15+AA19+AA24+AA27+AA31</f>
        <v>37186.400000000001</v>
      </c>
      <c r="AB11" s="106">
        <f>AB15+AB19+AB24+AB27+AB31</f>
        <v>0</v>
      </c>
      <c r="AC11" s="106" t="e">
        <f>AC15+AC19+AC24+AC27+#REF!+#REF!+#REF!+#REF!+#REF!+#REF!+#REF!+#REF!+#REF!+#REF!</f>
        <v>#REF!</v>
      </c>
      <c r="AD11" s="106">
        <f>AD15+AD19+AD24+AD27+AD31</f>
        <v>24183.3</v>
      </c>
      <c r="AE11" s="106">
        <f>AE15+AE19+AE24+AE27+AE31</f>
        <v>0</v>
      </c>
      <c r="AF11" s="106">
        <f t="shared" si="6"/>
        <v>0</v>
      </c>
      <c r="AG11" s="106">
        <f>AG15+AG19+AG24+AG27+AG31</f>
        <v>18296.899999999994</v>
      </c>
      <c r="AH11" s="106">
        <f>AH15+AH19+AH24+AH27+AH31</f>
        <v>0</v>
      </c>
      <c r="AI11" s="106" t="e">
        <f>AI15+AI19+AI24+AI27+#REF!+#REF!+#REF!+#REF!+#REF!+#REF!+#REF!+#REF!+#REF!+#REF!</f>
        <v>#REF!</v>
      </c>
      <c r="AJ11" s="106">
        <f>AJ15+AJ19+AJ24+AJ27+AJ31</f>
        <v>14203.400000000001</v>
      </c>
      <c r="AK11" s="106">
        <f>AK15+AK19+AK24+AK27+AK31</f>
        <v>0</v>
      </c>
      <c r="AL11" s="106" t="e">
        <f>AL15+AL19+AL24+AL27+#REF!+#REF!+#REF!+#REF!+#REF!+#REF!+#REF!+#REF!+#REF!+#REF!</f>
        <v>#REF!</v>
      </c>
      <c r="AM11" s="106">
        <f>AM15+AM19+AM24+AM27+AM31</f>
        <v>14327.999999999996</v>
      </c>
      <c r="AN11" s="106">
        <f>AN15+AN19+AN24+AN27+AN31</f>
        <v>0</v>
      </c>
      <c r="AO11" s="106" t="e">
        <f>AO15+AO19+AO24+AO27+#REF!+#REF!+#REF!+#REF!+#REF!+#REF!+#REF!+#REF!+#REF!+#REF!</f>
        <v>#REF!</v>
      </c>
      <c r="AP11" s="106">
        <f>AP15+AP19+AP24+AP27+AP31</f>
        <v>23794.699999999997</v>
      </c>
      <c r="AQ11" s="106">
        <f>AQ15+AQ19+AQ24+AQ27+AQ31</f>
        <v>0</v>
      </c>
      <c r="AR11" s="106" t="e">
        <f>AR15+AR19+AR24+AR27+#REF!+#REF!+#REF!+#REF!+#REF!+#REF!+#REF!+#REF!+#REF!+#REF!</f>
        <v>#REF!</v>
      </c>
      <c r="AS11" s="320"/>
      <c r="AT11" s="398"/>
      <c r="AU11" s="127"/>
    </row>
    <row r="12" spans="1:49" s="100" customFormat="1" ht="24">
      <c r="A12" s="394"/>
      <c r="B12" s="395"/>
      <c r="C12" s="395"/>
      <c r="D12" s="396"/>
      <c r="E12" s="110" t="s">
        <v>257</v>
      </c>
      <c r="F12" s="106">
        <f>F16+F20+F28</f>
        <v>5832.1</v>
      </c>
      <c r="G12" s="106">
        <f>G16+G20+G28</f>
        <v>0</v>
      </c>
      <c r="H12" s="106">
        <f>G12/F12*100</f>
        <v>0</v>
      </c>
      <c r="I12" s="106">
        <f>I16+I20+I28</f>
        <v>261.8</v>
      </c>
      <c r="J12" s="106">
        <f>J16+J20+J28</f>
        <v>0</v>
      </c>
      <c r="K12" s="106">
        <f t="shared" si="1"/>
        <v>0</v>
      </c>
      <c r="L12" s="106">
        <f>L16+L20+L28</f>
        <v>336.5</v>
      </c>
      <c r="M12" s="106">
        <f>M16+M20+M28</f>
        <v>0</v>
      </c>
      <c r="N12" s="106">
        <f t="shared" si="2"/>
        <v>0</v>
      </c>
      <c r="O12" s="106">
        <f>O16+O20+O28</f>
        <v>811.3</v>
      </c>
      <c r="P12" s="106">
        <f>P16+P20+P28</f>
        <v>0</v>
      </c>
      <c r="Q12" s="106">
        <f t="shared" si="3"/>
        <v>0</v>
      </c>
      <c r="R12" s="106">
        <f>R16+R20+R28</f>
        <v>740.6</v>
      </c>
      <c r="S12" s="106">
        <f>S16+S20+S28</f>
        <v>0</v>
      </c>
      <c r="T12" s="106">
        <f t="shared" si="4"/>
        <v>0</v>
      </c>
      <c r="U12" s="106">
        <f>U16+U20+U28</f>
        <v>479.7</v>
      </c>
      <c r="V12" s="106">
        <f>V16+V20+V28</f>
        <v>0</v>
      </c>
      <c r="W12" s="106">
        <f t="shared" si="5"/>
        <v>0</v>
      </c>
      <c r="X12" s="106">
        <f>X16+X20+X28</f>
        <v>352.8</v>
      </c>
      <c r="Y12" s="106">
        <f>Y16+Y20+Y28</f>
        <v>0</v>
      </c>
      <c r="Z12" s="106" t="e">
        <f>Z16+Z20+#REF!+Z28+#REF!+#REF!+#REF!+#REF!+#REF!+#REF!+#REF!+#REF!+#REF!+#REF!</f>
        <v>#REF!</v>
      </c>
      <c r="AA12" s="106">
        <f>AA16+AA20+AA28</f>
        <v>825.5</v>
      </c>
      <c r="AB12" s="106">
        <f>AB16+AB20+AB28</f>
        <v>0</v>
      </c>
      <c r="AC12" s="106" t="e">
        <f>AC16+AC20+#REF!+AC28+#REF!+#REF!+#REF!+#REF!+#REF!+#REF!+#REF!+#REF!+#REF!+#REF!</f>
        <v>#REF!</v>
      </c>
      <c r="AD12" s="106">
        <f>AD16+AD20+AD28</f>
        <v>519</v>
      </c>
      <c r="AE12" s="106">
        <f>AE16+AE20+AE28</f>
        <v>0</v>
      </c>
      <c r="AF12" s="106">
        <f t="shared" si="6"/>
        <v>0</v>
      </c>
      <c r="AG12" s="106">
        <f>AG16+AG20+AG28</f>
        <v>301.60000000000002</v>
      </c>
      <c r="AH12" s="106">
        <f>AH16+AH20+AH28</f>
        <v>0</v>
      </c>
      <c r="AI12" s="106" t="e">
        <f>AI16+AI20+#REF!+AI28+#REF!+#REF!+#REF!+#REF!+#REF!+#REF!+#REF!+#REF!+#REF!+#REF!+#REF!</f>
        <v>#REF!</v>
      </c>
      <c r="AJ12" s="106">
        <f>AJ16+AJ20+AJ28</f>
        <v>564.6</v>
      </c>
      <c r="AK12" s="106">
        <f>AK16+AK20+AK28</f>
        <v>0</v>
      </c>
      <c r="AL12" s="106" t="e">
        <f>AL16+AL20+#REF!+AL28+#REF!+#REF!+#REF!+#REF!+#REF!+#REF!+#REF!+#REF!+#REF!+#REF!+#REF!</f>
        <v>#REF!</v>
      </c>
      <c r="AM12" s="106">
        <f>AM16+AM20+AM28</f>
        <v>441.7</v>
      </c>
      <c r="AN12" s="106">
        <f>AN16+AN20+AN28</f>
        <v>0</v>
      </c>
      <c r="AO12" s="106" t="e">
        <f>AO16+AO20+#REF!+AO28+#REF!+#REF!+#REF!+#REF!+#REF!+#REF!+#REF!+#REF!+#REF!+#REF!+#REF!</f>
        <v>#REF!</v>
      </c>
      <c r="AP12" s="106">
        <f>AP16+AP20+AP28</f>
        <v>197</v>
      </c>
      <c r="AQ12" s="106">
        <f>AQ16+AQ20+AQ28</f>
        <v>0</v>
      </c>
      <c r="AR12" s="106" t="e">
        <f>AR16+AR20+#REF!+AR28+#REF!+#REF!+#REF!+#REF!+#REF!+#REF!+#REF!+#REF!+#REF!+#REF!</f>
        <v>#REF!</v>
      </c>
      <c r="AS12" s="321"/>
      <c r="AT12" s="399"/>
      <c r="AU12" s="127"/>
    </row>
    <row r="13" spans="1:49" s="31" customFormat="1" ht="31.5" customHeight="1">
      <c r="A13" s="367" t="s">
        <v>323</v>
      </c>
      <c r="B13" s="331" t="s">
        <v>324</v>
      </c>
      <c r="C13" s="334" t="s">
        <v>325</v>
      </c>
      <c r="D13" s="334" t="s">
        <v>326</v>
      </c>
      <c r="E13" s="107" t="s">
        <v>42</v>
      </c>
      <c r="F13" s="123">
        <f>SUM(F14:F16)</f>
        <v>300702.99999999994</v>
      </c>
      <c r="G13" s="123">
        <f t="shared" ref="G13:P13" si="7">SUM(G14:G16)</f>
        <v>0</v>
      </c>
      <c r="H13" s="123">
        <f>G13/F13*100</f>
        <v>0</v>
      </c>
      <c r="I13" s="123">
        <f t="shared" si="7"/>
        <v>6636.9000000000005</v>
      </c>
      <c r="J13" s="123">
        <f t="shared" si="7"/>
        <v>0</v>
      </c>
      <c r="K13" s="123">
        <f t="shared" si="7"/>
        <v>0</v>
      </c>
      <c r="L13" s="123">
        <f t="shared" si="7"/>
        <v>32379.700000000004</v>
      </c>
      <c r="M13" s="123">
        <f t="shared" si="7"/>
        <v>0</v>
      </c>
      <c r="N13" s="123">
        <f>M13/L13*100</f>
        <v>0</v>
      </c>
      <c r="O13" s="123">
        <f t="shared" si="7"/>
        <v>25852.799999999999</v>
      </c>
      <c r="P13" s="123">
        <f t="shared" si="7"/>
        <v>0</v>
      </c>
      <c r="Q13" s="123">
        <f>P13/O13*100</f>
        <v>0</v>
      </c>
      <c r="R13" s="123">
        <f t="shared" ref="R13:AR13" si="8">SUM(R14:R16)</f>
        <v>32770.699999999997</v>
      </c>
      <c r="S13" s="123">
        <f t="shared" si="8"/>
        <v>0</v>
      </c>
      <c r="T13" s="123">
        <f>S13/R13*100</f>
        <v>0</v>
      </c>
      <c r="U13" s="123">
        <f t="shared" si="8"/>
        <v>24105.5</v>
      </c>
      <c r="V13" s="123">
        <f t="shared" si="8"/>
        <v>0</v>
      </c>
      <c r="W13" s="123">
        <f>V13/U13*100</f>
        <v>0</v>
      </c>
      <c r="X13" s="123">
        <f t="shared" si="8"/>
        <v>26660.099999999995</v>
      </c>
      <c r="Y13" s="123">
        <f t="shared" si="8"/>
        <v>0</v>
      </c>
      <c r="Z13" s="123">
        <f t="shared" si="8"/>
        <v>0</v>
      </c>
      <c r="AA13" s="104">
        <f t="shared" si="8"/>
        <v>37741.9</v>
      </c>
      <c r="AB13" s="123">
        <f t="shared" si="8"/>
        <v>0</v>
      </c>
      <c r="AC13" s="123">
        <f t="shared" si="8"/>
        <v>0</v>
      </c>
      <c r="AD13" s="104">
        <f t="shared" si="8"/>
        <v>26948.3</v>
      </c>
      <c r="AE13" s="104">
        <f t="shared" si="8"/>
        <v>0</v>
      </c>
      <c r="AF13" s="104">
        <f t="shared" si="6"/>
        <v>0</v>
      </c>
      <c r="AG13" s="104">
        <f t="shared" si="8"/>
        <v>19259.599999999995</v>
      </c>
      <c r="AH13" s="123">
        <f t="shared" si="8"/>
        <v>0</v>
      </c>
      <c r="AI13" s="123">
        <v>0</v>
      </c>
      <c r="AJ13" s="123">
        <f t="shared" si="8"/>
        <v>15428.3</v>
      </c>
      <c r="AK13" s="123">
        <f t="shared" si="8"/>
        <v>0</v>
      </c>
      <c r="AL13" s="123">
        <f t="shared" si="8"/>
        <v>0</v>
      </c>
      <c r="AM13" s="104">
        <f t="shared" si="8"/>
        <v>16239.599999999999</v>
      </c>
      <c r="AN13" s="123">
        <f t="shared" si="8"/>
        <v>0</v>
      </c>
      <c r="AO13" s="123">
        <f t="shared" si="8"/>
        <v>0</v>
      </c>
      <c r="AP13" s="104">
        <f t="shared" si="8"/>
        <v>36679.599999999999</v>
      </c>
      <c r="AQ13" s="123">
        <f t="shared" si="8"/>
        <v>0</v>
      </c>
      <c r="AR13" s="123">
        <f t="shared" si="8"/>
        <v>0</v>
      </c>
      <c r="AS13" s="340" t="s">
        <v>309</v>
      </c>
      <c r="AT13" s="385" t="s">
        <v>308</v>
      </c>
      <c r="AU13" s="121">
        <f>I13+L13+O13+R13+U13+X13+AA13+AD13+AG13</f>
        <v>232355.5</v>
      </c>
      <c r="AV13" s="121">
        <f>J13+M13+P13+S13+V13+Y13+AB13+AE13+AH13</f>
        <v>0</v>
      </c>
      <c r="AW13" s="155">
        <f>AV13/AU13*100</f>
        <v>0</v>
      </c>
    </row>
    <row r="14" spans="1:49" s="31" customFormat="1" ht="53.25" customHeight="1">
      <c r="A14" s="368"/>
      <c r="B14" s="332"/>
      <c r="C14" s="335"/>
      <c r="D14" s="335"/>
      <c r="E14" s="108" t="s">
        <v>3</v>
      </c>
      <c r="F14" s="123">
        <f>I14+L14+O14+R14+U14+X14+AA14+AD14+AG14+AJ14+AM14+AP14</f>
        <v>91443.299999999988</v>
      </c>
      <c r="G14" s="123">
        <f>J14+M14+P14+S14+V14+Y14+AB14+AE14+AH14+AK14+AN14+AQ14</f>
        <v>0</v>
      </c>
      <c r="H14" s="123">
        <v>0</v>
      </c>
      <c r="I14" s="123">
        <f>47.4+15+887.2</f>
        <v>949.6</v>
      </c>
      <c r="J14" s="123">
        <v>0</v>
      </c>
      <c r="K14" s="123">
        <v>0</v>
      </c>
      <c r="L14" s="123">
        <f>5300+92.5+1181.4</f>
        <v>6573.9</v>
      </c>
      <c r="M14" s="123">
        <v>0</v>
      </c>
      <c r="N14" s="123">
        <v>0</v>
      </c>
      <c r="O14" s="123">
        <f>5300+79.4+1165.4-6.3</f>
        <v>6538.4999999999991</v>
      </c>
      <c r="P14" s="123">
        <v>0</v>
      </c>
      <c r="Q14" s="123">
        <v>0</v>
      </c>
      <c r="R14" s="123">
        <f>5300+226+5+1479.9</f>
        <v>7010.9</v>
      </c>
      <c r="S14" s="123">
        <v>0</v>
      </c>
      <c r="T14" s="123">
        <v>0</v>
      </c>
      <c r="U14" s="117">
        <f>5300+19.7+79.4+21+897.9</f>
        <v>6317.9999999999991</v>
      </c>
      <c r="V14" s="117">
        <v>0</v>
      </c>
      <c r="W14" s="117">
        <v>0</v>
      </c>
      <c r="X14" s="117">
        <f>6259+53.9+5+1168.2-27.8</f>
        <v>7458.2999999999993</v>
      </c>
      <c r="Y14" s="117">
        <v>0</v>
      </c>
      <c r="Z14" s="117">
        <v>0</v>
      </c>
      <c r="AA14" s="123">
        <f>5350+60+305.7+5+2083.4</f>
        <v>7804.1</v>
      </c>
      <c r="AB14" s="123">
        <v>0</v>
      </c>
      <c r="AC14" s="123">
        <v>0</v>
      </c>
      <c r="AD14" s="117">
        <f>7486+216.1+5+1166.4</f>
        <v>8873.5</v>
      </c>
      <c r="AE14" s="117">
        <v>0</v>
      </c>
      <c r="AF14" s="117">
        <v>0</v>
      </c>
      <c r="AG14" s="117">
        <f>108.1+5300+71+123+136.5+561.4+365.7</f>
        <v>6665.7</v>
      </c>
      <c r="AH14" s="117">
        <v>0</v>
      </c>
      <c r="AI14" s="123">
        <v>0</v>
      </c>
      <c r="AJ14" s="123">
        <f>5250+113.9+5+1439.4</f>
        <v>6808.2999999999993</v>
      </c>
      <c r="AK14" s="123">
        <v>0</v>
      </c>
      <c r="AL14" s="123">
        <v>0</v>
      </c>
      <c r="AM14" s="117">
        <f>5250+100.2+79.5+325.1+1162.1</f>
        <v>6916.9</v>
      </c>
      <c r="AN14" s="117">
        <v>0</v>
      </c>
      <c r="AO14" s="117">
        <v>0</v>
      </c>
      <c r="AP14" s="117">
        <f>11.1+17482.4+151.9+226.6+1870.8-217.2</f>
        <v>19525.599999999999</v>
      </c>
      <c r="AQ14" s="123"/>
      <c r="AR14" s="123"/>
      <c r="AS14" s="341"/>
      <c r="AT14" s="386"/>
      <c r="AU14" s="121"/>
      <c r="AV14" s="121"/>
      <c r="AW14" s="155"/>
    </row>
    <row r="15" spans="1:49" s="31" customFormat="1" ht="46.5" customHeight="1">
      <c r="A15" s="368"/>
      <c r="B15" s="332"/>
      <c r="C15" s="335"/>
      <c r="D15" s="335"/>
      <c r="E15" s="108" t="s">
        <v>44</v>
      </c>
      <c r="F15" s="123">
        <f t="shared" ref="F15:F16" si="9">I15+L15+O15+R15+U15+X15+AA15+AD15+AG15+AJ15+AM15+AP15</f>
        <v>203427.59999999998</v>
      </c>
      <c r="G15" s="123">
        <f t="shared" ref="G15:G16" si="10">J15+M15+P15+S15+V15+Y15+AB15+AE15+AH15+AK15+AN15+AQ15</f>
        <v>0</v>
      </c>
      <c r="H15" s="123">
        <f>G15/F15*100</f>
        <v>0</v>
      </c>
      <c r="I15" s="123">
        <f>40+428.8+4937+6.7+13</f>
        <v>5425.5</v>
      </c>
      <c r="J15" s="123">
        <v>0</v>
      </c>
      <c r="K15" s="123">
        <f>J15/I15*100</f>
        <v>0</v>
      </c>
      <c r="L15" s="123">
        <f>517.2+2195.7+21252+496.8+361.9+645.7</f>
        <v>25469.300000000003</v>
      </c>
      <c r="M15" s="123">
        <v>0</v>
      </c>
      <c r="N15" s="123">
        <f t="shared" ref="N15:N22" si="11">M15/L15*100</f>
        <v>0</v>
      </c>
      <c r="O15" s="123">
        <f>938.9+1669.1+15140.2+361.8+251.7+81+61.3-1</f>
        <v>18503</v>
      </c>
      <c r="P15" s="123">
        <v>0</v>
      </c>
      <c r="Q15" s="123">
        <f t="shared" ref="Q15:Q22" si="12">P15/O15*100</f>
        <v>0</v>
      </c>
      <c r="R15" s="123">
        <f>662.3+2139.5+21249.9+500+398.9+68.6</f>
        <v>25019.200000000001</v>
      </c>
      <c r="S15" s="123">
        <v>0</v>
      </c>
      <c r="T15" s="123">
        <f t="shared" ref="T15:T22" si="13">S15/R15*100</f>
        <v>0</v>
      </c>
      <c r="U15" s="117">
        <f>114.6+1286.2+14324.5+500+499.1+290.4+293</f>
        <v>17307.8</v>
      </c>
      <c r="V15" s="117">
        <v>0</v>
      </c>
      <c r="W15" s="123">
        <f t="shared" ref="W15" si="14">V15/U15*100</f>
        <v>0</v>
      </c>
      <c r="X15" s="117">
        <f>334.2+1608.2+15696.6+500+535.6+174.6-0.2</f>
        <v>18848.999999999996</v>
      </c>
      <c r="Y15" s="117">
        <v>0</v>
      </c>
      <c r="Z15" s="117">
        <f>Y15/X15*100</f>
        <v>0</v>
      </c>
      <c r="AA15" s="105">
        <f>456.7+2982.6+24667.5+500+461.9+43.6</f>
        <v>29112.3</v>
      </c>
      <c r="AB15" s="117">
        <v>0</v>
      </c>
      <c r="AC15" s="117">
        <f>AB15/AA15*100</f>
        <v>0</v>
      </c>
      <c r="AD15" s="105">
        <f>205.2+996.9+15105+500+466.9+281.8</f>
        <v>17555.8</v>
      </c>
      <c r="AE15" s="105">
        <v>0</v>
      </c>
      <c r="AF15" s="117">
        <f>AE15/AD15*100</f>
        <v>0</v>
      </c>
      <c r="AG15" s="105">
        <f>410.5+1275+9041.8+500+537.9+527.3-0.2</f>
        <v>12292.299999999997</v>
      </c>
      <c r="AH15" s="117">
        <v>0</v>
      </c>
      <c r="AI15" s="117">
        <v>0</v>
      </c>
      <c r="AJ15" s="123">
        <f>340.9+1654.3+2843.2+250+761.9+280.1+1925</f>
        <v>8055.4</v>
      </c>
      <c r="AK15" s="123">
        <v>0</v>
      </c>
      <c r="AL15" s="123">
        <v>0</v>
      </c>
      <c r="AM15" s="105">
        <f>165.1+1038+6305.7+250+841.9+280.3</f>
        <v>8880.9999999999982</v>
      </c>
      <c r="AN15" s="117">
        <v>0</v>
      </c>
      <c r="AO15" s="117">
        <v>0</v>
      </c>
      <c r="AP15" s="104">
        <f>257+1140.6+13806+958+795.4</f>
        <v>16957</v>
      </c>
      <c r="AQ15" s="123"/>
      <c r="AR15" s="123"/>
      <c r="AS15" s="341"/>
      <c r="AT15" s="386"/>
      <c r="AU15" s="121">
        <f t="shared" ref="AU15:AU29" si="15">I15+L15+O15+R15+U15+X15+AA15+AD15+AG15</f>
        <v>169534.19999999998</v>
      </c>
      <c r="AV15" s="121">
        <f t="shared" ref="AV15:AV29" si="16">J15+M15+P15+S15+V15+Y15+AB15+AE15+AH15</f>
        <v>0</v>
      </c>
      <c r="AW15" s="155">
        <f t="shared" ref="AW15:AW29" si="17">AV15/AU15*100</f>
        <v>0</v>
      </c>
    </row>
    <row r="16" spans="1:49" s="31" customFormat="1" ht="61.5" customHeight="1">
      <c r="A16" s="369"/>
      <c r="B16" s="333"/>
      <c r="C16" s="336"/>
      <c r="D16" s="336"/>
      <c r="E16" s="109" t="s">
        <v>257</v>
      </c>
      <c r="F16" s="123">
        <f t="shared" si="9"/>
        <v>5832.1</v>
      </c>
      <c r="G16" s="123">
        <f t="shared" si="10"/>
        <v>0</v>
      </c>
      <c r="H16" s="123">
        <v>0</v>
      </c>
      <c r="I16" s="123">
        <v>261.8</v>
      </c>
      <c r="J16" s="123">
        <v>0</v>
      </c>
      <c r="K16" s="123">
        <v>0</v>
      </c>
      <c r="L16" s="123">
        <v>336.5</v>
      </c>
      <c r="M16" s="123">
        <v>0</v>
      </c>
      <c r="N16" s="123">
        <v>0</v>
      </c>
      <c r="O16" s="123">
        <v>811.3</v>
      </c>
      <c r="P16" s="123">
        <v>0</v>
      </c>
      <c r="Q16" s="123">
        <v>0</v>
      </c>
      <c r="R16" s="123">
        <v>740.6</v>
      </c>
      <c r="S16" s="123">
        <v>0</v>
      </c>
      <c r="T16" s="123">
        <v>0</v>
      </c>
      <c r="U16" s="117">
        <v>479.7</v>
      </c>
      <c r="V16" s="117">
        <v>0</v>
      </c>
      <c r="W16" s="117">
        <v>0</v>
      </c>
      <c r="X16" s="117">
        <v>352.8</v>
      </c>
      <c r="Y16" s="117">
        <v>0</v>
      </c>
      <c r="Z16" s="117">
        <v>0</v>
      </c>
      <c r="AA16" s="123">
        <v>825.5</v>
      </c>
      <c r="AB16" s="123">
        <v>0</v>
      </c>
      <c r="AC16" s="123">
        <v>0</v>
      </c>
      <c r="AD16" s="117">
        <f>457.7+61.3</f>
        <v>519</v>
      </c>
      <c r="AE16" s="117">
        <v>0</v>
      </c>
      <c r="AF16" s="117">
        <v>0</v>
      </c>
      <c r="AG16" s="117">
        <v>301.60000000000002</v>
      </c>
      <c r="AH16" s="117"/>
      <c r="AI16" s="117"/>
      <c r="AJ16" s="123">
        <v>564.6</v>
      </c>
      <c r="AK16" s="123">
        <v>0</v>
      </c>
      <c r="AL16" s="123">
        <v>0</v>
      </c>
      <c r="AM16" s="117">
        <v>441.7</v>
      </c>
      <c r="AN16" s="117">
        <v>0</v>
      </c>
      <c r="AO16" s="117">
        <v>0</v>
      </c>
      <c r="AP16" s="117">
        <v>197</v>
      </c>
      <c r="AQ16" s="123"/>
      <c r="AR16" s="123"/>
      <c r="AS16" s="342"/>
      <c r="AT16" s="387"/>
      <c r="AU16" s="121"/>
      <c r="AV16" s="121"/>
      <c r="AW16" s="155"/>
    </row>
    <row r="17" spans="1:49" s="31" customFormat="1" ht="12.75">
      <c r="A17" s="367" t="s">
        <v>327</v>
      </c>
      <c r="B17" s="331" t="s">
        <v>328</v>
      </c>
      <c r="C17" s="334" t="s">
        <v>329</v>
      </c>
      <c r="D17" s="337" t="s">
        <v>330</v>
      </c>
      <c r="E17" s="107" t="s">
        <v>42</v>
      </c>
      <c r="F17" s="123">
        <f>SUM(F18:F20)</f>
        <v>77800</v>
      </c>
      <c r="G17" s="123">
        <f t="shared" ref="G17:P17" si="18">SUM(G18:G20)</f>
        <v>0</v>
      </c>
      <c r="H17" s="123">
        <f>G17/F17*100</f>
        <v>0</v>
      </c>
      <c r="I17" s="123">
        <f t="shared" si="18"/>
        <v>7091.6</v>
      </c>
      <c r="J17" s="123">
        <f t="shared" si="18"/>
        <v>0</v>
      </c>
      <c r="K17" s="123">
        <f>J17/I17*100</f>
        <v>0</v>
      </c>
      <c r="L17" s="123">
        <f t="shared" si="18"/>
        <v>7886.9</v>
      </c>
      <c r="M17" s="123">
        <f t="shared" si="18"/>
        <v>0</v>
      </c>
      <c r="N17" s="123">
        <f t="shared" si="11"/>
        <v>0</v>
      </c>
      <c r="O17" s="123">
        <f t="shared" si="18"/>
        <v>6038</v>
      </c>
      <c r="P17" s="123">
        <f t="shared" si="18"/>
        <v>0</v>
      </c>
      <c r="Q17" s="123">
        <f t="shared" si="12"/>
        <v>0</v>
      </c>
      <c r="R17" s="123">
        <f t="shared" ref="R17:AB17" si="19">SUM(R18:R20)</f>
        <v>6900</v>
      </c>
      <c r="S17" s="123">
        <f t="shared" si="19"/>
        <v>0</v>
      </c>
      <c r="T17" s="123">
        <f t="shared" si="13"/>
        <v>0</v>
      </c>
      <c r="U17" s="123">
        <f t="shared" si="19"/>
        <v>6826.3</v>
      </c>
      <c r="V17" s="123">
        <f t="shared" si="19"/>
        <v>0</v>
      </c>
      <c r="W17" s="123">
        <f t="shared" ref="W17" si="20">V17/U17*100</f>
        <v>0</v>
      </c>
      <c r="X17" s="123">
        <f t="shared" si="19"/>
        <v>7190.9</v>
      </c>
      <c r="Y17" s="123">
        <f t="shared" si="19"/>
        <v>0</v>
      </c>
      <c r="Z17" s="123">
        <f>Y17/X17*100</f>
        <v>0</v>
      </c>
      <c r="AA17" s="104">
        <f t="shared" si="19"/>
        <v>7431.5</v>
      </c>
      <c r="AB17" s="123">
        <f t="shared" si="19"/>
        <v>0</v>
      </c>
      <c r="AC17" s="123">
        <f>SUM(AC18:AC20)</f>
        <v>0</v>
      </c>
      <c r="AD17" s="104">
        <f t="shared" ref="AD17:AR17" si="21">SUM(AD18:AD20)</f>
        <v>6016.2</v>
      </c>
      <c r="AE17" s="104">
        <f t="shared" si="21"/>
        <v>0</v>
      </c>
      <c r="AF17" s="104">
        <f t="shared" si="6"/>
        <v>0</v>
      </c>
      <c r="AG17" s="104">
        <f t="shared" si="21"/>
        <v>5470</v>
      </c>
      <c r="AH17" s="123">
        <f t="shared" si="21"/>
        <v>0</v>
      </c>
      <c r="AI17" s="123">
        <f t="shared" si="21"/>
        <v>0</v>
      </c>
      <c r="AJ17" s="123">
        <f t="shared" si="21"/>
        <v>5540.8</v>
      </c>
      <c r="AK17" s="123">
        <f t="shared" si="21"/>
        <v>0</v>
      </c>
      <c r="AL17" s="123">
        <f t="shared" si="21"/>
        <v>0</v>
      </c>
      <c r="AM17" s="104">
        <f t="shared" si="21"/>
        <v>5036.7</v>
      </c>
      <c r="AN17" s="123">
        <f t="shared" si="21"/>
        <v>0</v>
      </c>
      <c r="AO17" s="123">
        <f t="shared" si="21"/>
        <v>0</v>
      </c>
      <c r="AP17" s="104">
        <f t="shared" si="21"/>
        <v>6371.1</v>
      </c>
      <c r="AQ17" s="123">
        <f t="shared" si="21"/>
        <v>0</v>
      </c>
      <c r="AR17" s="123">
        <f t="shared" si="21"/>
        <v>0</v>
      </c>
      <c r="AS17" s="340" t="s">
        <v>299</v>
      </c>
      <c r="AT17" s="385" t="s">
        <v>296</v>
      </c>
      <c r="AU17" s="121">
        <f t="shared" si="15"/>
        <v>60851.4</v>
      </c>
      <c r="AV17" s="121">
        <f t="shared" si="16"/>
        <v>0</v>
      </c>
      <c r="AW17" s="155">
        <f t="shared" si="17"/>
        <v>0</v>
      </c>
    </row>
    <row r="18" spans="1:49" s="31" customFormat="1" ht="36">
      <c r="A18" s="368"/>
      <c r="B18" s="332"/>
      <c r="C18" s="335"/>
      <c r="D18" s="338"/>
      <c r="E18" s="108" t="s">
        <v>3</v>
      </c>
      <c r="F18" s="123">
        <f>I18+L18+O18+R18+U18+X18+AA18+AD18+AG18+AJ18+AM18+AP18</f>
        <v>0</v>
      </c>
      <c r="G18" s="123">
        <f>J18+M18+P18+S18+V18+Y18+AB18+AE18+AH18+AK18+AN18+AQ18</f>
        <v>0</v>
      </c>
      <c r="H18" s="123">
        <v>0</v>
      </c>
      <c r="I18" s="104">
        <v>0</v>
      </c>
      <c r="J18" s="104">
        <v>0</v>
      </c>
      <c r="K18" s="123">
        <v>0</v>
      </c>
      <c r="L18" s="126">
        <v>0</v>
      </c>
      <c r="M18" s="104">
        <v>0</v>
      </c>
      <c r="N18" s="123">
        <v>0</v>
      </c>
      <c r="O18" s="104">
        <v>0</v>
      </c>
      <c r="P18" s="104">
        <v>0</v>
      </c>
      <c r="Q18" s="123">
        <v>0</v>
      </c>
      <c r="R18" s="104">
        <v>0</v>
      </c>
      <c r="S18" s="104">
        <v>0</v>
      </c>
      <c r="T18" s="123">
        <v>0</v>
      </c>
      <c r="U18" s="105">
        <v>0</v>
      </c>
      <c r="V18" s="105">
        <v>0</v>
      </c>
      <c r="W18" s="123">
        <v>0</v>
      </c>
      <c r="X18" s="105">
        <v>0</v>
      </c>
      <c r="Y18" s="105">
        <v>0</v>
      </c>
      <c r="Z18" s="105">
        <v>0</v>
      </c>
      <c r="AA18" s="105">
        <v>0</v>
      </c>
      <c r="AB18" s="105">
        <v>0</v>
      </c>
      <c r="AC18" s="117">
        <v>0</v>
      </c>
      <c r="AD18" s="105">
        <v>0</v>
      </c>
      <c r="AE18" s="105">
        <v>0</v>
      </c>
      <c r="AF18" s="117">
        <v>0</v>
      </c>
      <c r="AG18" s="105">
        <v>0</v>
      </c>
      <c r="AH18" s="105">
        <v>0</v>
      </c>
      <c r="AI18" s="117">
        <v>0</v>
      </c>
      <c r="AJ18" s="104">
        <v>0</v>
      </c>
      <c r="AK18" s="104">
        <v>0</v>
      </c>
      <c r="AL18" s="104">
        <v>0</v>
      </c>
      <c r="AM18" s="105">
        <v>0</v>
      </c>
      <c r="AN18" s="105">
        <v>0</v>
      </c>
      <c r="AO18" s="105">
        <v>0</v>
      </c>
      <c r="AP18" s="104">
        <v>0</v>
      </c>
      <c r="AQ18" s="104"/>
      <c r="AR18" s="104"/>
      <c r="AS18" s="341"/>
      <c r="AT18" s="386"/>
      <c r="AU18" s="121">
        <f t="shared" si="15"/>
        <v>0</v>
      </c>
      <c r="AV18" s="121">
        <f t="shared" si="16"/>
        <v>0</v>
      </c>
      <c r="AW18" s="155" t="e">
        <f t="shared" si="17"/>
        <v>#DIV/0!</v>
      </c>
    </row>
    <row r="19" spans="1:49" s="31" customFormat="1" ht="12.75">
      <c r="A19" s="368"/>
      <c r="B19" s="332"/>
      <c r="C19" s="335"/>
      <c r="D19" s="338"/>
      <c r="E19" s="108" t="s">
        <v>44</v>
      </c>
      <c r="F19" s="123">
        <f t="shared" ref="F19:F20" si="22">I19+L19+O19+R19+U19+X19+AA19+AD19+AG19+AJ19+AM19+AP19</f>
        <v>77800</v>
      </c>
      <c r="G19" s="123">
        <f t="shared" ref="G19:G20" si="23">J19+M19+P19+S19+V19+Y19+AB19+AE19+AH19+AK19+AN19+AQ19</f>
        <v>0</v>
      </c>
      <c r="H19" s="123">
        <v>0</v>
      </c>
      <c r="I19" s="123">
        <v>7091.6</v>
      </c>
      <c r="J19" s="123">
        <v>0</v>
      </c>
      <c r="K19" s="123">
        <v>0</v>
      </c>
      <c r="L19" s="123">
        <v>7886.9</v>
      </c>
      <c r="M19" s="123">
        <v>0</v>
      </c>
      <c r="N19" s="123">
        <v>0</v>
      </c>
      <c r="O19" s="123">
        <v>6038</v>
      </c>
      <c r="P19" s="123">
        <v>0</v>
      </c>
      <c r="Q19" s="123">
        <v>0</v>
      </c>
      <c r="R19" s="123">
        <v>6900</v>
      </c>
      <c r="S19" s="123">
        <v>0</v>
      </c>
      <c r="T19" s="123">
        <v>0</v>
      </c>
      <c r="U19" s="117">
        <v>6826.3</v>
      </c>
      <c r="V19" s="117">
        <v>0</v>
      </c>
      <c r="W19" s="117">
        <v>0</v>
      </c>
      <c r="X19" s="117">
        <v>7190.9</v>
      </c>
      <c r="Y19" s="117">
        <v>0</v>
      </c>
      <c r="Z19" s="117">
        <v>0</v>
      </c>
      <c r="AA19" s="123">
        <v>7431.5</v>
      </c>
      <c r="AB19" s="123">
        <v>0</v>
      </c>
      <c r="AC19" s="123">
        <v>0</v>
      </c>
      <c r="AD19" s="117">
        <v>6016.2</v>
      </c>
      <c r="AE19" s="117">
        <v>0</v>
      </c>
      <c r="AF19" s="117">
        <v>0</v>
      </c>
      <c r="AG19" s="117">
        <v>5470</v>
      </c>
      <c r="AH19" s="117">
        <v>0</v>
      </c>
      <c r="AI19" s="117">
        <v>0</v>
      </c>
      <c r="AJ19" s="123">
        <v>5540.8</v>
      </c>
      <c r="AK19" s="123">
        <v>0</v>
      </c>
      <c r="AL19" s="123">
        <v>0</v>
      </c>
      <c r="AM19" s="117">
        <v>5036.7</v>
      </c>
      <c r="AN19" s="117">
        <v>0</v>
      </c>
      <c r="AO19" s="117">
        <v>0</v>
      </c>
      <c r="AP19" s="117">
        <v>6371.1</v>
      </c>
      <c r="AQ19" s="123"/>
      <c r="AR19" s="123"/>
      <c r="AS19" s="341"/>
      <c r="AT19" s="386"/>
      <c r="AU19" s="121"/>
      <c r="AV19" s="121"/>
      <c r="AW19" s="155"/>
    </row>
    <row r="20" spans="1:49" s="31" customFormat="1" ht="63" customHeight="1">
      <c r="A20" s="369"/>
      <c r="B20" s="333"/>
      <c r="C20" s="336"/>
      <c r="D20" s="339"/>
      <c r="E20" s="109" t="s">
        <v>257</v>
      </c>
      <c r="F20" s="123">
        <f t="shared" si="22"/>
        <v>0</v>
      </c>
      <c r="G20" s="123">
        <f t="shared" si="23"/>
        <v>0</v>
      </c>
      <c r="H20" s="123">
        <v>0</v>
      </c>
      <c r="I20" s="104">
        <v>0</v>
      </c>
      <c r="J20" s="104">
        <v>0</v>
      </c>
      <c r="K20" s="123">
        <v>0</v>
      </c>
      <c r="L20" s="126">
        <v>0</v>
      </c>
      <c r="M20" s="104">
        <v>0</v>
      </c>
      <c r="N20" s="123">
        <v>0</v>
      </c>
      <c r="O20" s="104">
        <v>0</v>
      </c>
      <c r="P20" s="104">
        <v>0</v>
      </c>
      <c r="Q20" s="123">
        <v>0</v>
      </c>
      <c r="R20" s="104">
        <v>0</v>
      </c>
      <c r="S20" s="104">
        <v>0</v>
      </c>
      <c r="T20" s="123">
        <v>0</v>
      </c>
      <c r="U20" s="105">
        <v>0</v>
      </c>
      <c r="V20" s="105">
        <v>0</v>
      </c>
      <c r="W20" s="123">
        <v>0</v>
      </c>
      <c r="X20" s="105">
        <v>0</v>
      </c>
      <c r="Y20" s="105">
        <v>0</v>
      </c>
      <c r="Z20" s="105">
        <v>0</v>
      </c>
      <c r="AA20" s="105">
        <v>0</v>
      </c>
      <c r="AB20" s="105">
        <v>0</v>
      </c>
      <c r="AC20" s="117">
        <v>0</v>
      </c>
      <c r="AD20" s="105">
        <v>0</v>
      </c>
      <c r="AE20" s="105">
        <v>0</v>
      </c>
      <c r="AF20" s="117">
        <v>0</v>
      </c>
      <c r="AG20" s="105">
        <v>0</v>
      </c>
      <c r="AH20" s="105">
        <v>0</v>
      </c>
      <c r="AI20" s="117">
        <v>0</v>
      </c>
      <c r="AJ20" s="104">
        <v>0</v>
      </c>
      <c r="AK20" s="104">
        <v>0</v>
      </c>
      <c r="AL20" s="104">
        <v>0</v>
      </c>
      <c r="AM20" s="105">
        <v>0</v>
      </c>
      <c r="AN20" s="105">
        <v>0</v>
      </c>
      <c r="AO20" s="105">
        <v>0</v>
      </c>
      <c r="AP20" s="104">
        <v>0</v>
      </c>
      <c r="AQ20" s="104">
        <v>0</v>
      </c>
      <c r="AR20" s="104">
        <v>0</v>
      </c>
      <c r="AS20" s="342"/>
      <c r="AT20" s="387"/>
      <c r="AU20" s="121">
        <f t="shared" si="15"/>
        <v>0</v>
      </c>
      <c r="AV20" s="121">
        <f t="shared" si="16"/>
        <v>0</v>
      </c>
      <c r="AW20" s="155" t="e">
        <f t="shared" si="17"/>
        <v>#DIV/0!</v>
      </c>
    </row>
    <row r="21" spans="1:49" s="31" customFormat="1" ht="74.25" customHeight="1">
      <c r="A21" s="157" t="s">
        <v>331</v>
      </c>
      <c r="B21" s="164" t="s">
        <v>332</v>
      </c>
      <c r="C21" s="158" t="s">
        <v>333</v>
      </c>
      <c r="D21" s="169" t="s">
        <v>346</v>
      </c>
      <c r="E21" s="143" t="s">
        <v>275</v>
      </c>
      <c r="F21" s="149" t="s">
        <v>279</v>
      </c>
      <c r="G21" s="149" t="s">
        <v>279</v>
      </c>
      <c r="H21" s="149" t="s">
        <v>279</v>
      </c>
      <c r="I21" s="149" t="s">
        <v>279</v>
      </c>
      <c r="J21" s="149" t="s">
        <v>279</v>
      </c>
      <c r="K21" s="149" t="s">
        <v>279</v>
      </c>
      <c r="L21" s="149" t="s">
        <v>279</v>
      </c>
      <c r="M21" s="149" t="s">
        <v>279</v>
      </c>
      <c r="N21" s="149" t="s">
        <v>279</v>
      </c>
      <c r="O21" s="149" t="s">
        <v>279</v>
      </c>
      <c r="P21" s="149" t="s">
        <v>279</v>
      </c>
      <c r="Q21" s="149" t="s">
        <v>279</v>
      </c>
      <c r="R21" s="149" t="s">
        <v>279</v>
      </c>
      <c r="S21" s="149" t="s">
        <v>279</v>
      </c>
      <c r="T21" s="149" t="s">
        <v>279</v>
      </c>
      <c r="U21" s="149" t="s">
        <v>279</v>
      </c>
      <c r="V21" s="149" t="s">
        <v>279</v>
      </c>
      <c r="W21" s="149" t="s">
        <v>279</v>
      </c>
      <c r="X21" s="149" t="s">
        <v>279</v>
      </c>
      <c r="Y21" s="149" t="s">
        <v>279</v>
      </c>
      <c r="Z21" s="149" t="s">
        <v>279</v>
      </c>
      <c r="AA21" s="149" t="s">
        <v>279</v>
      </c>
      <c r="AB21" s="149" t="s">
        <v>279</v>
      </c>
      <c r="AC21" s="149" t="s">
        <v>279</v>
      </c>
      <c r="AD21" s="149" t="s">
        <v>279</v>
      </c>
      <c r="AE21" s="149" t="s">
        <v>279</v>
      </c>
      <c r="AF21" s="149" t="s">
        <v>279</v>
      </c>
      <c r="AG21" s="149" t="s">
        <v>279</v>
      </c>
      <c r="AH21" s="149" t="s">
        <v>279</v>
      </c>
      <c r="AI21" s="149" t="s">
        <v>279</v>
      </c>
      <c r="AJ21" s="149" t="s">
        <v>279</v>
      </c>
      <c r="AK21" s="149" t="s">
        <v>279</v>
      </c>
      <c r="AL21" s="149" t="s">
        <v>279</v>
      </c>
      <c r="AM21" s="149" t="s">
        <v>279</v>
      </c>
      <c r="AN21" s="149" t="s">
        <v>279</v>
      </c>
      <c r="AO21" s="149" t="s">
        <v>279</v>
      </c>
      <c r="AP21" s="149" t="s">
        <v>279</v>
      </c>
      <c r="AQ21" s="149" t="s">
        <v>279</v>
      </c>
      <c r="AR21" s="149" t="s">
        <v>279</v>
      </c>
      <c r="AS21" s="163" t="s">
        <v>319</v>
      </c>
      <c r="AT21" s="167" t="s">
        <v>297</v>
      </c>
      <c r="AU21" s="121" t="e">
        <f t="shared" ref="AU21" si="24">I21+L21+O21+R21+U21+X21+AA21+AD21+AG21</f>
        <v>#VALUE!</v>
      </c>
      <c r="AV21" s="121" t="e">
        <f t="shared" ref="AV21" si="25">J21+M21+P21+S21+V21+Y21+AB21+AE21+AH21</f>
        <v>#VALUE!</v>
      </c>
      <c r="AW21" s="155" t="e">
        <f t="shared" ref="AW21" si="26">AV21/AU21*100</f>
        <v>#VALUE!</v>
      </c>
    </row>
    <row r="22" spans="1:49" s="31" customFormat="1" ht="12.75">
      <c r="A22" s="367" t="s">
        <v>334</v>
      </c>
      <c r="B22" s="331" t="s">
        <v>335</v>
      </c>
      <c r="C22" s="334" t="s">
        <v>268</v>
      </c>
      <c r="D22" s="337" t="s">
        <v>336</v>
      </c>
      <c r="E22" s="107" t="s">
        <v>42</v>
      </c>
      <c r="F22" s="123">
        <f>SUM(F23:F24)</f>
        <v>3987.3</v>
      </c>
      <c r="G22" s="123">
        <f>SUM(G23:G24)</f>
        <v>0</v>
      </c>
      <c r="H22" s="123">
        <f>G22/F22*100</f>
        <v>0</v>
      </c>
      <c r="I22" s="123">
        <f>SUM(I23:I24)</f>
        <v>326</v>
      </c>
      <c r="J22" s="123">
        <f>SUM(J23:J24)</f>
        <v>0</v>
      </c>
      <c r="K22" s="123">
        <f t="shared" ref="K22" si="27">J22/I22*100</f>
        <v>0</v>
      </c>
      <c r="L22" s="123">
        <f>SUM(L23:L24)</f>
        <v>326</v>
      </c>
      <c r="M22" s="123">
        <f>SUM(M23:M24)</f>
        <v>0</v>
      </c>
      <c r="N22" s="123">
        <f t="shared" si="11"/>
        <v>0</v>
      </c>
      <c r="O22" s="123">
        <f>SUM(O23:O24)</f>
        <v>326</v>
      </c>
      <c r="P22" s="123">
        <f>SUM(P23:P24)</f>
        <v>0</v>
      </c>
      <c r="Q22" s="123">
        <f t="shared" si="12"/>
        <v>0</v>
      </c>
      <c r="R22" s="123">
        <f>SUM(R23:R24)</f>
        <v>326</v>
      </c>
      <c r="S22" s="123">
        <f>SUM(S23:S24)</f>
        <v>0</v>
      </c>
      <c r="T22" s="123">
        <f t="shared" si="13"/>
        <v>0</v>
      </c>
      <c r="U22" s="123">
        <f>SUM(U23:U24)</f>
        <v>326</v>
      </c>
      <c r="V22" s="123">
        <f>SUM(V23:V24)</f>
        <v>0</v>
      </c>
      <c r="W22" s="123">
        <f t="shared" ref="W22" si="28">V22/U22*100</f>
        <v>0</v>
      </c>
      <c r="X22" s="123">
        <f t="shared" ref="X22:AE22" si="29">SUM(X23:X24)</f>
        <v>326</v>
      </c>
      <c r="Y22" s="123">
        <f t="shared" si="29"/>
        <v>0</v>
      </c>
      <c r="Z22" s="123">
        <f t="shared" si="29"/>
        <v>0</v>
      </c>
      <c r="AA22" s="104">
        <f t="shared" si="29"/>
        <v>326</v>
      </c>
      <c r="AB22" s="123">
        <f t="shared" si="29"/>
        <v>0</v>
      </c>
      <c r="AC22" s="123">
        <f t="shared" si="29"/>
        <v>0</v>
      </c>
      <c r="AD22" s="104">
        <f t="shared" si="29"/>
        <v>326</v>
      </c>
      <c r="AE22" s="104">
        <f t="shared" si="29"/>
        <v>0</v>
      </c>
      <c r="AF22" s="104">
        <f t="shared" si="6"/>
        <v>0</v>
      </c>
      <c r="AG22" s="104">
        <f t="shared" ref="AG22:AR22" si="30">SUM(AG23:AG24)</f>
        <v>326</v>
      </c>
      <c r="AH22" s="123">
        <f t="shared" si="30"/>
        <v>0</v>
      </c>
      <c r="AI22" s="123">
        <f t="shared" si="30"/>
        <v>0</v>
      </c>
      <c r="AJ22" s="123">
        <f t="shared" si="30"/>
        <v>326</v>
      </c>
      <c r="AK22" s="123">
        <f t="shared" si="30"/>
        <v>0</v>
      </c>
      <c r="AL22" s="123">
        <f t="shared" si="30"/>
        <v>0</v>
      </c>
      <c r="AM22" s="104">
        <f t="shared" si="30"/>
        <v>326</v>
      </c>
      <c r="AN22" s="123">
        <f t="shared" si="30"/>
        <v>0</v>
      </c>
      <c r="AO22" s="123">
        <f t="shared" si="30"/>
        <v>0</v>
      </c>
      <c r="AP22" s="104">
        <f t="shared" si="30"/>
        <v>401.3</v>
      </c>
      <c r="AQ22" s="123">
        <f t="shared" si="30"/>
        <v>0</v>
      </c>
      <c r="AR22" s="123">
        <f t="shared" si="30"/>
        <v>0</v>
      </c>
      <c r="AS22" s="340" t="s">
        <v>319</v>
      </c>
      <c r="AT22" s="343" t="s">
        <v>297</v>
      </c>
      <c r="AU22" s="121">
        <f t="shared" si="15"/>
        <v>2934</v>
      </c>
      <c r="AV22" s="121">
        <f t="shared" si="16"/>
        <v>0</v>
      </c>
      <c r="AW22" s="155">
        <f t="shared" si="17"/>
        <v>0</v>
      </c>
    </row>
    <row r="23" spans="1:49" s="31" customFormat="1" ht="36">
      <c r="A23" s="368"/>
      <c r="B23" s="332"/>
      <c r="C23" s="335"/>
      <c r="D23" s="338"/>
      <c r="E23" s="108" t="s">
        <v>3</v>
      </c>
      <c r="F23" s="123">
        <f>I23+L23+O23+R23+U23+X23+AA23+AD23+AG23+AJ23+AM23+AP23</f>
        <v>0</v>
      </c>
      <c r="G23" s="123">
        <f>J23+M23+P23+S23+V23+Y23+AB23+AE23+AH23+AK23+AN23+AQ23</f>
        <v>0</v>
      </c>
      <c r="H23" s="123">
        <v>0</v>
      </c>
      <c r="I23" s="104">
        <v>0</v>
      </c>
      <c r="J23" s="104">
        <v>0</v>
      </c>
      <c r="K23" s="123">
        <v>0</v>
      </c>
      <c r="L23" s="126">
        <v>0</v>
      </c>
      <c r="M23" s="104">
        <v>0</v>
      </c>
      <c r="N23" s="123">
        <v>0</v>
      </c>
      <c r="O23" s="104">
        <v>0</v>
      </c>
      <c r="P23" s="104">
        <v>0</v>
      </c>
      <c r="Q23" s="123">
        <v>0</v>
      </c>
      <c r="R23" s="104">
        <v>0</v>
      </c>
      <c r="S23" s="104">
        <v>0</v>
      </c>
      <c r="T23" s="123">
        <v>0</v>
      </c>
      <c r="U23" s="105">
        <v>0</v>
      </c>
      <c r="V23" s="105">
        <v>0</v>
      </c>
      <c r="W23" s="123">
        <v>0</v>
      </c>
      <c r="X23" s="105">
        <v>0</v>
      </c>
      <c r="Y23" s="105">
        <v>0</v>
      </c>
      <c r="Z23" s="105">
        <v>0</v>
      </c>
      <c r="AA23" s="105">
        <v>0</v>
      </c>
      <c r="AB23" s="105">
        <v>0</v>
      </c>
      <c r="AC23" s="117">
        <v>0</v>
      </c>
      <c r="AD23" s="105">
        <v>0</v>
      </c>
      <c r="AE23" s="105">
        <v>0</v>
      </c>
      <c r="AF23" s="117">
        <v>0</v>
      </c>
      <c r="AG23" s="105">
        <v>0</v>
      </c>
      <c r="AH23" s="105">
        <v>0</v>
      </c>
      <c r="AI23" s="117">
        <v>0</v>
      </c>
      <c r="AJ23" s="104">
        <v>0</v>
      </c>
      <c r="AK23" s="104">
        <v>0</v>
      </c>
      <c r="AL23" s="104">
        <v>0</v>
      </c>
      <c r="AM23" s="105">
        <v>0</v>
      </c>
      <c r="AN23" s="105">
        <v>0</v>
      </c>
      <c r="AO23" s="105">
        <v>0</v>
      </c>
      <c r="AP23" s="104">
        <v>0</v>
      </c>
      <c r="AQ23" s="104"/>
      <c r="AR23" s="104"/>
      <c r="AS23" s="341"/>
      <c r="AT23" s="344"/>
      <c r="AU23" s="121">
        <f t="shared" si="15"/>
        <v>0</v>
      </c>
      <c r="AV23" s="121">
        <f t="shared" si="16"/>
        <v>0</v>
      </c>
      <c r="AW23" s="155" t="e">
        <f t="shared" si="17"/>
        <v>#DIV/0!</v>
      </c>
    </row>
    <row r="24" spans="1:49" s="31" customFormat="1" ht="12.75">
      <c r="A24" s="368"/>
      <c r="B24" s="332"/>
      <c r="C24" s="335"/>
      <c r="D24" s="338"/>
      <c r="E24" s="108" t="s">
        <v>44</v>
      </c>
      <c r="F24" s="123">
        <f t="shared" ref="F24" si="31">I24+L24+O24+R24+U24+X24+AA24+AD24+AG24+AJ24+AM24+AP24</f>
        <v>3987.3</v>
      </c>
      <c r="G24" s="123">
        <f t="shared" ref="G24" si="32">J24+M24+P24+S24+V24+Y24+AB24+AE24+AH24+AK24+AN24+AQ24</f>
        <v>0</v>
      </c>
      <c r="H24" s="123">
        <v>0</v>
      </c>
      <c r="I24" s="123">
        <v>326</v>
      </c>
      <c r="J24" s="123">
        <v>0</v>
      </c>
      <c r="K24" s="123">
        <v>0</v>
      </c>
      <c r="L24" s="123">
        <v>326</v>
      </c>
      <c r="M24" s="123">
        <v>0</v>
      </c>
      <c r="N24" s="123">
        <v>0</v>
      </c>
      <c r="O24" s="123">
        <v>326</v>
      </c>
      <c r="P24" s="123">
        <v>0</v>
      </c>
      <c r="Q24" s="123">
        <v>0</v>
      </c>
      <c r="R24" s="123">
        <v>326</v>
      </c>
      <c r="S24" s="123">
        <v>0</v>
      </c>
      <c r="T24" s="123">
        <v>0</v>
      </c>
      <c r="U24" s="117">
        <v>326</v>
      </c>
      <c r="V24" s="117">
        <v>0</v>
      </c>
      <c r="W24" s="117">
        <v>0</v>
      </c>
      <c r="X24" s="117">
        <v>326</v>
      </c>
      <c r="Y24" s="117">
        <v>0</v>
      </c>
      <c r="Z24" s="117">
        <v>0</v>
      </c>
      <c r="AA24" s="123">
        <v>326</v>
      </c>
      <c r="AB24" s="123">
        <v>0</v>
      </c>
      <c r="AC24" s="123">
        <v>0</v>
      </c>
      <c r="AD24" s="117">
        <v>326</v>
      </c>
      <c r="AE24" s="117">
        <v>0</v>
      </c>
      <c r="AF24" s="117">
        <v>0</v>
      </c>
      <c r="AG24" s="117">
        <v>326</v>
      </c>
      <c r="AH24" s="117">
        <v>0</v>
      </c>
      <c r="AI24" s="117"/>
      <c r="AJ24" s="123">
        <v>326</v>
      </c>
      <c r="AK24" s="123">
        <v>0</v>
      </c>
      <c r="AL24" s="123">
        <v>0</v>
      </c>
      <c r="AM24" s="117">
        <v>326</v>
      </c>
      <c r="AN24" s="117">
        <v>0</v>
      </c>
      <c r="AO24" s="117">
        <v>0</v>
      </c>
      <c r="AP24" s="117">
        <v>401.3</v>
      </c>
      <c r="AQ24" s="123"/>
      <c r="AR24" s="123"/>
      <c r="AS24" s="341"/>
      <c r="AT24" s="344"/>
      <c r="AU24" s="121"/>
      <c r="AV24" s="121"/>
      <c r="AW24" s="155"/>
    </row>
    <row r="25" spans="1:49" s="31" customFormat="1" ht="12.75">
      <c r="A25" s="367" t="s">
        <v>337</v>
      </c>
      <c r="B25" s="331" t="s">
        <v>338</v>
      </c>
      <c r="C25" s="334" t="s">
        <v>339</v>
      </c>
      <c r="D25" s="337" t="s">
        <v>340</v>
      </c>
      <c r="E25" s="107" t="s">
        <v>42</v>
      </c>
      <c r="F25" s="123">
        <f>SUM(F26:F28)</f>
        <v>5215.6000000000004</v>
      </c>
      <c r="G25" s="123">
        <f t="shared" ref="G25:P25" si="33">SUM(G26:G28)</f>
        <v>0</v>
      </c>
      <c r="H25" s="123">
        <f>G25/F25*100</f>
        <v>0</v>
      </c>
      <c r="I25" s="123">
        <f t="shared" si="33"/>
        <v>208.8</v>
      </c>
      <c r="J25" s="123">
        <f t="shared" si="33"/>
        <v>0</v>
      </c>
      <c r="K25" s="123">
        <f t="shared" si="33"/>
        <v>0</v>
      </c>
      <c r="L25" s="123">
        <f t="shared" si="33"/>
        <v>384.9</v>
      </c>
      <c r="M25" s="123">
        <f t="shared" si="33"/>
        <v>0</v>
      </c>
      <c r="N25" s="123">
        <v>0</v>
      </c>
      <c r="O25" s="123">
        <f t="shared" si="33"/>
        <v>1039.2</v>
      </c>
      <c r="P25" s="123">
        <f t="shared" si="33"/>
        <v>0</v>
      </c>
      <c r="Q25" s="123">
        <v>0</v>
      </c>
      <c r="R25" s="123">
        <f t="shared" ref="R25:Z25" si="34">SUM(R26:R28)</f>
        <v>353</v>
      </c>
      <c r="S25" s="123">
        <f t="shared" si="34"/>
        <v>0</v>
      </c>
      <c r="T25" s="123">
        <v>0</v>
      </c>
      <c r="U25" s="123">
        <f t="shared" si="34"/>
        <v>378</v>
      </c>
      <c r="V25" s="123">
        <f t="shared" si="34"/>
        <v>0</v>
      </c>
      <c r="W25" s="123">
        <f t="shared" si="34"/>
        <v>0</v>
      </c>
      <c r="X25" s="123">
        <f t="shared" si="34"/>
        <v>416.5</v>
      </c>
      <c r="Y25" s="123">
        <f t="shared" si="34"/>
        <v>0</v>
      </c>
      <c r="Z25" s="123">
        <f t="shared" si="34"/>
        <v>0</v>
      </c>
      <c r="AA25" s="104">
        <f t="shared" ref="AA25:AB25" si="35">SUM(AA26:AA28)</f>
        <v>482.40000000000003</v>
      </c>
      <c r="AB25" s="123">
        <f t="shared" si="35"/>
        <v>0</v>
      </c>
      <c r="AC25" s="123">
        <f>SUM(AC26:AC28)</f>
        <v>0</v>
      </c>
      <c r="AD25" s="104">
        <f t="shared" ref="AD25:AR25" si="36">SUM(AD26:AD28)</f>
        <v>451.1</v>
      </c>
      <c r="AE25" s="104">
        <f t="shared" si="36"/>
        <v>0</v>
      </c>
      <c r="AF25" s="104">
        <f t="shared" si="6"/>
        <v>0</v>
      </c>
      <c r="AG25" s="104">
        <f t="shared" si="36"/>
        <v>471.79999999999995</v>
      </c>
      <c r="AH25" s="123">
        <f t="shared" si="36"/>
        <v>0</v>
      </c>
      <c r="AI25" s="104">
        <f t="shared" ref="AI25" si="37">AH25/AG25*100</f>
        <v>0</v>
      </c>
      <c r="AJ25" s="123">
        <f t="shared" si="36"/>
        <v>517.1</v>
      </c>
      <c r="AK25" s="123">
        <f t="shared" si="36"/>
        <v>0</v>
      </c>
      <c r="AL25" s="123">
        <f t="shared" si="36"/>
        <v>0</v>
      </c>
      <c r="AM25" s="104">
        <f t="shared" si="36"/>
        <v>227.5</v>
      </c>
      <c r="AN25" s="123">
        <f t="shared" si="36"/>
        <v>0</v>
      </c>
      <c r="AO25" s="123">
        <f t="shared" si="36"/>
        <v>0</v>
      </c>
      <c r="AP25" s="104">
        <f t="shared" si="36"/>
        <v>285.3</v>
      </c>
      <c r="AQ25" s="123">
        <f t="shared" si="36"/>
        <v>0</v>
      </c>
      <c r="AR25" s="123">
        <f t="shared" si="36"/>
        <v>0</v>
      </c>
      <c r="AS25" s="340" t="s">
        <v>318</v>
      </c>
      <c r="AT25" s="349"/>
      <c r="AU25" s="121">
        <f t="shared" si="15"/>
        <v>4185.7</v>
      </c>
      <c r="AV25" s="121">
        <f t="shared" si="16"/>
        <v>0</v>
      </c>
      <c r="AW25" s="155">
        <f t="shared" si="17"/>
        <v>0</v>
      </c>
    </row>
    <row r="26" spans="1:49" s="31" customFormat="1" ht="36">
      <c r="A26" s="368"/>
      <c r="B26" s="332"/>
      <c r="C26" s="335"/>
      <c r="D26" s="338"/>
      <c r="E26" s="108" t="s">
        <v>3</v>
      </c>
      <c r="F26" s="123">
        <f>I26+L26+O26+R26+U26+X26+AA26+AD26+AG26+AJ26+AM26+AP26</f>
        <v>2547.4</v>
      </c>
      <c r="G26" s="123">
        <f>J26+M26+P26+S26+V26+Y26+AB26+AE26+AH26+AK26+AN26+AQ26</f>
        <v>0</v>
      </c>
      <c r="H26" s="123">
        <f>G26/F26*100</f>
        <v>0</v>
      </c>
      <c r="I26" s="104">
        <v>0</v>
      </c>
      <c r="J26" s="104">
        <v>0</v>
      </c>
      <c r="K26" s="104">
        <v>0</v>
      </c>
      <c r="L26" s="126">
        <v>124.5</v>
      </c>
      <c r="M26" s="104">
        <v>0</v>
      </c>
      <c r="N26" s="123">
        <v>0</v>
      </c>
      <c r="O26" s="104">
        <f>124.5+697.2</f>
        <v>821.7</v>
      </c>
      <c r="P26" s="104">
        <v>0</v>
      </c>
      <c r="Q26" s="123">
        <v>0</v>
      </c>
      <c r="R26" s="104">
        <v>124.5</v>
      </c>
      <c r="S26" s="104">
        <v>0</v>
      </c>
      <c r="T26" s="123">
        <v>0</v>
      </c>
      <c r="U26" s="105">
        <v>141.4</v>
      </c>
      <c r="V26" s="105">
        <v>0</v>
      </c>
      <c r="W26" s="105">
        <v>0</v>
      </c>
      <c r="X26" s="105">
        <v>141.4</v>
      </c>
      <c r="Y26" s="105">
        <v>0</v>
      </c>
      <c r="Z26" s="105">
        <f>Y26/X26*100</f>
        <v>0</v>
      </c>
      <c r="AA26" s="105">
        <v>165.8</v>
      </c>
      <c r="AB26" s="105">
        <v>0</v>
      </c>
      <c r="AC26" s="105">
        <f>AB26/AA26*100</f>
        <v>0</v>
      </c>
      <c r="AD26" s="105">
        <v>165.8</v>
      </c>
      <c r="AE26" s="105">
        <v>0</v>
      </c>
      <c r="AF26" s="105">
        <f>AE26/AD26*100</f>
        <v>0</v>
      </c>
      <c r="AG26" s="105">
        <f>140.5+50+72.7</f>
        <v>263.2</v>
      </c>
      <c r="AH26" s="105">
        <v>0</v>
      </c>
      <c r="AI26" s="105">
        <f>AH26/AG26*100</f>
        <v>0</v>
      </c>
      <c r="AJ26" s="104">
        <v>235.9</v>
      </c>
      <c r="AK26" s="104">
        <v>0</v>
      </c>
      <c r="AL26" s="104">
        <v>0</v>
      </c>
      <c r="AM26" s="105">
        <v>143.19999999999999</v>
      </c>
      <c r="AN26" s="105">
        <v>0</v>
      </c>
      <c r="AO26" s="105">
        <v>0</v>
      </c>
      <c r="AP26" s="104">
        <v>220</v>
      </c>
      <c r="AQ26" s="104"/>
      <c r="AR26" s="104"/>
      <c r="AS26" s="341"/>
      <c r="AT26" s="350"/>
      <c r="AU26" s="121">
        <f t="shared" si="15"/>
        <v>1948.3000000000002</v>
      </c>
      <c r="AV26" s="121">
        <f t="shared" si="16"/>
        <v>0</v>
      </c>
      <c r="AW26" s="155">
        <f t="shared" si="17"/>
        <v>0</v>
      </c>
    </row>
    <row r="27" spans="1:49" s="31" customFormat="1" ht="12.75">
      <c r="A27" s="368"/>
      <c r="B27" s="332"/>
      <c r="C27" s="335"/>
      <c r="D27" s="338"/>
      <c r="E27" s="108" t="s">
        <v>44</v>
      </c>
      <c r="F27" s="123">
        <f t="shared" ref="F27:F28" si="38">I27+L27+O27+R27+U27+X27+AA27+AD27+AG27+AJ27+AM27+AP27</f>
        <v>2668.2000000000003</v>
      </c>
      <c r="G27" s="123">
        <f t="shared" ref="G27:G28" si="39">J27+M27+P27+S27+V27+Y27+AB27+AE27+AH27+AK27+AN27+AQ27</f>
        <v>0</v>
      </c>
      <c r="H27" s="123">
        <v>0</v>
      </c>
      <c r="I27" s="123">
        <v>208.8</v>
      </c>
      <c r="J27" s="123">
        <v>0</v>
      </c>
      <c r="K27" s="123">
        <v>0</v>
      </c>
      <c r="L27" s="123">
        <v>260.39999999999998</v>
      </c>
      <c r="M27" s="123">
        <v>0</v>
      </c>
      <c r="N27" s="123">
        <v>0</v>
      </c>
      <c r="O27" s="123">
        <v>217.5</v>
      </c>
      <c r="P27" s="123">
        <v>0</v>
      </c>
      <c r="Q27" s="123">
        <v>0</v>
      </c>
      <c r="R27" s="123">
        <v>228.5</v>
      </c>
      <c r="S27" s="123">
        <v>0</v>
      </c>
      <c r="T27" s="123">
        <v>0</v>
      </c>
      <c r="U27" s="117">
        <v>236.6</v>
      </c>
      <c r="V27" s="117">
        <v>0</v>
      </c>
      <c r="W27" s="117">
        <v>0</v>
      </c>
      <c r="X27" s="117">
        <v>275.10000000000002</v>
      </c>
      <c r="Y27" s="117">
        <v>0</v>
      </c>
      <c r="Z27" s="117">
        <v>0</v>
      </c>
      <c r="AA27" s="123">
        <v>316.60000000000002</v>
      </c>
      <c r="AB27" s="123">
        <v>0</v>
      </c>
      <c r="AC27" s="123">
        <v>0</v>
      </c>
      <c r="AD27" s="117">
        <v>285.3</v>
      </c>
      <c r="AE27" s="117">
        <v>0</v>
      </c>
      <c r="AF27" s="117">
        <v>0</v>
      </c>
      <c r="AG27" s="117">
        <v>208.6</v>
      </c>
      <c r="AH27" s="117">
        <v>0</v>
      </c>
      <c r="AI27" s="117">
        <v>0</v>
      </c>
      <c r="AJ27" s="123">
        <v>281.2</v>
      </c>
      <c r="AK27" s="123">
        <v>0</v>
      </c>
      <c r="AL27" s="123">
        <v>0</v>
      </c>
      <c r="AM27" s="117">
        <v>84.3</v>
      </c>
      <c r="AN27" s="117">
        <v>0</v>
      </c>
      <c r="AO27" s="117">
        <v>0</v>
      </c>
      <c r="AP27" s="117">
        <v>65.3</v>
      </c>
      <c r="AQ27" s="123"/>
      <c r="AR27" s="123"/>
      <c r="AS27" s="341"/>
      <c r="AT27" s="350"/>
      <c r="AU27" s="121"/>
      <c r="AV27" s="121"/>
      <c r="AW27" s="155"/>
    </row>
    <row r="28" spans="1:49" s="31" customFormat="1" ht="27" customHeight="1">
      <c r="A28" s="369"/>
      <c r="B28" s="333"/>
      <c r="C28" s="336"/>
      <c r="D28" s="339"/>
      <c r="E28" s="109" t="s">
        <v>257</v>
      </c>
      <c r="F28" s="123">
        <f t="shared" si="38"/>
        <v>0</v>
      </c>
      <c r="G28" s="123">
        <f t="shared" si="39"/>
        <v>0</v>
      </c>
      <c r="H28" s="123">
        <v>0</v>
      </c>
      <c r="I28" s="123">
        <v>0</v>
      </c>
      <c r="J28" s="123">
        <v>0</v>
      </c>
      <c r="K28" s="123">
        <v>0</v>
      </c>
      <c r="L28" s="123">
        <v>0</v>
      </c>
      <c r="M28" s="123">
        <v>0</v>
      </c>
      <c r="N28" s="123">
        <v>0</v>
      </c>
      <c r="O28" s="123">
        <v>0</v>
      </c>
      <c r="P28" s="123">
        <v>0</v>
      </c>
      <c r="Q28" s="123">
        <v>0</v>
      </c>
      <c r="R28" s="123">
        <v>0</v>
      </c>
      <c r="S28" s="123">
        <v>0</v>
      </c>
      <c r="T28" s="123">
        <v>0</v>
      </c>
      <c r="U28" s="117">
        <v>0</v>
      </c>
      <c r="V28" s="117">
        <v>0</v>
      </c>
      <c r="W28" s="117">
        <v>0</v>
      </c>
      <c r="X28" s="117">
        <v>0</v>
      </c>
      <c r="Y28" s="117">
        <v>0</v>
      </c>
      <c r="Z28" s="117">
        <v>0</v>
      </c>
      <c r="AA28" s="123">
        <v>0</v>
      </c>
      <c r="AB28" s="123">
        <v>0</v>
      </c>
      <c r="AC28" s="123">
        <v>0</v>
      </c>
      <c r="AD28" s="117">
        <v>0</v>
      </c>
      <c r="AE28" s="117">
        <v>0</v>
      </c>
      <c r="AF28" s="117">
        <v>0</v>
      </c>
      <c r="AG28" s="117">
        <v>0</v>
      </c>
      <c r="AH28" s="117">
        <v>0</v>
      </c>
      <c r="AI28" s="117">
        <v>0</v>
      </c>
      <c r="AJ28" s="123">
        <v>0</v>
      </c>
      <c r="AK28" s="123">
        <v>0</v>
      </c>
      <c r="AL28" s="123">
        <v>0</v>
      </c>
      <c r="AM28" s="117">
        <v>0</v>
      </c>
      <c r="AN28" s="117">
        <v>0</v>
      </c>
      <c r="AO28" s="117">
        <v>0</v>
      </c>
      <c r="AP28" s="117">
        <v>0</v>
      </c>
      <c r="AQ28" s="123"/>
      <c r="AR28" s="123"/>
      <c r="AS28" s="342"/>
      <c r="AT28" s="351"/>
      <c r="AU28" s="121"/>
      <c r="AV28" s="121"/>
      <c r="AW28" s="155"/>
    </row>
    <row r="29" spans="1:49" s="31" customFormat="1" ht="21" customHeight="1">
      <c r="A29" s="367" t="s">
        <v>341</v>
      </c>
      <c r="B29" s="331" t="s">
        <v>342</v>
      </c>
      <c r="C29" s="334" t="s">
        <v>268</v>
      </c>
      <c r="D29" s="337" t="s">
        <v>343</v>
      </c>
      <c r="E29" s="107" t="s">
        <v>42</v>
      </c>
      <c r="F29" s="123">
        <f>SUM(F30:F31)</f>
        <v>150</v>
      </c>
      <c r="G29" s="123">
        <f>SUM(G30:G31)</f>
        <v>0</v>
      </c>
      <c r="H29" s="123">
        <f>G29/F29*100</f>
        <v>0</v>
      </c>
      <c r="I29" s="123">
        <f>SUM(I30:I31)</f>
        <v>0</v>
      </c>
      <c r="J29" s="123">
        <f>SUM(J30:J31)</f>
        <v>0</v>
      </c>
      <c r="K29" s="123">
        <f>SUM(K30:K31)</f>
        <v>0</v>
      </c>
      <c r="L29" s="123">
        <f>SUM(L30:L31)</f>
        <v>0</v>
      </c>
      <c r="M29" s="123">
        <f>SUM(M30:M31)</f>
        <v>0</v>
      </c>
      <c r="N29" s="123">
        <v>0</v>
      </c>
      <c r="O29" s="123">
        <f>SUM(O30:O31)</f>
        <v>150</v>
      </c>
      <c r="P29" s="123">
        <f>SUM(P30:P31)</f>
        <v>0</v>
      </c>
      <c r="Q29" s="123">
        <v>0</v>
      </c>
      <c r="R29" s="123">
        <f>SUM(R30:R31)</f>
        <v>0</v>
      </c>
      <c r="S29" s="123">
        <f>SUM(S30:S31)</f>
        <v>0</v>
      </c>
      <c r="T29" s="123">
        <v>0</v>
      </c>
      <c r="U29" s="123">
        <f t="shared" ref="U29:AH29" si="40">SUM(U30:U31)</f>
        <v>0</v>
      </c>
      <c r="V29" s="123">
        <f t="shared" si="40"/>
        <v>0</v>
      </c>
      <c r="W29" s="123">
        <f t="shared" si="40"/>
        <v>0</v>
      </c>
      <c r="X29" s="123">
        <f t="shared" si="40"/>
        <v>0</v>
      </c>
      <c r="Y29" s="123">
        <f t="shared" si="40"/>
        <v>0</v>
      </c>
      <c r="Z29" s="123">
        <f t="shared" si="40"/>
        <v>0</v>
      </c>
      <c r="AA29" s="104">
        <f t="shared" si="40"/>
        <v>0</v>
      </c>
      <c r="AB29" s="123">
        <f t="shared" si="40"/>
        <v>0</v>
      </c>
      <c r="AC29" s="123">
        <f t="shared" si="40"/>
        <v>0</v>
      </c>
      <c r="AD29" s="104">
        <f t="shared" si="40"/>
        <v>0</v>
      </c>
      <c r="AE29" s="104">
        <f t="shared" si="40"/>
        <v>0</v>
      </c>
      <c r="AF29" s="104">
        <f t="shared" si="40"/>
        <v>0</v>
      </c>
      <c r="AG29" s="104">
        <f t="shared" si="40"/>
        <v>0</v>
      </c>
      <c r="AH29" s="123">
        <f t="shared" si="40"/>
        <v>0</v>
      </c>
      <c r="AI29" s="117">
        <v>0</v>
      </c>
      <c r="AJ29" s="123">
        <f t="shared" ref="AJ29:AR29" si="41">SUM(AJ30:AJ31)</f>
        <v>0</v>
      </c>
      <c r="AK29" s="123">
        <f t="shared" si="41"/>
        <v>0</v>
      </c>
      <c r="AL29" s="123">
        <f t="shared" si="41"/>
        <v>0</v>
      </c>
      <c r="AM29" s="104">
        <f t="shared" si="41"/>
        <v>0</v>
      </c>
      <c r="AN29" s="123">
        <f t="shared" si="41"/>
        <v>0</v>
      </c>
      <c r="AO29" s="123">
        <f t="shared" si="41"/>
        <v>0</v>
      </c>
      <c r="AP29" s="104">
        <f t="shared" si="41"/>
        <v>0</v>
      </c>
      <c r="AQ29" s="123">
        <f t="shared" si="41"/>
        <v>0</v>
      </c>
      <c r="AR29" s="123">
        <f t="shared" si="41"/>
        <v>0</v>
      </c>
      <c r="AS29" s="340" t="s">
        <v>298</v>
      </c>
      <c r="AT29" s="349"/>
      <c r="AU29" s="121">
        <f t="shared" si="15"/>
        <v>150</v>
      </c>
      <c r="AV29" s="121">
        <f t="shared" si="16"/>
        <v>0</v>
      </c>
      <c r="AW29" s="155">
        <f t="shared" si="17"/>
        <v>0</v>
      </c>
    </row>
    <row r="30" spans="1:49" s="31" customFormat="1" ht="44.25" customHeight="1">
      <c r="A30" s="368"/>
      <c r="B30" s="332"/>
      <c r="C30" s="335"/>
      <c r="D30" s="338"/>
      <c r="E30" s="108" t="s">
        <v>3</v>
      </c>
      <c r="F30" s="123">
        <f>I30+L30+O30+R30+U30+X30+AA30+AD30+AG30+AJ30+AM30+AP30</f>
        <v>0</v>
      </c>
      <c r="G30" s="123">
        <f>J30+M30+P30+S30+V30+Y30+AB30+AE30+AH30+AK30+AN30+AQ30</f>
        <v>0</v>
      </c>
      <c r="H30" s="123">
        <v>0</v>
      </c>
      <c r="I30" s="123">
        <v>0</v>
      </c>
      <c r="J30" s="123">
        <v>0</v>
      </c>
      <c r="K30" s="123">
        <v>0</v>
      </c>
      <c r="L30" s="123">
        <v>0</v>
      </c>
      <c r="M30" s="123">
        <v>0</v>
      </c>
      <c r="N30" s="123">
        <v>0</v>
      </c>
      <c r="O30" s="123">
        <v>0</v>
      </c>
      <c r="P30" s="123">
        <v>0</v>
      </c>
      <c r="Q30" s="123">
        <v>0</v>
      </c>
      <c r="R30" s="123">
        <v>0</v>
      </c>
      <c r="S30" s="123">
        <v>0</v>
      </c>
      <c r="T30" s="123">
        <v>0</v>
      </c>
      <c r="U30" s="117">
        <v>0</v>
      </c>
      <c r="V30" s="117">
        <v>0</v>
      </c>
      <c r="W30" s="117">
        <v>0</v>
      </c>
      <c r="X30" s="117">
        <v>0</v>
      </c>
      <c r="Y30" s="117">
        <v>0</v>
      </c>
      <c r="Z30" s="117">
        <v>0</v>
      </c>
      <c r="AA30" s="123">
        <v>0</v>
      </c>
      <c r="AB30" s="123">
        <v>0</v>
      </c>
      <c r="AC30" s="123">
        <v>0</v>
      </c>
      <c r="AD30" s="117">
        <v>0</v>
      </c>
      <c r="AE30" s="117">
        <v>0</v>
      </c>
      <c r="AF30" s="117">
        <v>0</v>
      </c>
      <c r="AG30" s="117">
        <v>0</v>
      </c>
      <c r="AH30" s="117">
        <v>0</v>
      </c>
      <c r="AI30" s="117">
        <v>0</v>
      </c>
      <c r="AJ30" s="123">
        <v>0</v>
      </c>
      <c r="AK30" s="123">
        <v>0</v>
      </c>
      <c r="AL30" s="123">
        <v>0</v>
      </c>
      <c r="AM30" s="117">
        <v>0</v>
      </c>
      <c r="AN30" s="117">
        <v>0</v>
      </c>
      <c r="AO30" s="117">
        <v>0</v>
      </c>
      <c r="AP30" s="117">
        <v>0</v>
      </c>
      <c r="AQ30" s="123"/>
      <c r="AR30" s="123"/>
      <c r="AS30" s="341"/>
      <c r="AT30" s="350"/>
      <c r="AU30" s="121"/>
      <c r="AV30" s="121"/>
      <c r="AW30" s="155"/>
    </row>
    <row r="31" spans="1:49" s="31" customFormat="1" ht="33" customHeight="1">
      <c r="A31" s="368"/>
      <c r="B31" s="332"/>
      <c r="C31" s="335"/>
      <c r="D31" s="338"/>
      <c r="E31" s="108" t="s">
        <v>44</v>
      </c>
      <c r="F31" s="123">
        <f t="shared" ref="F31" si="42">I31+L31+O31+R31+U31+X31+AA31+AD31+AG31+AJ31+AM31+AP31</f>
        <v>150</v>
      </c>
      <c r="G31" s="123">
        <f t="shared" ref="G31" si="43">J31+M31+P31+S31+V31+Y31+AB31+AE31+AH31+AK31+AN31+AQ31</f>
        <v>0</v>
      </c>
      <c r="H31" s="123">
        <v>0</v>
      </c>
      <c r="I31" s="123">
        <v>0</v>
      </c>
      <c r="J31" s="123">
        <v>0</v>
      </c>
      <c r="K31" s="123">
        <v>0</v>
      </c>
      <c r="L31" s="123">
        <v>0</v>
      </c>
      <c r="M31" s="123">
        <v>0</v>
      </c>
      <c r="N31" s="123">
        <v>0</v>
      </c>
      <c r="O31" s="123">
        <v>150</v>
      </c>
      <c r="P31" s="123">
        <v>0</v>
      </c>
      <c r="Q31" s="123">
        <v>0</v>
      </c>
      <c r="R31" s="123">
        <v>0</v>
      </c>
      <c r="S31" s="123">
        <v>0</v>
      </c>
      <c r="T31" s="123">
        <v>0</v>
      </c>
      <c r="U31" s="117">
        <v>0</v>
      </c>
      <c r="V31" s="117">
        <v>0</v>
      </c>
      <c r="W31" s="117">
        <v>0</v>
      </c>
      <c r="X31" s="117">
        <v>0</v>
      </c>
      <c r="Y31" s="117">
        <v>0</v>
      </c>
      <c r="Z31" s="117">
        <v>0</v>
      </c>
      <c r="AA31" s="123">
        <v>0</v>
      </c>
      <c r="AB31" s="123">
        <v>0</v>
      </c>
      <c r="AC31" s="123">
        <v>0</v>
      </c>
      <c r="AD31" s="117">
        <v>0</v>
      </c>
      <c r="AE31" s="117">
        <v>0</v>
      </c>
      <c r="AF31" s="117">
        <v>0</v>
      </c>
      <c r="AG31" s="117">
        <v>0</v>
      </c>
      <c r="AH31" s="117">
        <v>0</v>
      </c>
      <c r="AI31" s="117">
        <v>0</v>
      </c>
      <c r="AJ31" s="123">
        <v>0</v>
      </c>
      <c r="AK31" s="123">
        <v>0</v>
      </c>
      <c r="AL31" s="123">
        <v>0</v>
      </c>
      <c r="AM31" s="117">
        <v>0</v>
      </c>
      <c r="AN31" s="117">
        <v>0</v>
      </c>
      <c r="AO31" s="117">
        <v>0</v>
      </c>
      <c r="AP31" s="117">
        <v>0</v>
      </c>
      <c r="AQ31" s="123"/>
      <c r="AR31" s="123"/>
      <c r="AS31" s="341"/>
      <c r="AT31" s="350"/>
      <c r="AU31" s="121"/>
      <c r="AV31" s="121"/>
      <c r="AW31" s="155"/>
    </row>
    <row r="32" spans="1:49" s="31" customFormat="1" ht="24.75" customHeight="1">
      <c r="A32" s="352" t="s">
        <v>344</v>
      </c>
      <c r="B32" s="353"/>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4"/>
    </row>
    <row r="33" spans="1:49" s="100" customFormat="1" ht="20.25" customHeight="1">
      <c r="A33" s="355" t="s">
        <v>345</v>
      </c>
      <c r="B33" s="356"/>
      <c r="C33" s="356"/>
      <c r="D33" s="357"/>
      <c r="E33" s="129" t="s">
        <v>42</v>
      </c>
      <c r="F33" s="106">
        <f>F34+F35+F36</f>
        <v>33940.800000000003</v>
      </c>
      <c r="G33" s="106">
        <f t="shared" ref="G33:AR33" si="44">G34+G35+G36</f>
        <v>0</v>
      </c>
      <c r="H33" s="106">
        <f>G33/F33*100</f>
        <v>0</v>
      </c>
      <c r="I33" s="106">
        <f t="shared" si="44"/>
        <v>556</v>
      </c>
      <c r="J33" s="106">
        <f t="shared" si="44"/>
        <v>0</v>
      </c>
      <c r="K33" s="106">
        <f>J33/I33*100</f>
        <v>0</v>
      </c>
      <c r="L33" s="106">
        <f t="shared" si="44"/>
        <v>2428</v>
      </c>
      <c r="M33" s="106">
        <f t="shared" si="44"/>
        <v>0</v>
      </c>
      <c r="N33" s="106">
        <f>M33/L33*100</f>
        <v>0</v>
      </c>
      <c r="O33" s="106">
        <f t="shared" si="44"/>
        <v>2242</v>
      </c>
      <c r="P33" s="106">
        <f t="shared" si="44"/>
        <v>0</v>
      </c>
      <c r="Q33" s="106">
        <f>P33/O33*100</f>
        <v>0</v>
      </c>
      <c r="R33" s="106">
        <f t="shared" si="44"/>
        <v>3060</v>
      </c>
      <c r="S33" s="106">
        <f t="shared" si="44"/>
        <v>0</v>
      </c>
      <c r="T33" s="106">
        <f>S33/R33*100</f>
        <v>0</v>
      </c>
      <c r="U33" s="106">
        <f t="shared" si="44"/>
        <v>2489</v>
      </c>
      <c r="V33" s="106">
        <f t="shared" si="44"/>
        <v>0</v>
      </c>
      <c r="W33" s="106">
        <f t="shared" si="44"/>
        <v>0</v>
      </c>
      <c r="X33" s="106">
        <f t="shared" si="44"/>
        <v>2628</v>
      </c>
      <c r="Y33" s="106">
        <f t="shared" si="44"/>
        <v>0</v>
      </c>
      <c r="Z33" s="106">
        <f t="shared" si="44"/>
        <v>0</v>
      </c>
      <c r="AA33" s="106">
        <f t="shared" si="44"/>
        <v>3576</v>
      </c>
      <c r="AB33" s="106">
        <f t="shared" si="44"/>
        <v>0</v>
      </c>
      <c r="AC33" s="106">
        <f t="shared" si="44"/>
        <v>0</v>
      </c>
      <c r="AD33" s="106">
        <f t="shared" si="44"/>
        <v>2569</v>
      </c>
      <c r="AE33" s="106">
        <f t="shared" si="44"/>
        <v>0</v>
      </c>
      <c r="AF33" s="106">
        <f t="shared" ref="AF33:AF35" si="45">AE33/AD33*100</f>
        <v>0</v>
      </c>
      <c r="AG33" s="106">
        <f t="shared" si="44"/>
        <v>2544</v>
      </c>
      <c r="AH33" s="106">
        <f t="shared" si="44"/>
        <v>0</v>
      </c>
      <c r="AI33" s="106">
        <f t="shared" si="44"/>
        <v>0</v>
      </c>
      <c r="AJ33" s="106">
        <f t="shared" si="44"/>
        <v>2984</v>
      </c>
      <c r="AK33" s="106">
        <f t="shared" si="44"/>
        <v>0</v>
      </c>
      <c r="AL33" s="106">
        <f t="shared" si="44"/>
        <v>0</v>
      </c>
      <c r="AM33" s="106">
        <f t="shared" si="44"/>
        <v>2265.6</v>
      </c>
      <c r="AN33" s="106">
        <f t="shared" si="44"/>
        <v>0</v>
      </c>
      <c r="AO33" s="106">
        <f t="shared" si="44"/>
        <v>0</v>
      </c>
      <c r="AP33" s="106">
        <f t="shared" si="44"/>
        <v>6599.2</v>
      </c>
      <c r="AQ33" s="106">
        <f t="shared" si="44"/>
        <v>0</v>
      </c>
      <c r="AR33" s="106">
        <f t="shared" si="44"/>
        <v>0</v>
      </c>
      <c r="AS33" s="370"/>
      <c r="AT33" s="364"/>
      <c r="AU33" s="121">
        <f t="shared" ref="AU33:AU79" si="46">I33+L33+O33+R33+U33+X33+AA33+AD33+AG33</f>
        <v>22092</v>
      </c>
      <c r="AV33" s="121">
        <f t="shared" ref="AV33:AV79" si="47">J33+M33+P33+S33+V33+Y33+AB33+AE33+AH33</f>
        <v>0</v>
      </c>
      <c r="AW33" s="155">
        <f t="shared" ref="AW33:AW79" si="48">AV33/AU33*100</f>
        <v>0</v>
      </c>
    </row>
    <row r="34" spans="1:49" s="100" customFormat="1" ht="36">
      <c r="A34" s="358"/>
      <c r="B34" s="359"/>
      <c r="C34" s="359"/>
      <c r="D34" s="360"/>
      <c r="E34" s="111" t="s">
        <v>3</v>
      </c>
      <c r="F34" s="106">
        <f>F43</f>
        <v>30600.9</v>
      </c>
      <c r="G34" s="106">
        <f t="shared" ref="G34:AR36" si="49">G43</f>
        <v>0</v>
      </c>
      <c r="H34" s="106">
        <f>G34/F34*100</f>
        <v>0</v>
      </c>
      <c r="I34" s="106">
        <f t="shared" si="49"/>
        <v>0</v>
      </c>
      <c r="J34" s="106">
        <f t="shared" si="49"/>
        <v>0</v>
      </c>
      <c r="K34" s="106" t="e">
        <f t="shared" ref="K34:K35" si="50">J34/I34*100</f>
        <v>#DIV/0!</v>
      </c>
      <c r="L34" s="106">
        <f t="shared" si="49"/>
        <v>2178</v>
      </c>
      <c r="M34" s="106">
        <f t="shared" si="49"/>
        <v>0</v>
      </c>
      <c r="N34" s="106">
        <f t="shared" ref="N34:N35" si="51">M34/L34*100</f>
        <v>0</v>
      </c>
      <c r="O34" s="106">
        <f t="shared" si="49"/>
        <v>1989</v>
      </c>
      <c r="P34" s="106">
        <f t="shared" si="49"/>
        <v>0</v>
      </c>
      <c r="Q34" s="106">
        <f t="shared" ref="Q34:Q35" si="52">P34/O34*100</f>
        <v>0</v>
      </c>
      <c r="R34" s="106">
        <f t="shared" si="49"/>
        <v>3010</v>
      </c>
      <c r="S34" s="106">
        <f t="shared" si="49"/>
        <v>0</v>
      </c>
      <c r="T34" s="106">
        <f t="shared" ref="T34:T35" si="53">S34/R34*100</f>
        <v>0</v>
      </c>
      <c r="U34" s="106">
        <f t="shared" si="49"/>
        <v>2037</v>
      </c>
      <c r="V34" s="106">
        <f t="shared" si="49"/>
        <v>0</v>
      </c>
      <c r="W34" s="106">
        <f t="shared" si="49"/>
        <v>0</v>
      </c>
      <c r="X34" s="106">
        <f t="shared" si="49"/>
        <v>2578</v>
      </c>
      <c r="Y34" s="106">
        <f t="shared" si="49"/>
        <v>0</v>
      </c>
      <c r="Z34" s="106">
        <f t="shared" si="49"/>
        <v>0</v>
      </c>
      <c r="AA34" s="106">
        <f t="shared" si="49"/>
        <v>3526</v>
      </c>
      <c r="AB34" s="106">
        <f t="shared" si="49"/>
        <v>0</v>
      </c>
      <c r="AC34" s="106">
        <f t="shared" si="49"/>
        <v>0</v>
      </c>
      <c r="AD34" s="106">
        <f t="shared" si="49"/>
        <v>2117</v>
      </c>
      <c r="AE34" s="106">
        <f t="shared" si="49"/>
        <v>0</v>
      </c>
      <c r="AF34" s="106">
        <f t="shared" si="45"/>
        <v>0</v>
      </c>
      <c r="AG34" s="106">
        <f t="shared" si="49"/>
        <v>2494</v>
      </c>
      <c r="AH34" s="106">
        <f t="shared" si="49"/>
        <v>0</v>
      </c>
      <c r="AI34" s="106">
        <f t="shared" si="49"/>
        <v>0</v>
      </c>
      <c r="AJ34" s="106">
        <f t="shared" si="49"/>
        <v>2934</v>
      </c>
      <c r="AK34" s="106">
        <f t="shared" si="49"/>
        <v>0</v>
      </c>
      <c r="AL34" s="106">
        <f t="shared" si="49"/>
        <v>0</v>
      </c>
      <c r="AM34" s="106">
        <f t="shared" si="49"/>
        <v>1812</v>
      </c>
      <c r="AN34" s="106">
        <f t="shared" si="49"/>
        <v>0</v>
      </c>
      <c r="AO34" s="106">
        <f t="shared" si="49"/>
        <v>0</v>
      </c>
      <c r="AP34" s="106">
        <f t="shared" si="49"/>
        <v>5925.9</v>
      </c>
      <c r="AQ34" s="106">
        <f t="shared" si="49"/>
        <v>0</v>
      </c>
      <c r="AR34" s="106">
        <f t="shared" si="49"/>
        <v>0</v>
      </c>
      <c r="AS34" s="371"/>
      <c r="AT34" s="365"/>
      <c r="AU34" s="121">
        <f t="shared" si="46"/>
        <v>19929</v>
      </c>
      <c r="AV34" s="121">
        <f t="shared" si="47"/>
        <v>0</v>
      </c>
      <c r="AW34" s="155">
        <f t="shared" si="48"/>
        <v>0</v>
      </c>
    </row>
    <row r="35" spans="1:49" s="100" customFormat="1" ht="24">
      <c r="A35" s="358"/>
      <c r="B35" s="359"/>
      <c r="C35" s="359"/>
      <c r="D35" s="360"/>
      <c r="E35" s="111" t="s">
        <v>44</v>
      </c>
      <c r="F35" s="106">
        <f>F44</f>
        <v>3339.8999999999996</v>
      </c>
      <c r="G35" s="106">
        <f t="shared" si="49"/>
        <v>0</v>
      </c>
      <c r="H35" s="106">
        <f>G35/F35*100</f>
        <v>0</v>
      </c>
      <c r="I35" s="106">
        <f t="shared" si="49"/>
        <v>556</v>
      </c>
      <c r="J35" s="106">
        <f t="shared" si="49"/>
        <v>0</v>
      </c>
      <c r="K35" s="106">
        <f t="shared" si="50"/>
        <v>0</v>
      </c>
      <c r="L35" s="106">
        <f t="shared" si="49"/>
        <v>250</v>
      </c>
      <c r="M35" s="106">
        <f t="shared" si="49"/>
        <v>0</v>
      </c>
      <c r="N35" s="106">
        <f t="shared" si="51"/>
        <v>0</v>
      </c>
      <c r="O35" s="106">
        <f t="shared" si="49"/>
        <v>253</v>
      </c>
      <c r="P35" s="106">
        <f t="shared" si="49"/>
        <v>0</v>
      </c>
      <c r="Q35" s="106">
        <f t="shared" si="52"/>
        <v>0</v>
      </c>
      <c r="R35" s="106">
        <f t="shared" si="49"/>
        <v>50</v>
      </c>
      <c r="S35" s="106">
        <f t="shared" si="49"/>
        <v>0</v>
      </c>
      <c r="T35" s="106">
        <f t="shared" si="53"/>
        <v>0</v>
      </c>
      <c r="U35" s="106">
        <f t="shared" si="49"/>
        <v>452</v>
      </c>
      <c r="V35" s="106">
        <f t="shared" si="49"/>
        <v>0</v>
      </c>
      <c r="W35" s="106">
        <f t="shared" si="49"/>
        <v>0</v>
      </c>
      <c r="X35" s="106">
        <f t="shared" si="49"/>
        <v>50</v>
      </c>
      <c r="Y35" s="106">
        <f t="shared" si="49"/>
        <v>0</v>
      </c>
      <c r="Z35" s="106">
        <f t="shared" si="49"/>
        <v>0</v>
      </c>
      <c r="AA35" s="106">
        <f t="shared" si="49"/>
        <v>50</v>
      </c>
      <c r="AB35" s="106">
        <f t="shared" si="49"/>
        <v>0</v>
      </c>
      <c r="AC35" s="106">
        <f t="shared" si="49"/>
        <v>0</v>
      </c>
      <c r="AD35" s="106">
        <f t="shared" si="49"/>
        <v>452</v>
      </c>
      <c r="AE35" s="106">
        <f t="shared" si="49"/>
        <v>0</v>
      </c>
      <c r="AF35" s="106">
        <f t="shared" si="45"/>
        <v>0</v>
      </c>
      <c r="AG35" s="106">
        <f t="shared" si="49"/>
        <v>50</v>
      </c>
      <c r="AH35" s="106">
        <f t="shared" si="49"/>
        <v>0</v>
      </c>
      <c r="AI35" s="106">
        <f t="shared" si="49"/>
        <v>0</v>
      </c>
      <c r="AJ35" s="106">
        <f t="shared" si="49"/>
        <v>50</v>
      </c>
      <c r="AK35" s="106">
        <f t="shared" si="49"/>
        <v>0</v>
      </c>
      <c r="AL35" s="106">
        <f t="shared" si="49"/>
        <v>0</v>
      </c>
      <c r="AM35" s="106">
        <f t="shared" si="49"/>
        <v>453.6</v>
      </c>
      <c r="AN35" s="106">
        <f t="shared" si="49"/>
        <v>0</v>
      </c>
      <c r="AO35" s="106">
        <f t="shared" si="49"/>
        <v>0</v>
      </c>
      <c r="AP35" s="106">
        <f t="shared" si="49"/>
        <v>673.3</v>
      </c>
      <c r="AQ35" s="106">
        <f t="shared" si="49"/>
        <v>0</v>
      </c>
      <c r="AR35" s="106">
        <f t="shared" si="49"/>
        <v>0</v>
      </c>
      <c r="AS35" s="371"/>
      <c r="AT35" s="365"/>
      <c r="AU35" s="121">
        <f t="shared" si="46"/>
        <v>2163</v>
      </c>
      <c r="AV35" s="121">
        <f t="shared" si="47"/>
        <v>0</v>
      </c>
      <c r="AW35" s="155">
        <f t="shared" si="48"/>
        <v>0</v>
      </c>
    </row>
    <row r="36" spans="1:49" s="100" customFormat="1" ht="24">
      <c r="A36" s="361"/>
      <c r="B36" s="362"/>
      <c r="C36" s="362"/>
      <c r="D36" s="363"/>
      <c r="E36" s="110" t="s">
        <v>257</v>
      </c>
      <c r="F36" s="106">
        <f>F45</f>
        <v>0</v>
      </c>
      <c r="G36" s="106">
        <f t="shared" si="49"/>
        <v>0</v>
      </c>
      <c r="H36" s="106">
        <v>0</v>
      </c>
      <c r="I36" s="106">
        <f t="shared" si="49"/>
        <v>0</v>
      </c>
      <c r="J36" s="106">
        <f t="shared" si="49"/>
        <v>0</v>
      </c>
      <c r="K36" s="106">
        <v>0</v>
      </c>
      <c r="L36" s="106">
        <f t="shared" si="49"/>
        <v>0</v>
      </c>
      <c r="M36" s="106">
        <f t="shared" si="49"/>
        <v>0</v>
      </c>
      <c r="N36" s="106">
        <v>0</v>
      </c>
      <c r="O36" s="106">
        <f t="shared" si="49"/>
        <v>0</v>
      </c>
      <c r="P36" s="106">
        <f t="shared" si="49"/>
        <v>0</v>
      </c>
      <c r="Q36" s="106">
        <f t="shared" si="49"/>
        <v>0</v>
      </c>
      <c r="R36" s="106">
        <f t="shared" si="49"/>
        <v>0</v>
      </c>
      <c r="S36" s="106">
        <f t="shared" si="49"/>
        <v>0</v>
      </c>
      <c r="T36" s="106">
        <v>0</v>
      </c>
      <c r="U36" s="106">
        <f t="shared" si="49"/>
        <v>0</v>
      </c>
      <c r="V36" s="106">
        <f t="shared" si="49"/>
        <v>0</v>
      </c>
      <c r="W36" s="106">
        <f t="shared" si="49"/>
        <v>0</v>
      </c>
      <c r="X36" s="106">
        <f t="shared" si="49"/>
        <v>0</v>
      </c>
      <c r="Y36" s="106">
        <f t="shared" si="49"/>
        <v>0</v>
      </c>
      <c r="Z36" s="106">
        <f t="shared" si="49"/>
        <v>0</v>
      </c>
      <c r="AA36" s="106">
        <f t="shared" si="49"/>
        <v>0</v>
      </c>
      <c r="AB36" s="106">
        <f t="shared" si="49"/>
        <v>0</v>
      </c>
      <c r="AC36" s="106">
        <f t="shared" si="49"/>
        <v>0</v>
      </c>
      <c r="AD36" s="106">
        <f t="shared" si="49"/>
        <v>0</v>
      </c>
      <c r="AE36" s="106">
        <f t="shared" si="49"/>
        <v>0</v>
      </c>
      <c r="AF36" s="106">
        <f t="shared" si="49"/>
        <v>0</v>
      </c>
      <c r="AG36" s="106">
        <f t="shared" si="49"/>
        <v>0</v>
      </c>
      <c r="AH36" s="106">
        <f t="shared" si="49"/>
        <v>0</v>
      </c>
      <c r="AI36" s="106">
        <f t="shared" si="49"/>
        <v>0</v>
      </c>
      <c r="AJ36" s="106">
        <f t="shared" si="49"/>
        <v>0</v>
      </c>
      <c r="AK36" s="106">
        <f t="shared" si="49"/>
        <v>0</v>
      </c>
      <c r="AL36" s="106">
        <f t="shared" si="49"/>
        <v>0</v>
      </c>
      <c r="AM36" s="106">
        <f t="shared" si="49"/>
        <v>0</v>
      </c>
      <c r="AN36" s="106">
        <f t="shared" si="49"/>
        <v>0</v>
      </c>
      <c r="AO36" s="106">
        <f t="shared" si="49"/>
        <v>0</v>
      </c>
      <c r="AP36" s="106">
        <f t="shared" si="49"/>
        <v>0</v>
      </c>
      <c r="AQ36" s="106">
        <f t="shared" si="49"/>
        <v>0</v>
      </c>
      <c r="AR36" s="106">
        <f t="shared" si="49"/>
        <v>0</v>
      </c>
      <c r="AS36" s="372"/>
      <c r="AT36" s="366"/>
      <c r="AU36" s="121"/>
      <c r="AV36" s="121"/>
      <c r="AW36" s="155"/>
    </row>
    <row r="37" spans="1:49" s="100" customFormat="1" ht="112.5" customHeight="1">
      <c r="A37" s="159" t="s">
        <v>347</v>
      </c>
      <c r="B37" s="161" t="s">
        <v>348</v>
      </c>
      <c r="C37" s="162" t="s">
        <v>349</v>
      </c>
      <c r="D37" s="170" t="s">
        <v>350</v>
      </c>
      <c r="E37" s="143" t="s">
        <v>275</v>
      </c>
      <c r="F37" s="149" t="s">
        <v>279</v>
      </c>
      <c r="G37" s="149" t="s">
        <v>279</v>
      </c>
      <c r="H37" s="149" t="s">
        <v>279</v>
      </c>
      <c r="I37" s="149" t="s">
        <v>279</v>
      </c>
      <c r="J37" s="149" t="s">
        <v>279</v>
      </c>
      <c r="K37" s="149" t="s">
        <v>279</v>
      </c>
      <c r="L37" s="149" t="s">
        <v>279</v>
      </c>
      <c r="M37" s="149" t="s">
        <v>279</v>
      </c>
      <c r="N37" s="149" t="s">
        <v>279</v>
      </c>
      <c r="O37" s="149" t="s">
        <v>279</v>
      </c>
      <c r="P37" s="149" t="s">
        <v>279</v>
      </c>
      <c r="Q37" s="149" t="s">
        <v>279</v>
      </c>
      <c r="R37" s="149" t="s">
        <v>279</v>
      </c>
      <c r="S37" s="149" t="s">
        <v>279</v>
      </c>
      <c r="T37" s="149" t="s">
        <v>279</v>
      </c>
      <c r="U37" s="149" t="s">
        <v>279</v>
      </c>
      <c r="V37" s="149" t="s">
        <v>279</v>
      </c>
      <c r="W37" s="149" t="s">
        <v>279</v>
      </c>
      <c r="X37" s="149" t="s">
        <v>279</v>
      </c>
      <c r="Y37" s="149" t="s">
        <v>279</v>
      </c>
      <c r="Z37" s="149" t="s">
        <v>279</v>
      </c>
      <c r="AA37" s="149" t="s">
        <v>279</v>
      </c>
      <c r="AB37" s="149" t="s">
        <v>279</v>
      </c>
      <c r="AC37" s="149" t="s">
        <v>279</v>
      </c>
      <c r="AD37" s="149" t="s">
        <v>279</v>
      </c>
      <c r="AE37" s="149" t="s">
        <v>279</v>
      </c>
      <c r="AF37" s="149" t="s">
        <v>279</v>
      </c>
      <c r="AG37" s="149" t="s">
        <v>279</v>
      </c>
      <c r="AH37" s="149" t="s">
        <v>279</v>
      </c>
      <c r="AI37" s="149" t="s">
        <v>279</v>
      </c>
      <c r="AJ37" s="149" t="s">
        <v>279</v>
      </c>
      <c r="AK37" s="149" t="s">
        <v>279</v>
      </c>
      <c r="AL37" s="149" t="s">
        <v>279</v>
      </c>
      <c r="AM37" s="149" t="s">
        <v>279</v>
      </c>
      <c r="AN37" s="149" t="s">
        <v>279</v>
      </c>
      <c r="AO37" s="149" t="s">
        <v>279</v>
      </c>
      <c r="AP37" s="149" t="s">
        <v>279</v>
      </c>
      <c r="AQ37" s="149"/>
      <c r="AR37" s="149"/>
      <c r="AS37" s="141" t="s">
        <v>301</v>
      </c>
      <c r="AT37" s="134"/>
      <c r="AU37" s="121"/>
      <c r="AV37" s="121"/>
      <c r="AW37" s="155"/>
    </row>
    <row r="38" spans="1:49" s="100" customFormat="1" ht="216">
      <c r="A38" s="168" t="s">
        <v>351</v>
      </c>
      <c r="B38" s="166" t="s">
        <v>352</v>
      </c>
      <c r="C38" s="160" t="s">
        <v>353</v>
      </c>
      <c r="D38" s="170" t="s">
        <v>354</v>
      </c>
      <c r="E38" s="143" t="s">
        <v>275</v>
      </c>
      <c r="F38" s="149" t="s">
        <v>279</v>
      </c>
      <c r="G38" s="149" t="s">
        <v>279</v>
      </c>
      <c r="H38" s="149" t="s">
        <v>279</v>
      </c>
      <c r="I38" s="149" t="s">
        <v>279</v>
      </c>
      <c r="J38" s="149" t="s">
        <v>279</v>
      </c>
      <c r="K38" s="149" t="s">
        <v>279</v>
      </c>
      <c r="L38" s="149" t="s">
        <v>279</v>
      </c>
      <c r="M38" s="149" t="s">
        <v>279</v>
      </c>
      <c r="N38" s="149" t="s">
        <v>279</v>
      </c>
      <c r="O38" s="149" t="s">
        <v>279</v>
      </c>
      <c r="P38" s="149" t="s">
        <v>279</v>
      </c>
      <c r="Q38" s="149" t="s">
        <v>279</v>
      </c>
      <c r="R38" s="149" t="s">
        <v>279</v>
      </c>
      <c r="S38" s="149" t="s">
        <v>279</v>
      </c>
      <c r="T38" s="149" t="s">
        <v>279</v>
      </c>
      <c r="U38" s="149" t="s">
        <v>279</v>
      </c>
      <c r="V38" s="149" t="s">
        <v>279</v>
      </c>
      <c r="W38" s="149" t="s">
        <v>279</v>
      </c>
      <c r="X38" s="149" t="s">
        <v>279</v>
      </c>
      <c r="Y38" s="149" t="s">
        <v>279</v>
      </c>
      <c r="Z38" s="149" t="s">
        <v>279</v>
      </c>
      <c r="AA38" s="149" t="s">
        <v>279</v>
      </c>
      <c r="AB38" s="149" t="s">
        <v>279</v>
      </c>
      <c r="AC38" s="149" t="s">
        <v>279</v>
      </c>
      <c r="AD38" s="149" t="s">
        <v>279</v>
      </c>
      <c r="AE38" s="149" t="s">
        <v>279</v>
      </c>
      <c r="AF38" s="149" t="s">
        <v>279</v>
      </c>
      <c r="AG38" s="149" t="s">
        <v>279</v>
      </c>
      <c r="AH38" s="149" t="s">
        <v>279</v>
      </c>
      <c r="AI38" s="149" t="s">
        <v>279</v>
      </c>
      <c r="AJ38" s="149" t="s">
        <v>279</v>
      </c>
      <c r="AK38" s="149" t="s">
        <v>279</v>
      </c>
      <c r="AL38" s="149" t="s">
        <v>279</v>
      </c>
      <c r="AM38" s="149" t="s">
        <v>279</v>
      </c>
      <c r="AN38" s="149" t="s">
        <v>279</v>
      </c>
      <c r="AO38" s="149" t="s">
        <v>279</v>
      </c>
      <c r="AP38" s="149" t="s">
        <v>279</v>
      </c>
      <c r="AQ38" s="149"/>
      <c r="AR38" s="149"/>
      <c r="AS38" s="141" t="s">
        <v>302</v>
      </c>
      <c r="AT38" s="134"/>
      <c r="AU38" s="121"/>
      <c r="AV38" s="121"/>
      <c r="AW38" s="155"/>
    </row>
    <row r="39" spans="1:49" s="100" customFormat="1" ht="60">
      <c r="A39" s="159" t="s">
        <v>355</v>
      </c>
      <c r="B39" s="166" t="s">
        <v>356</v>
      </c>
      <c r="C39" s="160" t="s">
        <v>357</v>
      </c>
      <c r="D39" s="170" t="s">
        <v>358</v>
      </c>
      <c r="E39" s="143" t="s">
        <v>275</v>
      </c>
      <c r="F39" s="149" t="s">
        <v>279</v>
      </c>
      <c r="G39" s="149" t="s">
        <v>279</v>
      </c>
      <c r="H39" s="149" t="s">
        <v>279</v>
      </c>
      <c r="I39" s="149" t="s">
        <v>279</v>
      </c>
      <c r="J39" s="149" t="s">
        <v>279</v>
      </c>
      <c r="K39" s="149" t="s">
        <v>279</v>
      </c>
      <c r="L39" s="149" t="s">
        <v>279</v>
      </c>
      <c r="M39" s="149" t="s">
        <v>279</v>
      </c>
      <c r="N39" s="149" t="s">
        <v>279</v>
      </c>
      <c r="O39" s="149" t="s">
        <v>279</v>
      </c>
      <c r="P39" s="149" t="s">
        <v>279</v>
      </c>
      <c r="Q39" s="149" t="s">
        <v>279</v>
      </c>
      <c r="R39" s="149" t="s">
        <v>279</v>
      </c>
      <c r="S39" s="149" t="s">
        <v>279</v>
      </c>
      <c r="T39" s="149" t="s">
        <v>279</v>
      </c>
      <c r="U39" s="149" t="s">
        <v>279</v>
      </c>
      <c r="V39" s="149" t="s">
        <v>279</v>
      </c>
      <c r="W39" s="149" t="s">
        <v>279</v>
      </c>
      <c r="X39" s="149" t="s">
        <v>279</v>
      </c>
      <c r="Y39" s="149" t="s">
        <v>279</v>
      </c>
      <c r="Z39" s="149" t="s">
        <v>279</v>
      </c>
      <c r="AA39" s="149" t="s">
        <v>279</v>
      </c>
      <c r="AB39" s="149" t="s">
        <v>279</v>
      </c>
      <c r="AC39" s="149" t="s">
        <v>279</v>
      </c>
      <c r="AD39" s="149" t="s">
        <v>279</v>
      </c>
      <c r="AE39" s="149" t="s">
        <v>279</v>
      </c>
      <c r="AF39" s="149" t="s">
        <v>279</v>
      </c>
      <c r="AG39" s="149" t="s">
        <v>279</v>
      </c>
      <c r="AH39" s="149" t="s">
        <v>279</v>
      </c>
      <c r="AI39" s="149" t="s">
        <v>279</v>
      </c>
      <c r="AJ39" s="149" t="s">
        <v>279</v>
      </c>
      <c r="AK39" s="149" t="s">
        <v>279</v>
      </c>
      <c r="AL39" s="149" t="s">
        <v>279</v>
      </c>
      <c r="AM39" s="149" t="s">
        <v>279</v>
      </c>
      <c r="AN39" s="149" t="s">
        <v>279</v>
      </c>
      <c r="AO39" s="149" t="s">
        <v>279</v>
      </c>
      <c r="AP39" s="149" t="s">
        <v>279</v>
      </c>
      <c r="AQ39" s="149"/>
      <c r="AR39" s="149"/>
      <c r="AS39" s="141" t="s">
        <v>303</v>
      </c>
      <c r="AT39" s="134"/>
      <c r="AU39" s="121"/>
      <c r="AV39" s="121"/>
      <c r="AW39" s="155"/>
    </row>
    <row r="40" spans="1:49" s="100" customFormat="1" ht="84">
      <c r="A40" s="159" t="s">
        <v>359</v>
      </c>
      <c r="B40" s="166" t="s">
        <v>360</v>
      </c>
      <c r="C40" s="160" t="s">
        <v>357</v>
      </c>
      <c r="D40" s="170" t="s">
        <v>358</v>
      </c>
      <c r="E40" s="143" t="s">
        <v>275</v>
      </c>
      <c r="F40" s="149" t="s">
        <v>279</v>
      </c>
      <c r="G40" s="149" t="s">
        <v>279</v>
      </c>
      <c r="H40" s="149" t="s">
        <v>279</v>
      </c>
      <c r="I40" s="149" t="s">
        <v>279</v>
      </c>
      <c r="J40" s="149" t="s">
        <v>279</v>
      </c>
      <c r="K40" s="149" t="s">
        <v>279</v>
      </c>
      <c r="L40" s="149" t="s">
        <v>279</v>
      </c>
      <c r="M40" s="149" t="s">
        <v>279</v>
      </c>
      <c r="N40" s="149" t="s">
        <v>279</v>
      </c>
      <c r="O40" s="149" t="s">
        <v>279</v>
      </c>
      <c r="P40" s="149" t="s">
        <v>279</v>
      </c>
      <c r="Q40" s="149" t="s">
        <v>279</v>
      </c>
      <c r="R40" s="149" t="s">
        <v>279</v>
      </c>
      <c r="S40" s="149" t="s">
        <v>279</v>
      </c>
      <c r="T40" s="149" t="s">
        <v>279</v>
      </c>
      <c r="U40" s="149" t="s">
        <v>279</v>
      </c>
      <c r="V40" s="149" t="s">
        <v>279</v>
      </c>
      <c r="W40" s="149" t="s">
        <v>279</v>
      </c>
      <c r="X40" s="149" t="s">
        <v>279</v>
      </c>
      <c r="Y40" s="149" t="s">
        <v>279</v>
      </c>
      <c r="Z40" s="149" t="s">
        <v>279</v>
      </c>
      <c r="AA40" s="149" t="s">
        <v>279</v>
      </c>
      <c r="AB40" s="149" t="s">
        <v>279</v>
      </c>
      <c r="AC40" s="149" t="s">
        <v>279</v>
      </c>
      <c r="AD40" s="149" t="s">
        <v>279</v>
      </c>
      <c r="AE40" s="149" t="s">
        <v>279</v>
      </c>
      <c r="AF40" s="149" t="s">
        <v>279</v>
      </c>
      <c r="AG40" s="149" t="s">
        <v>279</v>
      </c>
      <c r="AH40" s="149" t="s">
        <v>279</v>
      </c>
      <c r="AI40" s="149" t="s">
        <v>279</v>
      </c>
      <c r="AJ40" s="149" t="s">
        <v>279</v>
      </c>
      <c r="AK40" s="149" t="s">
        <v>279</v>
      </c>
      <c r="AL40" s="149" t="s">
        <v>279</v>
      </c>
      <c r="AM40" s="149" t="s">
        <v>279</v>
      </c>
      <c r="AN40" s="149" t="s">
        <v>279</v>
      </c>
      <c r="AO40" s="149" t="s">
        <v>279</v>
      </c>
      <c r="AP40" s="149" t="s">
        <v>279</v>
      </c>
      <c r="AQ40" s="149"/>
      <c r="AR40" s="149"/>
      <c r="AS40" s="141" t="s">
        <v>304</v>
      </c>
      <c r="AT40" s="134"/>
      <c r="AU40" s="121"/>
      <c r="AV40" s="121"/>
      <c r="AW40" s="155"/>
    </row>
    <row r="41" spans="1:49" s="100" customFormat="1" ht="60">
      <c r="A41" s="159" t="s">
        <v>361</v>
      </c>
      <c r="B41" s="166" t="s">
        <v>362</v>
      </c>
      <c r="C41" s="160" t="s">
        <v>363</v>
      </c>
      <c r="D41" s="170" t="s">
        <v>364</v>
      </c>
      <c r="E41" s="143" t="s">
        <v>275</v>
      </c>
      <c r="F41" s="149" t="s">
        <v>279</v>
      </c>
      <c r="G41" s="149" t="s">
        <v>279</v>
      </c>
      <c r="H41" s="149" t="s">
        <v>279</v>
      </c>
      <c r="I41" s="149" t="s">
        <v>279</v>
      </c>
      <c r="J41" s="149" t="s">
        <v>279</v>
      </c>
      <c r="K41" s="149" t="s">
        <v>279</v>
      </c>
      <c r="L41" s="149" t="s">
        <v>279</v>
      </c>
      <c r="M41" s="149" t="s">
        <v>279</v>
      </c>
      <c r="N41" s="149" t="s">
        <v>279</v>
      </c>
      <c r="O41" s="149" t="s">
        <v>279</v>
      </c>
      <c r="P41" s="149" t="s">
        <v>279</v>
      </c>
      <c r="Q41" s="149" t="s">
        <v>279</v>
      </c>
      <c r="R41" s="149" t="s">
        <v>279</v>
      </c>
      <c r="S41" s="149" t="s">
        <v>279</v>
      </c>
      <c r="T41" s="149" t="s">
        <v>279</v>
      </c>
      <c r="U41" s="149" t="s">
        <v>279</v>
      </c>
      <c r="V41" s="149" t="s">
        <v>279</v>
      </c>
      <c r="W41" s="149" t="s">
        <v>279</v>
      </c>
      <c r="X41" s="149" t="s">
        <v>279</v>
      </c>
      <c r="Y41" s="149" t="s">
        <v>279</v>
      </c>
      <c r="Z41" s="149" t="s">
        <v>279</v>
      </c>
      <c r="AA41" s="149" t="s">
        <v>279</v>
      </c>
      <c r="AB41" s="149" t="s">
        <v>279</v>
      </c>
      <c r="AC41" s="149" t="s">
        <v>279</v>
      </c>
      <c r="AD41" s="149" t="s">
        <v>279</v>
      </c>
      <c r="AE41" s="149" t="s">
        <v>279</v>
      </c>
      <c r="AF41" s="149" t="s">
        <v>279</v>
      </c>
      <c r="AG41" s="149" t="s">
        <v>279</v>
      </c>
      <c r="AH41" s="149" t="s">
        <v>279</v>
      </c>
      <c r="AI41" s="149" t="s">
        <v>279</v>
      </c>
      <c r="AJ41" s="149" t="s">
        <v>279</v>
      </c>
      <c r="AK41" s="149" t="s">
        <v>279</v>
      </c>
      <c r="AL41" s="149" t="s">
        <v>279</v>
      </c>
      <c r="AM41" s="149" t="s">
        <v>279</v>
      </c>
      <c r="AN41" s="149" t="s">
        <v>279</v>
      </c>
      <c r="AO41" s="149" t="s">
        <v>279</v>
      </c>
      <c r="AP41" s="149" t="s">
        <v>279</v>
      </c>
      <c r="AQ41" s="149"/>
      <c r="AR41" s="149"/>
      <c r="AS41" s="141" t="s">
        <v>305</v>
      </c>
      <c r="AT41" s="134"/>
      <c r="AU41" s="121"/>
      <c r="AV41" s="121"/>
      <c r="AW41" s="155"/>
    </row>
    <row r="42" spans="1:49" s="31" customFormat="1" ht="12.75">
      <c r="A42" s="373" t="s">
        <v>365</v>
      </c>
      <c r="B42" s="376" t="s">
        <v>366</v>
      </c>
      <c r="C42" s="379" t="s">
        <v>269</v>
      </c>
      <c r="D42" s="337" t="s">
        <v>367</v>
      </c>
      <c r="E42" s="107" t="s">
        <v>42</v>
      </c>
      <c r="F42" s="123">
        <f>SUM(F43:F45)</f>
        <v>33940.800000000003</v>
      </c>
      <c r="G42" s="123">
        <f t="shared" ref="G42" si="54">SUM(G43:G45)</f>
        <v>0</v>
      </c>
      <c r="H42" s="123">
        <f>G42/F42*100</f>
        <v>0</v>
      </c>
      <c r="I42" s="132">
        <f>I43+I44+I45</f>
        <v>556</v>
      </c>
      <c r="J42" s="132">
        <f>J43+J44+J45</f>
        <v>0</v>
      </c>
      <c r="K42" s="123">
        <f t="shared" ref="K42:K44" si="55">J42/I42*100</f>
        <v>0</v>
      </c>
      <c r="L42" s="132">
        <f>L43+L44+L45</f>
        <v>2428</v>
      </c>
      <c r="M42" s="132">
        <f>M43+M44+M45</f>
        <v>0</v>
      </c>
      <c r="N42" s="132">
        <f>M42/L42*100</f>
        <v>0</v>
      </c>
      <c r="O42" s="132">
        <f>O43+O44+O45</f>
        <v>2242</v>
      </c>
      <c r="P42" s="132">
        <f>P43+P44+P45</f>
        <v>0</v>
      </c>
      <c r="Q42" s="123">
        <f t="shared" ref="Q42:Q44" si="56">P42/O42*100</f>
        <v>0</v>
      </c>
      <c r="R42" s="132">
        <f>R43+R44+R45</f>
        <v>3060</v>
      </c>
      <c r="S42" s="132">
        <f>S43+S44+S45</f>
        <v>0</v>
      </c>
      <c r="T42" s="132">
        <f>S42/R42*100</f>
        <v>0</v>
      </c>
      <c r="U42" s="132">
        <f t="shared" ref="U42:AP42" si="57">U43+U44+U45</f>
        <v>2489</v>
      </c>
      <c r="V42" s="132">
        <f t="shared" si="57"/>
        <v>0</v>
      </c>
      <c r="W42" s="132">
        <f>V42/U42*100</f>
        <v>0</v>
      </c>
      <c r="X42" s="132">
        <f t="shared" si="57"/>
        <v>2628</v>
      </c>
      <c r="Y42" s="132">
        <f t="shared" si="57"/>
        <v>0</v>
      </c>
      <c r="Z42" s="132">
        <f>Y42/X42*100</f>
        <v>0</v>
      </c>
      <c r="AA42" s="132">
        <f t="shared" si="57"/>
        <v>3576</v>
      </c>
      <c r="AB42" s="132">
        <f t="shared" si="57"/>
        <v>0</v>
      </c>
      <c r="AC42" s="132">
        <f>AB42/AA42*100</f>
        <v>0</v>
      </c>
      <c r="AD42" s="132">
        <f t="shared" si="57"/>
        <v>2569</v>
      </c>
      <c r="AE42" s="132">
        <f t="shared" si="57"/>
        <v>0</v>
      </c>
      <c r="AF42" s="132">
        <f>AE42/AD42*100</f>
        <v>0</v>
      </c>
      <c r="AG42" s="132">
        <f t="shared" si="57"/>
        <v>2544</v>
      </c>
      <c r="AH42" s="132">
        <f t="shared" si="57"/>
        <v>0</v>
      </c>
      <c r="AI42" s="117">
        <f>AH42/AG42*100</f>
        <v>0</v>
      </c>
      <c r="AJ42" s="132">
        <f t="shared" si="57"/>
        <v>2984</v>
      </c>
      <c r="AK42" s="132">
        <f t="shared" si="57"/>
        <v>0</v>
      </c>
      <c r="AL42" s="132">
        <f t="shared" si="57"/>
        <v>0</v>
      </c>
      <c r="AM42" s="132">
        <f t="shared" si="57"/>
        <v>2265.6</v>
      </c>
      <c r="AN42" s="132">
        <f t="shared" si="57"/>
        <v>0</v>
      </c>
      <c r="AO42" s="132">
        <f t="shared" si="57"/>
        <v>0</v>
      </c>
      <c r="AP42" s="132">
        <f t="shared" si="57"/>
        <v>6599.2</v>
      </c>
      <c r="AQ42" s="104"/>
      <c r="AR42" s="104"/>
      <c r="AS42" s="340" t="s">
        <v>310</v>
      </c>
      <c r="AT42" s="382"/>
      <c r="AU42" s="121">
        <f t="shared" si="46"/>
        <v>22092</v>
      </c>
      <c r="AV42" s="121">
        <f t="shared" si="47"/>
        <v>0</v>
      </c>
      <c r="AW42" s="155">
        <f t="shared" si="48"/>
        <v>0</v>
      </c>
    </row>
    <row r="43" spans="1:49" s="31" customFormat="1" ht="36">
      <c r="A43" s="374"/>
      <c r="B43" s="377"/>
      <c r="C43" s="380"/>
      <c r="D43" s="338"/>
      <c r="E43" s="108" t="s">
        <v>3</v>
      </c>
      <c r="F43" s="123">
        <f>I43+L43+O43+R43+U43+X43+AA43+AD43+AG43+AJ43+AM43+AP43</f>
        <v>30600.9</v>
      </c>
      <c r="G43" s="123">
        <f>J43+M43+P43+S43+V43+Y43+AB43+AE43+AH43+AK43+AN43+AQ43</f>
        <v>0</v>
      </c>
      <c r="H43" s="123">
        <f>G43/F43*100</f>
        <v>0</v>
      </c>
      <c r="I43" s="123">
        <v>0</v>
      </c>
      <c r="J43" s="123">
        <v>0</v>
      </c>
      <c r="K43" s="123" t="e">
        <f t="shared" si="55"/>
        <v>#DIV/0!</v>
      </c>
      <c r="L43" s="150">
        <v>2178</v>
      </c>
      <c r="M43" s="123">
        <v>0</v>
      </c>
      <c r="N43" s="138">
        <f t="shared" ref="N43:N44" si="58">M43/L43*100</f>
        <v>0</v>
      </c>
      <c r="O43" s="123">
        <v>1989</v>
      </c>
      <c r="P43" s="123">
        <v>0</v>
      </c>
      <c r="Q43" s="123">
        <f t="shared" si="56"/>
        <v>0</v>
      </c>
      <c r="R43" s="123">
        <v>3010</v>
      </c>
      <c r="S43" s="123">
        <v>0</v>
      </c>
      <c r="T43" s="132">
        <f t="shared" ref="T43:T44" si="59">S43/R43*100</f>
        <v>0</v>
      </c>
      <c r="U43" s="117">
        <v>2037</v>
      </c>
      <c r="V43" s="117">
        <v>0</v>
      </c>
      <c r="W43" s="132">
        <f t="shared" ref="W43:W44" si="60">V43/U43*100</f>
        <v>0</v>
      </c>
      <c r="X43" s="117">
        <v>2578</v>
      </c>
      <c r="Y43" s="117">
        <v>0</v>
      </c>
      <c r="Z43" s="117">
        <f>Y43/X43*100</f>
        <v>0</v>
      </c>
      <c r="AA43" s="117">
        <v>3526</v>
      </c>
      <c r="AB43" s="117">
        <v>0</v>
      </c>
      <c r="AC43" s="117">
        <f>AB43/AA43*100</f>
        <v>0</v>
      </c>
      <c r="AD43" s="117">
        <v>2117</v>
      </c>
      <c r="AE43" s="117">
        <v>0</v>
      </c>
      <c r="AF43" s="117">
        <f>AE43/AD43*100</f>
        <v>0</v>
      </c>
      <c r="AG43" s="117">
        <v>2494</v>
      </c>
      <c r="AH43" s="117">
        <v>0</v>
      </c>
      <c r="AI43" s="117">
        <f>AH43/AG43*100</f>
        <v>0</v>
      </c>
      <c r="AJ43" s="123">
        <v>2934</v>
      </c>
      <c r="AK43" s="123">
        <v>0</v>
      </c>
      <c r="AL43" s="123">
        <v>0</v>
      </c>
      <c r="AM43" s="117">
        <v>1812</v>
      </c>
      <c r="AN43" s="117">
        <v>0</v>
      </c>
      <c r="AO43" s="117">
        <v>0</v>
      </c>
      <c r="AP43" s="123">
        <v>5925.9</v>
      </c>
      <c r="AQ43" s="104"/>
      <c r="AR43" s="104"/>
      <c r="AS43" s="341"/>
      <c r="AT43" s="383"/>
      <c r="AU43" s="121">
        <f t="shared" si="46"/>
        <v>19929</v>
      </c>
      <c r="AV43" s="121">
        <f t="shared" si="47"/>
        <v>0</v>
      </c>
      <c r="AW43" s="155">
        <f t="shared" si="48"/>
        <v>0</v>
      </c>
    </row>
    <row r="44" spans="1:49" s="31" customFormat="1" ht="12.75">
      <c r="A44" s="374"/>
      <c r="B44" s="377"/>
      <c r="C44" s="380"/>
      <c r="D44" s="338"/>
      <c r="E44" s="108" t="s">
        <v>44</v>
      </c>
      <c r="F44" s="123">
        <f t="shared" ref="F44:F45" si="61">I44+L44+O44+R44+U44+X44+AA44+AD44+AG44+AJ44+AM44+AP44</f>
        <v>3339.8999999999996</v>
      </c>
      <c r="G44" s="123">
        <f t="shared" ref="G44:G45" si="62">J44+M44+P44+S44+V44+Y44+AB44+AE44+AH44+AK44+AN44+AQ44</f>
        <v>0</v>
      </c>
      <c r="H44" s="123">
        <f>G44/F44*100</f>
        <v>0</v>
      </c>
      <c r="I44" s="123">
        <v>556</v>
      </c>
      <c r="J44" s="123">
        <v>0</v>
      </c>
      <c r="K44" s="123">
        <f t="shared" si="55"/>
        <v>0</v>
      </c>
      <c r="L44" s="150">
        <v>250</v>
      </c>
      <c r="M44" s="123">
        <v>0</v>
      </c>
      <c r="N44" s="138">
        <f t="shared" si="58"/>
        <v>0</v>
      </c>
      <c r="O44" s="123">
        <v>253</v>
      </c>
      <c r="P44" s="123">
        <v>0</v>
      </c>
      <c r="Q44" s="123">
        <f t="shared" si="56"/>
        <v>0</v>
      </c>
      <c r="R44" s="123">
        <v>50</v>
      </c>
      <c r="S44" s="123">
        <v>0</v>
      </c>
      <c r="T44" s="132">
        <f t="shared" si="59"/>
        <v>0</v>
      </c>
      <c r="U44" s="117">
        <v>452</v>
      </c>
      <c r="V44" s="117">
        <v>0</v>
      </c>
      <c r="W44" s="132">
        <f t="shared" si="60"/>
        <v>0</v>
      </c>
      <c r="X44" s="117">
        <v>50</v>
      </c>
      <c r="Y44" s="117">
        <v>0</v>
      </c>
      <c r="Z44" s="117">
        <f>Y44/X44*100</f>
        <v>0</v>
      </c>
      <c r="AA44" s="117">
        <v>50</v>
      </c>
      <c r="AB44" s="117">
        <v>0</v>
      </c>
      <c r="AC44" s="117">
        <f>AB44/AA44*100</f>
        <v>0</v>
      </c>
      <c r="AD44" s="117">
        <v>452</v>
      </c>
      <c r="AE44" s="117">
        <v>0</v>
      </c>
      <c r="AF44" s="117">
        <f>AE44/AD44*100</f>
        <v>0</v>
      </c>
      <c r="AG44" s="117">
        <v>50</v>
      </c>
      <c r="AH44" s="117">
        <v>0</v>
      </c>
      <c r="AI44" s="117">
        <f>AH44/AG44*100</f>
        <v>0</v>
      </c>
      <c r="AJ44" s="123">
        <v>50</v>
      </c>
      <c r="AK44" s="123">
        <v>0</v>
      </c>
      <c r="AL44" s="123">
        <v>0</v>
      </c>
      <c r="AM44" s="117">
        <v>453.6</v>
      </c>
      <c r="AN44" s="117">
        <v>0</v>
      </c>
      <c r="AO44" s="117">
        <v>0</v>
      </c>
      <c r="AP44" s="123">
        <v>673.3</v>
      </c>
      <c r="AQ44" s="104"/>
      <c r="AR44" s="104"/>
      <c r="AS44" s="341"/>
      <c r="AT44" s="383"/>
      <c r="AU44" s="121">
        <f t="shared" si="46"/>
        <v>2163</v>
      </c>
      <c r="AV44" s="121">
        <f t="shared" si="47"/>
        <v>0</v>
      </c>
      <c r="AW44" s="155">
        <f t="shared" si="48"/>
        <v>0</v>
      </c>
    </row>
    <row r="45" spans="1:49" s="31" customFormat="1" ht="25.5" customHeight="1">
      <c r="A45" s="375"/>
      <c r="B45" s="378"/>
      <c r="C45" s="381"/>
      <c r="D45" s="339"/>
      <c r="E45" s="109" t="s">
        <v>257</v>
      </c>
      <c r="F45" s="123">
        <f t="shared" si="61"/>
        <v>0</v>
      </c>
      <c r="G45" s="123">
        <f t="shared" si="62"/>
        <v>0</v>
      </c>
      <c r="H45" s="123">
        <v>0</v>
      </c>
      <c r="I45" s="123">
        <v>0</v>
      </c>
      <c r="J45" s="123">
        <v>0</v>
      </c>
      <c r="K45" s="123">
        <v>0</v>
      </c>
      <c r="L45" s="150">
        <v>0</v>
      </c>
      <c r="M45" s="123">
        <v>0</v>
      </c>
      <c r="N45" s="123">
        <v>0</v>
      </c>
      <c r="O45" s="123">
        <v>0</v>
      </c>
      <c r="P45" s="123">
        <v>0</v>
      </c>
      <c r="Q45" s="123">
        <v>0</v>
      </c>
      <c r="R45" s="123">
        <v>0</v>
      </c>
      <c r="S45" s="123">
        <v>0</v>
      </c>
      <c r="T45" s="124">
        <v>0</v>
      </c>
      <c r="U45" s="117">
        <v>0</v>
      </c>
      <c r="V45" s="117">
        <v>0</v>
      </c>
      <c r="W45" s="117">
        <v>0</v>
      </c>
      <c r="X45" s="117">
        <v>0</v>
      </c>
      <c r="Y45" s="117">
        <v>0</v>
      </c>
      <c r="Z45" s="117">
        <v>0</v>
      </c>
      <c r="AA45" s="117">
        <v>0</v>
      </c>
      <c r="AB45" s="117">
        <v>0</v>
      </c>
      <c r="AC45" s="117">
        <v>0</v>
      </c>
      <c r="AD45" s="117">
        <v>0</v>
      </c>
      <c r="AE45" s="117">
        <v>0</v>
      </c>
      <c r="AF45" s="117">
        <v>0</v>
      </c>
      <c r="AG45" s="117">
        <v>0</v>
      </c>
      <c r="AH45" s="117">
        <v>0</v>
      </c>
      <c r="AI45" s="117">
        <v>0</v>
      </c>
      <c r="AJ45" s="123">
        <v>0</v>
      </c>
      <c r="AK45" s="123">
        <v>0</v>
      </c>
      <c r="AL45" s="123">
        <v>0</v>
      </c>
      <c r="AM45" s="117">
        <v>0</v>
      </c>
      <c r="AN45" s="117">
        <v>0</v>
      </c>
      <c r="AO45" s="117">
        <v>0</v>
      </c>
      <c r="AP45" s="123">
        <v>0</v>
      </c>
      <c r="AQ45" s="104"/>
      <c r="AR45" s="104"/>
      <c r="AS45" s="342"/>
      <c r="AT45" s="384"/>
      <c r="AU45" s="121"/>
      <c r="AV45" s="121"/>
      <c r="AW45" s="155"/>
    </row>
    <row r="46" spans="1:49" s="31" customFormat="1" ht="15.75">
      <c r="A46" s="352" t="s">
        <v>368</v>
      </c>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4"/>
      <c r="AU46" s="121"/>
      <c r="AV46" s="121"/>
      <c r="AW46" s="155"/>
    </row>
    <row r="47" spans="1:49" s="31" customFormat="1" ht="15.75">
      <c r="A47" s="352" t="s">
        <v>369</v>
      </c>
      <c r="B47" s="353"/>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4"/>
      <c r="AU47" s="121"/>
      <c r="AV47" s="121"/>
      <c r="AW47" s="155"/>
    </row>
    <row r="48" spans="1:49" s="100" customFormat="1" ht="12.75">
      <c r="A48" s="355" t="s">
        <v>270</v>
      </c>
      <c r="B48" s="356"/>
      <c r="C48" s="356"/>
      <c r="D48" s="357"/>
      <c r="E48" s="129" t="s">
        <v>42</v>
      </c>
      <c r="F48" s="106">
        <f>F49+F50+F51</f>
        <v>599.4</v>
      </c>
      <c r="G48" s="106">
        <f t="shared" ref="G48:AR48" si="63">G49+G50+G51</f>
        <v>0</v>
      </c>
      <c r="H48" s="106">
        <f>G48/F48*100</f>
        <v>0</v>
      </c>
      <c r="I48" s="106">
        <f t="shared" si="63"/>
        <v>0</v>
      </c>
      <c r="J48" s="106">
        <f t="shared" si="63"/>
        <v>0</v>
      </c>
      <c r="K48" s="106">
        <v>0</v>
      </c>
      <c r="L48" s="106">
        <f t="shared" si="63"/>
        <v>0</v>
      </c>
      <c r="M48" s="106">
        <f t="shared" si="63"/>
        <v>0</v>
      </c>
      <c r="N48" s="106">
        <v>0</v>
      </c>
      <c r="O48" s="106">
        <f t="shared" si="63"/>
        <v>119.8</v>
      </c>
      <c r="P48" s="106">
        <f t="shared" si="63"/>
        <v>0</v>
      </c>
      <c r="Q48" s="106">
        <f>P48/O48*100</f>
        <v>0</v>
      </c>
      <c r="R48" s="106">
        <f t="shared" si="63"/>
        <v>0</v>
      </c>
      <c r="S48" s="106">
        <f t="shared" si="63"/>
        <v>0</v>
      </c>
      <c r="T48" s="106">
        <v>0</v>
      </c>
      <c r="U48" s="106">
        <f t="shared" si="63"/>
        <v>0</v>
      </c>
      <c r="V48" s="106">
        <f t="shared" si="63"/>
        <v>0</v>
      </c>
      <c r="W48" s="106">
        <f t="shared" si="63"/>
        <v>0</v>
      </c>
      <c r="X48" s="106">
        <f t="shared" si="63"/>
        <v>179.7</v>
      </c>
      <c r="Y48" s="106">
        <f t="shared" si="63"/>
        <v>0</v>
      </c>
      <c r="Z48" s="106">
        <f t="shared" si="63"/>
        <v>0</v>
      </c>
      <c r="AA48" s="106">
        <f t="shared" si="63"/>
        <v>0</v>
      </c>
      <c r="AB48" s="106">
        <f t="shared" si="63"/>
        <v>0</v>
      </c>
      <c r="AC48" s="106">
        <f t="shared" si="63"/>
        <v>0</v>
      </c>
      <c r="AD48" s="106">
        <f t="shared" si="63"/>
        <v>0</v>
      </c>
      <c r="AE48" s="106">
        <f t="shared" si="63"/>
        <v>0</v>
      </c>
      <c r="AF48" s="106">
        <f t="shared" si="63"/>
        <v>0</v>
      </c>
      <c r="AG48" s="106">
        <f t="shared" si="63"/>
        <v>179.7</v>
      </c>
      <c r="AH48" s="106">
        <f t="shared" si="63"/>
        <v>0</v>
      </c>
      <c r="AI48" s="106">
        <f t="shared" si="63"/>
        <v>0</v>
      </c>
      <c r="AJ48" s="106">
        <f t="shared" si="63"/>
        <v>0</v>
      </c>
      <c r="AK48" s="106">
        <f t="shared" si="63"/>
        <v>0</v>
      </c>
      <c r="AL48" s="106">
        <f t="shared" si="63"/>
        <v>0</v>
      </c>
      <c r="AM48" s="106">
        <f t="shared" si="63"/>
        <v>120.2</v>
      </c>
      <c r="AN48" s="106">
        <f t="shared" si="63"/>
        <v>0</v>
      </c>
      <c r="AO48" s="106">
        <f t="shared" si="63"/>
        <v>0</v>
      </c>
      <c r="AP48" s="106">
        <f t="shared" si="63"/>
        <v>0</v>
      </c>
      <c r="AQ48" s="106">
        <f t="shared" si="63"/>
        <v>0</v>
      </c>
      <c r="AR48" s="106">
        <f t="shared" si="63"/>
        <v>0</v>
      </c>
      <c r="AS48" s="319"/>
      <c r="AT48" s="364"/>
      <c r="AU48" s="121">
        <f t="shared" si="46"/>
        <v>479.2</v>
      </c>
      <c r="AV48" s="121">
        <f t="shared" si="47"/>
        <v>0</v>
      </c>
      <c r="AW48" s="155">
        <f t="shared" si="48"/>
        <v>0</v>
      </c>
    </row>
    <row r="49" spans="1:49" s="100" customFormat="1" ht="36">
      <c r="A49" s="358"/>
      <c r="B49" s="359"/>
      <c r="C49" s="359"/>
      <c r="D49" s="360"/>
      <c r="E49" s="111" t="s">
        <v>3</v>
      </c>
      <c r="F49" s="106">
        <f>F57</f>
        <v>0</v>
      </c>
      <c r="G49" s="106">
        <f t="shared" ref="G49:AR51" si="64">G57</f>
        <v>0</v>
      </c>
      <c r="H49" s="106">
        <v>0</v>
      </c>
      <c r="I49" s="106">
        <f t="shared" si="64"/>
        <v>0</v>
      </c>
      <c r="J49" s="106">
        <f t="shared" si="64"/>
        <v>0</v>
      </c>
      <c r="K49" s="106">
        <v>0</v>
      </c>
      <c r="L49" s="106">
        <f t="shared" si="64"/>
        <v>0</v>
      </c>
      <c r="M49" s="106">
        <f t="shared" si="64"/>
        <v>0</v>
      </c>
      <c r="N49" s="106">
        <v>0</v>
      </c>
      <c r="O49" s="106">
        <f t="shared" si="64"/>
        <v>0</v>
      </c>
      <c r="P49" s="106">
        <f t="shared" si="64"/>
        <v>0</v>
      </c>
      <c r="Q49" s="106">
        <v>0</v>
      </c>
      <c r="R49" s="106">
        <f t="shared" si="64"/>
        <v>0</v>
      </c>
      <c r="S49" s="106">
        <f t="shared" si="64"/>
        <v>0</v>
      </c>
      <c r="T49" s="106">
        <f t="shared" si="64"/>
        <v>0</v>
      </c>
      <c r="U49" s="106">
        <f t="shared" si="64"/>
        <v>0</v>
      </c>
      <c r="V49" s="106">
        <f t="shared" si="64"/>
        <v>0</v>
      </c>
      <c r="W49" s="106">
        <f t="shared" si="64"/>
        <v>0</v>
      </c>
      <c r="X49" s="106">
        <f t="shared" si="64"/>
        <v>0</v>
      </c>
      <c r="Y49" s="106">
        <f t="shared" si="64"/>
        <v>0</v>
      </c>
      <c r="Z49" s="106">
        <f t="shared" si="64"/>
        <v>0</v>
      </c>
      <c r="AA49" s="106">
        <f t="shared" si="64"/>
        <v>0</v>
      </c>
      <c r="AB49" s="106">
        <f t="shared" si="64"/>
        <v>0</v>
      </c>
      <c r="AC49" s="106">
        <f t="shared" si="64"/>
        <v>0</v>
      </c>
      <c r="AD49" s="106">
        <f t="shared" si="64"/>
        <v>0</v>
      </c>
      <c r="AE49" s="106">
        <f t="shared" si="64"/>
        <v>0</v>
      </c>
      <c r="AF49" s="106">
        <f t="shared" si="64"/>
        <v>0</v>
      </c>
      <c r="AG49" s="106">
        <f t="shared" si="64"/>
        <v>0</v>
      </c>
      <c r="AH49" s="106">
        <f t="shared" si="64"/>
        <v>0</v>
      </c>
      <c r="AI49" s="106">
        <f t="shared" si="64"/>
        <v>0</v>
      </c>
      <c r="AJ49" s="106">
        <f t="shared" si="64"/>
        <v>0</v>
      </c>
      <c r="AK49" s="106">
        <f t="shared" si="64"/>
        <v>0</v>
      </c>
      <c r="AL49" s="106">
        <f t="shared" si="64"/>
        <v>0</v>
      </c>
      <c r="AM49" s="106">
        <f t="shared" si="64"/>
        <v>0</v>
      </c>
      <c r="AN49" s="106">
        <f t="shared" si="64"/>
        <v>0</v>
      </c>
      <c r="AO49" s="106">
        <f t="shared" si="64"/>
        <v>0</v>
      </c>
      <c r="AP49" s="106">
        <f t="shared" si="64"/>
        <v>0</v>
      </c>
      <c r="AQ49" s="106">
        <f t="shared" si="64"/>
        <v>0</v>
      </c>
      <c r="AR49" s="106">
        <f t="shared" si="64"/>
        <v>0</v>
      </c>
      <c r="AS49" s="320"/>
      <c r="AT49" s="365"/>
      <c r="AU49" s="121"/>
      <c r="AV49" s="121"/>
      <c r="AW49" s="155"/>
    </row>
    <row r="50" spans="1:49" s="100" customFormat="1" ht="24">
      <c r="A50" s="358"/>
      <c r="B50" s="359"/>
      <c r="C50" s="359"/>
      <c r="D50" s="360"/>
      <c r="E50" s="111" t="s">
        <v>44</v>
      </c>
      <c r="F50" s="106">
        <f>F58</f>
        <v>599.4</v>
      </c>
      <c r="G50" s="106">
        <f t="shared" si="64"/>
        <v>0</v>
      </c>
      <c r="H50" s="106">
        <f>G50/F50*100</f>
        <v>0</v>
      </c>
      <c r="I50" s="106">
        <f t="shared" si="64"/>
        <v>0</v>
      </c>
      <c r="J50" s="106">
        <f t="shared" si="64"/>
        <v>0</v>
      </c>
      <c r="K50" s="106">
        <v>0</v>
      </c>
      <c r="L50" s="106">
        <f t="shared" si="64"/>
        <v>0</v>
      </c>
      <c r="M50" s="106">
        <f t="shared" si="64"/>
        <v>0</v>
      </c>
      <c r="N50" s="106">
        <v>0</v>
      </c>
      <c r="O50" s="106">
        <f t="shared" si="64"/>
        <v>119.8</v>
      </c>
      <c r="P50" s="106">
        <f t="shared" si="64"/>
        <v>0</v>
      </c>
      <c r="Q50" s="106">
        <f t="shared" ref="Q50" si="65">P50/O50*100</f>
        <v>0</v>
      </c>
      <c r="R50" s="106">
        <f t="shared" si="64"/>
        <v>0</v>
      </c>
      <c r="S50" s="106">
        <f t="shared" si="64"/>
        <v>0</v>
      </c>
      <c r="T50" s="106">
        <f t="shared" si="64"/>
        <v>0</v>
      </c>
      <c r="U50" s="106">
        <f t="shared" si="64"/>
        <v>0</v>
      </c>
      <c r="V50" s="106">
        <f t="shared" si="64"/>
        <v>0</v>
      </c>
      <c r="W50" s="106">
        <f t="shared" si="64"/>
        <v>0</v>
      </c>
      <c r="X50" s="106">
        <f t="shared" si="64"/>
        <v>179.7</v>
      </c>
      <c r="Y50" s="106">
        <f t="shared" si="64"/>
        <v>0</v>
      </c>
      <c r="Z50" s="106">
        <f t="shared" si="64"/>
        <v>0</v>
      </c>
      <c r="AA50" s="106">
        <f t="shared" si="64"/>
        <v>0</v>
      </c>
      <c r="AB50" s="106">
        <f t="shared" si="64"/>
        <v>0</v>
      </c>
      <c r="AC50" s="106">
        <f t="shared" si="64"/>
        <v>0</v>
      </c>
      <c r="AD50" s="106">
        <f t="shared" si="64"/>
        <v>0</v>
      </c>
      <c r="AE50" s="106">
        <f t="shared" si="64"/>
        <v>0</v>
      </c>
      <c r="AF50" s="106">
        <f t="shared" si="64"/>
        <v>0</v>
      </c>
      <c r="AG50" s="106">
        <f t="shared" si="64"/>
        <v>179.7</v>
      </c>
      <c r="AH50" s="106">
        <f t="shared" si="64"/>
        <v>0</v>
      </c>
      <c r="AI50" s="106">
        <f t="shared" si="64"/>
        <v>0</v>
      </c>
      <c r="AJ50" s="106">
        <f t="shared" si="64"/>
        <v>0</v>
      </c>
      <c r="AK50" s="106">
        <f t="shared" si="64"/>
        <v>0</v>
      </c>
      <c r="AL50" s="106">
        <f t="shared" si="64"/>
        <v>0</v>
      </c>
      <c r="AM50" s="106">
        <f t="shared" si="64"/>
        <v>120.2</v>
      </c>
      <c r="AN50" s="106">
        <f t="shared" si="64"/>
        <v>0</v>
      </c>
      <c r="AO50" s="106">
        <f t="shared" si="64"/>
        <v>0</v>
      </c>
      <c r="AP50" s="106">
        <f t="shared" si="64"/>
        <v>0</v>
      </c>
      <c r="AQ50" s="106">
        <f t="shared" si="64"/>
        <v>0</v>
      </c>
      <c r="AR50" s="106">
        <f t="shared" si="64"/>
        <v>0</v>
      </c>
      <c r="AS50" s="320"/>
      <c r="AT50" s="365"/>
      <c r="AU50" s="121">
        <f t="shared" si="46"/>
        <v>479.2</v>
      </c>
      <c r="AV50" s="121">
        <f t="shared" si="47"/>
        <v>0</v>
      </c>
      <c r="AW50" s="155">
        <f t="shared" si="48"/>
        <v>0</v>
      </c>
    </row>
    <row r="51" spans="1:49" s="100" customFormat="1" ht="24">
      <c r="A51" s="361"/>
      <c r="B51" s="362"/>
      <c r="C51" s="362"/>
      <c r="D51" s="363"/>
      <c r="E51" s="110" t="s">
        <v>257</v>
      </c>
      <c r="F51" s="106">
        <f>F59</f>
        <v>0</v>
      </c>
      <c r="G51" s="106">
        <f t="shared" si="64"/>
        <v>0</v>
      </c>
      <c r="H51" s="106">
        <v>0</v>
      </c>
      <c r="I51" s="106">
        <f t="shared" si="64"/>
        <v>0</v>
      </c>
      <c r="J51" s="106">
        <f t="shared" si="64"/>
        <v>0</v>
      </c>
      <c r="K51" s="106">
        <f t="shared" si="64"/>
        <v>0</v>
      </c>
      <c r="L51" s="106">
        <f t="shared" si="64"/>
        <v>0</v>
      </c>
      <c r="M51" s="106">
        <f t="shared" si="64"/>
        <v>0</v>
      </c>
      <c r="N51" s="106">
        <v>0</v>
      </c>
      <c r="O51" s="106">
        <f t="shared" si="64"/>
        <v>0</v>
      </c>
      <c r="P51" s="106">
        <f t="shared" si="64"/>
        <v>0</v>
      </c>
      <c r="Q51" s="106">
        <f t="shared" si="64"/>
        <v>0</v>
      </c>
      <c r="R51" s="106">
        <f t="shared" si="64"/>
        <v>0</v>
      </c>
      <c r="S51" s="106">
        <f t="shared" si="64"/>
        <v>0</v>
      </c>
      <c r="T51" s="106">
        <f t="shared" si="64"/>
        <v>0</v>
      </c>
      <c r="U51" s="106">
        <f t="shared" si="64"/>
        <v>0</v>
      </c>
      <c r="V51" s="106">
        <f t="shared" si="64"/>
        <v>0</v>
      </c>
      <c r="W51" s="106">
        <f t="shared" si="64"/>
        <v>0</v>
      </c>
      <c r="X51" s="106">
        <f t="shared" si="64"/>
        <v>0</v>
      </c>
      <c r="Y51" s="106">
        <f t="shared" si="64"/>
        <v>0</v>
      </c>
      <c r="Z51" s="106">
        <f t="shared" si="64"/>
        <v>0</v>
      </c>
      <c r="AA51" s="106">
        <f t="shared" si="64"/>
        <v>0</v>
      </c>
      <c r="AB51" s="106">
        <f t="shared" si="64"/>
        <v>0</v>
      </c>
      <c r="AC51" s="106">
        <f t="shared" si="64"/>
        <v>0</v>
      </c>
      <c r="AD51" s="106">
        <f t="shared" si="64"/>
        <v>0</v>
      </c>
      <c r="AE51" s="106">
        <f t="shared" si="64"/>
        <v>0</v>
      </c>
      <c r="AF51" s="106">
        <f t="shared" si="64"/>
        <v>0</v>
      </c>
      <c r="AG51" s="106">
        <f t="shared" si="64"/>
        <v>0</v>
      </c>
      <c r="AH51" s="106">
        <f t="shared" si="64"/>
        <v>0</v>
      </c>
      <c r="AI51" s="106">
        <f t="shared" si="64"/>
        <v>0</v>
      </c>
      <c r="AJ51" s="106">
        <f t="shared" si="64"/>
        <v>0</v>
      </c>
      <c r="AK51" s="106">
        <f t="shared" si="64"/>
        <v>0</v>
      </c>
      <c r="AL51" s="106">
        <f t="shared" si="64"/>
        <v>0</v>
      </c>
      <c r="AM51" s="106">
        <f t="shared" si="64"/>
        <v>0</v>
      </c>
      <c r="AN51" s="106">
        <f t="shared" si="64"/>
        <v>0</v>
      </c>
      <c r="AO51" s="106">
        <f t="shared" si="64"/>
        <v>0</v>
      </c>
      <c r="AP51" s="106">
        <f t="shared" si="64"/>
        <v>0</v>
      </c>
      <c r="AQ51" s="106">
        <f t="shared" si="64"/>
        <v>0</v>
      </c>
      <c r="AR51" s="106">
        <f t="shared" si="64"/>
        <v>0</v>
      </c>
      <c r="AS51" s="321"/>
      <c r="AT51" s="366"/>
      <c r="AU51" s="121"/>
      <c r="AV51" s="121"/>
      <c r="AW51" s="155"/>
    </row>
    <row r="52" spans="1:49" s="100" customFormat="1" ht="84">
      <c r="A52" s="133" t="s">
        <v>370</v>
      </c>
      <c r="B52" s="161" t="s">
        <v>371</v>
      </c>
      <c r="C52" s="162" t="s">
        <v>276</v>
      </c>
      <c r="D52" s="171" t="s">
        <v>372</v>
      </c>
      <c r="E52" s="143" t="s">
        <v>275</v>
      </c>
      <c r="F52" s="149" t="s">
        <v>279</v>
      </c>
      <c r="G52" s="149" t="s">
        <v>279</v>
      </c>
      <c r="H52" s="149" t="s">
        <v>279</v>
      </c>
      <c r="I52" s="149" t="s">
        <v>279</v>
      </c>
      <c r="J52" s="149" t="s">
        <v>279</v>
      </c>
      <c r="K52" s="149" t="s">
        <v>279</v>
      </c>
      <c r="L52" s="149" t="s">
        <v>279</v>
      </c>
      <c r="M52" s="149" t="s">
        <v>279</v>
      </c>
      <c r="N52" s="149" t="s">
        <v>279</v>
      </c>
      <c r="O52" s="149" t="s">
        <v>279</v>
      </c>
      <c r="P52" s="149" t="s">
        <v>279</v>
      </c>
      <c r="Q52" s="149" t="s">
        <v>279</v>
      </c>
      <c r="R52" s="149" t="s">
        <v>279</v>
      </c>
      <c r="S52" s="149" t="s">
        <v>279</v>
      </c>
      <c r="T52" s="149" t="s">
        <v>279</v>
      </c>
      <c r="U52" s="149" t="s">
        <v>279</v>
      </c>
      <c r="V52" s="149" t="s">
        <v>279</v>
      </c>
      <c r="W52" s="149" t="s">
        <v>279</v>
      </c>
      <c r="X52" s="149" t="s">
        <v>279</v>
      </c>
      <c r="Y52" s="149" t="s">
        <v>279</v>
      </c>
      <c r="Z52" s="149" t="s">
        <v>279</v>
      </c>
      <c r="AA52" s="149" t="s">
        <v>279</v>
      </c>
      <c r="AB52" s="149" t="s">
        <v>279</v>
      </c>
      <c r="AC52" s="149" t="s">
        <v>279</v>
      </c>
      <c r="AD52" s="149" t="s">
        <v>279</v>
      </c>
      <c r="AE52" s="149" t="s">
        <v>279</v>
      </c>
      <c r="AF52" s="149" t="s">
        <v>279</v>
      </c>
      <c r="AG52" s="149" t="s">
        <v>279</v>
      </c>
      <c r="AH52" s="149" t="s">
        <v>279</v>
      </c>
      <c r="AI52" s="149" t="s">
        <v>279</v>
      </c>
      <c r="AJ52" s="149" t="s">
        <v>279</v>
      </c>
      <c r="AK52" s="149" t="s">
        <v>279</v>
      </c>
      <c r="AL52" s="149" t="s">
        <v>279</v>
      </c>
      <c r="AM52" s="149" t="s">
        <v>279</v>
      </c>
      <c r="AN52" s="149" t="s">
        <v>279</v>
      </c>
      <c r="AO52" s="149" t="s">
        <v>279</v>
      </c>
      <c r="AP52" s="149" t="s">
        <v>279</v>
      </c>
      <c r="AQ52" s="149" t="s">
        <v>279</v>
      </c>
      <c r="AR52" s="149" t="s">
        <v>279</v>
      </c>
      <c r="AS52" s="144" t="s">
        <v>311</v>
      </c>
      <c r="AT52" s="139"/>
      <c r="AU52" s="121"/>
      <c r="AV52" s="121"/>
      <c r="AW52" s="155"/>
    </row>
    <row r="53" spans="1:49" s="100" customFormat="1" ht="264">
      <c r="A53" s="159" t="s">
        <v>373</v>
      </c>
      <c r="B53" s="161" t="s">
        <v>374</v>
      </c>
      <c r="C53" s="162" t="s">
        <v>375</v>
      </c>
      <c r="D53" s="171" t="s">
        <v>376</v>
      </c>
      <c r="E53" s="143" t="s">
        <v>275</v>
      </c>
      <c r="F53" s="149" t="s">
        <v>279</v>
      </c>
      <c r="G53" s="149" t="s">
        <v>279</v>
      </c>
      <c r="H53" s="149" t="s">
        <v>279</v>
      </c>
      <c r="I53" s="149" t="s">
        <v>279</v>
      </c>
      <c r="J53" s="149" t="s">
        <v>279</v>
      </c>
      <c r="K53" s="149" t="s">
        <v>279</v>
      </c>
      <c r="L53" s="149" t="s">
        <v>279</v>
      </c>
      <c r="M53" s="149" t="s">
        <v>279</v>
      </c>
      <c r="N53" s="149" t="s">
        <v>279</v>
      </c>
      <c r="O53" s="149" t="s">
        <v>279</v>
      </c>
      <c r="P53" s="149" t="s">
        <v>279</v>
      </c>
      <c r="Q53" s="149" t="s">
        <v>279</v>
      </c>
      <c r="R53" s="149" t="s">
        <v>279</v>
      </c>
      <c r="S53" s="149" t="s">
        <v>279</v>
      </c>
      <c r="T53" s="149" t="s">
        <v>279</v>
      </c>
      <c r="U53" s="149" t="s">
        <v>279</v>
      </c>
      <c r="V53" s="149" t="s">
        <v>279</v>
      </c>
      <c r="W53" s="149" t="s">
        <v>279</v>
      </c>
      <c r="X53" s="149" t="s">
        <v>279</v>
      </c>
      <c r="Y53" s="149" t="s">
        <v>279</v>
      </c>
      <c r="Z53" s="149" t="s">
        <v>279</v>
      </c>
      <c r="AA53" s="149" t="s">
        <v>279</v>
      </c>
      <c r="AB53" s="149" t="s">
        <v>279</v>
      </c>
      <c r="AC53" s="149" t="s">
        <v>279</v>
      </c>
      <c r="AD53" s="149" t="s">
        <v>279</v>
      </c>
      <c r="AE53" s="149" t="s">
        <v>279</v>
      </c>
      <c r="AF53" s="149" t="s">
        <v>279</v>
      </c>
      <c r="AG53" s="149" t="s">
        <v>279</v>
      </c>
      <c r="AH53" s="149" t="s">
        <v>279</v>
      </c>
      <c r="AI53" s="149" t="s">
        <v>279</v>
      </c>
      <c r="AJ53" s="149" t="s">
        <v>279</v>
      </c>
      <c r="AK53" s="149" t="s">
        <v>279</v>
      </c>
      <c r="AL53" s="149" t="s">
        <v>279</v>
      </c>
      <c r="AM53" s="149" t="s">
        <v>279</v>
      </c>
      <c r="AN53" s="149" t="s">
        <v>279</v>
      </c>
      <c r="AO53" s="149" t="s">
        <v>279</v>
      </c>
      <c r="AP53" s="149" t="s">
        <v>279</v>
      </c>
      <c r="AQ53" s="149" t="s">
        <v>279</v>
      </c>
      <c r="AR53" s="149" t="s">
        <v>279</v>
      </c>
      <c r="AS53" s="156" t="s">
        <v>306</v>
      </c>
      <c r="AT53" s="140"/>
      <c r="AU53" s="121"/>
      <c r="AV53" s="121"/>
      <c r="AW53" s="155"/>
    </row>
    <row r="54" spans="1:49" s="100" customFormat="1" ht="72">
      <c r="A54" s="133" t="s">
        <v>377</v>
      </c>
      <c r="B54" s="165" t="s">
        <v>378</v>
      </c>
      <c r="C54" s="162" t="s">
        <v>276</v>
      </c>
      <c r="D54" s="171" t="s">
        <v>379</v>
      </c>
      <c r="E54" s="143" t="s">
        <v>275</v>
      </c>
      <c r="F54" s="149" t="s">
        <v>279</v>
      </c>
      <c r="G54" s="149" t="s">
        <v>279</v>
      </c>
      <c r="H54" s="149" t="s">
        <v>279</v>
      </c>
      <c r="I54" s="149" t="s">
        <v>279</v>
      </c>
      <c r="J54" s="149" t="s">
        <v>279</v>
      </c>
      <c r="K54" s="149" t="s">
        <v>279</v>
      </c>
      <c r="L54" s="149" t="s">
        <v>279</v>
      </c>
      <c r="M54" s="149" t="s">
        <v>279</v>
      </c>
      <c r="N54" s="149" t="s">
        <v>279</v>
      </c>
      <c r="O54" s="149" t="s">
        <v>279</v>
      </c>
      <c r="P54" s="149" t="s">
        <v>279</v>
      </c>
      <c r="Q54" s="149" t="s">
        <v>279</v>
      </c>
      <c r="R54" s="149" t="s">
        <v>279</v>
      </c>
      <c r="S54" s="149" t="s">
        <v>279</v>
      </c>
      <c r="T54" s="149" t="s">
        <v>279</v>
      </c>
      <c r="U54" s="149" t="s">
        <v>279</v>
      </c>
      <c r="V54" s="149" t="s">
        <v>279</v>
      </c>
      <c r="W54" s="149" t="s">
        <v>279</v>
      </c>
      <c r="X54" s="149" t="s">
        <v>279</v>
      </c>
      <c r="Y54" s="149" t="s">
        <v>279</v>
      </c>
      <c r="Z54" s="149" t="s">
        <v>279</v>
      </c>
      <c r="AA54" s="149" t="s">
        <v>279</v>
      </c>
      <c r="AB54" s="149" t="s">
        <v>279</v>
      </c>
      <c r="AC54" s="149" t="s">
        <v>279</v>
      </c>
      <c r="AD54" s="149" t="s">
        <v>279</v>
      </c>
      <c r="AE54" s="149" t="s">
        <v>279</v>
      </c>
      <c r="AF54" s="149" t="s">
        <v>279</v>
      </c>
      <c r="AG54" s="149" t="s">
        <v>279</v>
      </c>
      <c r="AH54" s="149" t="s">
        <v>279</v>
      </c>
      <c r="AI54" s="149" t="s">
        <v>279</v>
      </c>
      <c r="AJ54" s="149" t="s">
        <v>279</v>
      </c>
      <c r="AK54" s="149" t="s">
        <v>279</v>
      </c>
      <c r="AL54" s="149" t="s">
        <v>279</v>
      </c>
      <c r="AM54" s="149" t="s">
        <v>279</v>
      </c>
      <c r="AN54" s="149" t="s">
        <v>279</v>
      </c>
      <c r="AO54" s="149" t="s">
        <v>279</v>
      </c>
      <c r="AP54" s="149" t="s">
        <v>279</v>
      </c>
      <c r="AQ54" s="149"/>
      <c r="AR54" s="149"/>
      <c r="AS54" s="144" t="s">
        <v>312</v>
      </c>
      <c r="AT54" s="140"/>
      <c r="AU54" s="121"/>
      <c r="AV54" s="121"/>
      <c r="AW54" s="155"/>
    </row>
    <row r="55" spans="1:49" s="100" customFormat="1" ht="84">
      <c r="A55" s="136" t="s">
        <v>380</v>
      </c>
      <c r="B55" s="137" t="s">
        <v>278</v>
      </c>
      <c r="C55" s="135" t="s">
        <v>276</v>
      </c>
      <c r="D55" s="171" t="s">
        <v>381</v>
      </c>
      <c r="E55" s="143" t="s">
        <v>275</v>
      </c>
      <c r="F55" s="149" t="s">
        <v>279</v>
      </c>
      <c r="G55" s="149" t="s">
        <v>279</v>
      </c>
      <c r="H55" s="149" t="s">
        <v>279</v>
      </c>
      <c r="I55" s="149" t="s">
        <v>279</v>
      </c>
      <c r="J55" s="149" t="s">
        <v>279</v>
      </c>
      <c r="K55" s="149" t="s">
        <v>279</v>
      </c>
      <c r="L55" s="149" t="s">
        <v>279</v>
      </c>
      <c r="M55" s="149" t="s">
        <v>279</v>
      </c>
      <c r="N55" s="149" t="s">
        <v>279</v>
      </c>
      <c r="O55" s="149" t="s">
        <v>279</v>
      </c>
      <c r="P55" s="149" t="s">
        <v>279</v>
      </c>
      <c r="Q55" s="149" t="s">
        <v>279</v>
      </c>
      <c r="R55" s="149" t="s">
        <v>279</v>
      </c>
      <c r="S55" s="149" t="s">
        <v>279</v>
      </c>
      <c r="T55" s="149" t="s">
        <v>279</v>
      </c>
      <c r="U55" s="149" t="s">
        <v>279</v>
      </c>
      <c r="V55" s="149" t="s">
        <v>279</v>
      </c>
      <c r="W55" s="149" t="s">
        <v>279</v>
      </c>
      <c r="X55" s="149" t="s">
        <v>279</v>
      </c>
      <c r="Y55" s="149" t="s">
        <v>279</v>
      </c>
      <c r="Z55" s="149" t="s">
        <v>279</v>
      </c>
      <c r="AA55" s="149" t="s">
        <v>279</v>
      </c>
      <c r="AB55" s="149" t="s">
        <v>279</v>
      </c>
      <c r="AC55" s="149" t="s">
        <v>279</v>
      </c>
      <c r="AD55" s="149" t="s">
        <v>279</v>
      </c>
      <c r="AE55" s="149" t="s">
        <v>279</v>
      </c>
      <c r="AF55" s="149" t="s">
        <v>279</v>
      </c>
      <c r="AG55" s="149" t="s">
        <v>279</v>
      </c>
      <c r="AH55" s="149" t="s">
        <v>279</v>
      </c>
      <c r="AI55" s="149" t="s">
        <v>279</v>
      </c>
      <c r="AJ55" s="149" t="s">
        <v>279</v>
      </c>
      <c r="AK55" s="149" t="s">
        <v>279</v>
      </c>
      <c r="AL55" s="149" t="s">
        <v>279</v>
      </c>
      <c r="AM55" s="149" t="s">
        <v>279</v>
      </c>
      <c r="AN55" s="149" t="s">
        <v>279</v>
      </c>
      <c r="AO55" s="149" t="s">
        <v>279</v>
      </c>
      <c r="AP55" s="149" t="s">
        <v>279</v>
      </c>
      <c r="AQ55" s="149"/>
      <c r="AR55" s="149"/>
      <c r="AS55" s="144" t="s">
        <v>313</v>
      </c>
      <c r="AT55" s="140"/>
      <c r="AU55" s="121"/>
      <c r="AV55" s="121"/>
      <c r="AW55" s="155"/>
    </row>
    <row r="56" spans="1:49" s="31" customFormat="1" ht="12.75">
      <c r="A56" s="367" t="s">
        <v>382</v>
      </c>
      <c r="B56" s="331" t="s">
        <v>259</v>
      </c>
      <c r="C56" s="334" t="s">
        <v>271</v>
      </c>
      <c r="D56" s="337" t="s">
        <v>383</v>
      </c>
      <c r="E56" s="107" t="s">
        <v>42</v>
      </c>
      <c r="F56" s="123">
        <f>SUM(F57:F59)</f>
        <v>599.4</v>
      </c>
      <c r="G56" s="123">
        <f t="shared" ref="G56" si="66">SUM(G57:G59)</f>
        <v>0</v>
      </c>
      <c r="H56" s="123">
        <f>G56/F56*100</f>
        <v>0</v>
      </c>
      <c r="I56" s="132">
        <f t="shared" ref="I56:AP56" si="67">I57+I58+I59</f>
        <v>0</v>
      </c>
      <c r="J56" s="132">
        <f t="shared" si="67"/>
        <v>0</v>
      </c>
      <c r="K56" s="123">
        <v>0</v>
      </c>
      <c r="L56" s="132">
        <f t="shared" si="67"/>
        <v>0</v>
      </c>
      <c r="M56" s="132">
        <f t="shared" si="67"/>
        <v>0</v>
      </c>
      <c r="N56" s="132">
        <v>0</v>
      </c>
      <c r="O56" s="132">
        <f t="shared" si="67"/>
        <v>119.8</v>
      </c>
      <c r="P56" s="132">
        <f t="shared" si="67"/>
        <v>0</v>
      </c>
      <c r="Q56" s="123">
        <f t="shared" ref="Q56:Q58" si="68">P56/O56*100</f>
        <v>0</v>
      </c>
      <c r="R56" s="132">
        <f t="shared" si="67"/>
        <v>0</v>
      </c>
      <c r="S56" s="132">
        <f t="shared" si="67"/>
        <v>0</v>
      </c>
      <c r="T56" s="132">
        <f t="shared" si="67"/>
        <v>0</v>
      </c>
      <c r="U56" s="132">
        <f t="shared" si="67"/>
        <v>0</v>
      </c>
      <c r="V56" s="132">
        <f t="shared" si="67"/>
        <v>0</v>
      </c>
      <c r="W56" s="123">
        <v>0</v>
      </c>
      <c r="X56" s="132">
        <f t="shared" si="67"/>
        <v>179.7</v>
      </c>
      <c r="Y56" s="132">
        <f t="shared" si="67"/>
        <v>0</v>
      </c>
      <c r="Z56" s="132">
        <f t="shared" si="67"/>
        <v>0</v>
      </c>
      <c r="AA56" s="132">
        <f t="shared" si="67"/>
        <v>0</v>
      </c>
      <c r="AB56" s="132">
        <f t="shared" si="67"/>
        <v>0</v>
      </c>
      <c r="AC56" s="132">
        <f t="shared" si="67"/>
        <v>0</v>
      </c>
      <c r="AD56" s="132">
        <f t="shared" si="67"/>
        <v>0</v>
      </c>
      <c r="AE56" s="132">
        <f t="shared" si="67"/>
        <v>0</v>
      </c>
      <c r="AF56" s="132">
        <f t="shared" si="67"/>
        <v>0</v>
      </c>
      <c r="AG56" s="132">
        <f t="shared" si="67"/>
        <v>179.7</v>
      </c>
      <c r="AH56" s="132">
        <f t="shared" si="67"/>
        <v>0</v>
      </c>
      <c r="AI56" s="117">
        <f>AH56/AG56*100</f>
        <v>0</v>
      </c>
      <c r="AJ56" s="132">
        <f t="shared" si="67"/>
        <v>0</v>
      </c>
      <c r="AK56" s="132">
        <f t="shared" si="67"/>
        <v>0</v>
      </c>
      <c r="AL56" s="132">
        <f t="shared" si="67"/>
        <v>0</v>
      </c>
      <c r="AM56" s="132">
        <f t="shared" si="67"/>
        <v>120.2</v>
      </c>
      <c r="AN56" s="132">
        <f t="shared" si="67"/>
        <v>0</v>
      </c>
      <c r="AO56" s="132">
        <f t="shared" si="67"/>
        <v>0</v>
      </c>
      <c r="AP56" s="132">
        <f t="shared" si="67"/>
        <v>0</v>
      </c>
      <c r="AQ56" s="104"/>
      <c r="AR56" s="104"/>
      <c r="AS56" s="340" t="s">
        <v>314</v>
      </c>
      <c r="AT56" s="343"/>
      <c r="AU56" s="121">
        <f t="shared" si="46"/>
        <v>479.2</v>
      </c>
      <c r="AV56" s="121">
        <f t="shared" si="47"/>
        <v>0</v>
      </c>
      <c r="AW56" s="155">
        <f t="shared" si="48"/>
        <v>0</v>
      </c>
    </row>
    <row r="57" spans="1:49" s="31" customFormat="1" ht="36">
      <c r="A57" s="368"/>
      <c r="B57" s="332"/>
      <c r="C57" s="335"/>
      <c r="D57" s="338"/>
      <c r="E57" s="108" t="s">
        <v>3</v>
      </c>
      <c r="F57" s="123">
        <f>I57+L57+O57+R57+U57+X57+AA57+AD57+AG57+AJ57+AM57+AP57</f>
        <v>0</v>
      </c>
      <c r="G57" s="123">
        <f>J57+M57+P57+S57+V57+Y57+AB57+AE57+AH57+AK57+AN57+AQ57</f>
        <v>0</v>
      </c>
      <c r="H57" s="123">
        <v>0</v>
      </c>
      <c r="I57" s="123">
        <v>0</v>
      </c>
      <c r="J57" s="123">
        <v>0</v>
      </c>
      <c r="K57" s="123">
        <v>0</v>
      </c>
      <c r="L57" s="150">
        <v>0</v>
      </c>
      <c r="M57" s="123">
        <v>0</v>
      </c>
      <c r="N57" s="138">
        <v>0</v>
      </c>
      <c r="O57" s="123">
        <v>0</v>
      </c>
      <c r="P57" s="123">
        <v>0</v>
      </c>
      <c r="Q57" s="123">
        <v>0</v>
      </c>
      <c r="R57" s="123">
        <v>0</v>
      </c>
      <c r="S57" s="123">
        <v>0</v>
      </c>
      <c r="T57" s="123">
        <v>0</v>
      </c>
      <c r="U57" s="117">
        <v>0</v>
      </c>
      <c r="V57" s="117">
        <v>0</v>
      </c>
      <c r="W57" s="117">
        <v>0</v>
      </c>
      <c r="X57" s="117">
        <v>0</v>
      </c>
      <c r="Y57" s="117">
        <v>0</v>
      </c>
      <c r="Z57" s="117">
        <v>0</v>
      </c>
      <c r="AA57" s="117">
        <v>0</v>
      </c>
      <c r="AB57" s="117">
        <v>0</v>
      </c>
      <c r="AC57" s="117">
        <v>0</v>
      </c>
      <c r="AD57" s="117">
        <v>0</v>
      </c>
      <c r="AE57" s="117">
        <v>0</v>
      </c>
      <c r="AF57" s="117">
        <v>0</v>
      </c>
      <c r="AG57" s="117">
        <v>0</v>
      </c>
      <c r="AH57" s="117">
        <v>0</v>
      </c>
      <c r="AI57" s="117">
        <v>0</v>
      </c>
      <c r="AJ57" s="123">
        <v>0</v>
      </c>
      <c r="AK57" s="123">
        <v>0</v>
      </c>
      <c r="AL57" s="123">
        <v>0</v>
      </c>
      <c r="AM57" s="117">
        <v>0</v>
      </c>
      <c r="AN57" s="117">
        <v>0</v>
      </c>
      <c r="AO57" s="117">
        <v>0</v>
      </c>
      <c r="AP57" s="123">
        <v>0</v>
      </c>
      <c r="AQ57" s="104"/>
      <c r="AR57" s="104"/>
      <c r="AS57" s="341"/>
      <c r="AT57" s="344"/>
      <c r="AU57" s="121"/>
      <c r="AV57" s="121"/>
      <c r="AW57" s="155"/>
    </row>
    <row r="58" spans="1:49" s="31" customFormat="1" ht="12.75">
      <c r="A58" s="368"/>
      <c r="B58" s="332"/>
      <c r="C58" s="335"/>
      <c r="D58" s="338"/>
      <c r="E58" s="108" t="s">
        <v>44</v>
      </c>
      <c r="F58" s="123">
        <f t="shared" ref="F58:F59" si="69">I58+L58+O58+R58+U58+X58+AA58+AD58+AG58+AJ58+AM58+AP58</f>
        <v>599.4</v>
      </c>
      <c r="G58" s="123">
        <f t="shared" ref="G58:G59" si="70">J58+M58+P58+S58+V58+Y58+AB58+AE58+AH58+AK58+AN58+AQ58</f>
        <v>0</v>
      </c>
      <c r="H58" s="123">
        <f>G58/F58*100</f>
        <v>0</v>
      </c>
      <c r="I58" s="123">
        <v>0</v>
      </c>
      <c r="J58" s="123">
        <v>0</v>
      </c>
      <c r="K58" s="123">
        <v>0</v>
      </c>
      <c r="L58" s="150">
        <v>0</v>
      </c>
      <c r="M58" s="123">
        <v>0</v>
      </c>
      <c r="N58" s="138">
        <v>0</v>
      </c>
      <c r="O58" s="123">
        <v>119.8</v>
      </c>
      <c r="P58" s="123">
        <v>0</v>
      </c>
      <c r="Q58" s="123">
        <f t="shared" si="68"/>
        <v>0</v>
      </c>
      <c r="R58" s="123">
        <v>0</v>
      </c>
      <c r="S58" s="123">
        <v>0</v>
      </c>
      <c r="T58" s="123">
        <v>0</v>
      </c>
      <c r="U58" s="117">
        <v>0</v>
      </c>
      <c r="V58" s="117">
        <v>0</v>
      </c>
      <c r="W58" s="123">
        <v>0</v>
      </c>
      <c r="X58" s="117">
        <v>179.7</v>
      </c>
      <c r="Y58" s="117">
        <v>0</v>
      </c>
      <c r="Z58" s="117">
        <f>Y58/X58*100</f>
        <v>0</v>
      </c>
      <c r="AA58" s="117">
        <v>0</v>
      </c>
      <c r="AB58" s="117">
        <v>0</v>
      </c>
      <c r="AC58" s="117">
        <v>0</v>
      </c>
      <c r="AD58" s="117">
        <v>0</v>
      </c>
      <c r="AE58" s="117">
        <v>0</v>
      </c>
      <c r="AF58" s="117">
        <v>0</v>
      </c>
      <c r="AG58" s="117">
        <v>179.7</v>
      </c>
      <c r="AH58" s="117">
        <v>0</v>
      </c>
      <c r="AI58" s="117">
        <f>AH58/AG58*100</f>
        <v>0</v>
      </c>
      <c r="AJ58" s="123">
        <v>0</v>
      </c>
      <c r="AK58" s="123">
        <v>0</v>
      </c>
      <c r="AL58" s="123">
        <v>0</v>
      </c>
      <c r="AM58" s="117">
        <v>120.2</v>
      </c>
      <c r="AN58" s="117">
        <v>0</v>
      </c>
      <c r="AO58" s="117">
        <v>0</v>
      </c>
      <c r="AP58" s="123">
        <v>0</v>
      </c>
      <c r="AQ58" s="104"/>
      <c r="AR58" s="104"/>
      <c r="AS58" s="341"/>
      <c r="AT58" s="344"/>
      <c r="AU58" s="121">
        <f t="shared" si="46"/>
        <v>479.2</v>
      </c>
      <c r="AV58" s="121">
        <f t="shared" si="47"/>
        <v>0</v>
      </c>
      <c r="AW58" s="155">
        <f t="shared" si="48"/>
        <v>0</v>
      </c>
    </row>
    <row r="59" spans="1:49" s="31" customFormat="1" ht="24">
      <c r="A59" s="369"/>
      <c r="B59" s="333"/>
      <c r="C59" s="336"/>
      <c r="D59" s="339"/>
      <c r="E59" s="109" t="s">
        <v>257</v>
      </c>
      <c r="F59" s="123">
        <f t="shared" si="69"/>
        <v>0</v>
      </c>
      <c r="G59" s="123">
        <f t="shared" si="70"/>
        <v>0</v>
      </c>
      <c r="H59" s="123">
        <v>0</v>
      </c>
      <c r="I59" s="123">
        <v>0</v>
      </c>
      <c r="J59" s="123">
        <v>0</v>
      </c>
      <c r="K59" s="123">
        <v>0</v>
      </c>
      <c r="L59" s="150">
        <v>0</v>
      </c>
      <c r="M59" s="123">
        <v>0</v>
      </c>
      <c r="N59" s="123">
        <v>0</v>
      </c>
      <c r="O59" s="123">
        <v>0</v>
      </c>
      <c r="P59" s="123">
        <v>0</v>
      </c>
      <c r="Q59" s="123">
        <v>0</v>
      </c>
      <c r="R59" s="123">
        <v>0</v>
      </c>
      <c r="S59" s="123">
        <v>0</v>
      </c>
      <c r="T59" s="123">
        <v>0</v>
      </c>
      <c r="U59" s="117">
        <v>0</v>
      </c>
      <c r="V59" s="117">
        <v>0</v>
      </c>
      <c r="W59" s="117">
        <v>0</v>
      </c>
      <c r="X59" s="117">
        <v>0</v>
      </c>
      <c r="Y59" s="117">
        <v>0</v>
      </c>
      <c r="Z59" s="117">
        <v>0</v>
      </c>
      <c r="AA59" s="117">
        <v>0</v>
      </c>
      <c r="AB59" s="117">
        <v>0</v>
      </c>
      <c r="AC59" s="117">
        <v>0</v>
      </c>
      <c r="AD59" s="117">
        <v>0</v>
      </c>
      <c r="AE59" s="117">
        <v>0</v>
      </c>
      <c r="AF59" s="117">
        <v>0</v>
      </c>
      <c r="AG59" s="117">
        <v>0</v>
      </c>
      <c r="AH59" s="117">
        <v>0</v>
      </c>
      <c r="AI59" s="117">
        <v>0</v>
      </c>
      <c r="AJ59" s="123">
        <v>0</v>
      </c>
      <c r="AK59" s="123">
        <v>0</v>
      </c>
      <c r="AL59" s="123">
        <v>0</v>
      </c>
      <c r="AM59" s="117">
        <v>0</v>
      </c>
      <c r="AN59" s="117">
        <v>0</v>
      </c>
      <c r="AO59" s="117">
        <v>0</v>
      </c>
      <c r="AP59" s="123">
        <v>0</v>
      </c>
      <c r="AQ59" s="104"/>
      <c r="AR59" s="104"/>
      <c r="AS59" s="342"/>
      <c r="AT59" s="345"/>
      <c r="AU59" s="121"/>
      <c r="AV59" s="121"/>
      <c r="AW59" s="155"/>
    </row>
    <row r="60" spans="1:49" s="31" customFormat="1" ht="15.75">
      <c r="A60" s="352" t="s">
        <v>384</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4"/>
      <c r="AU60" s="121"/>
      <c r="AV60" s="121"/>
      <c r="AW60" s="155"/>
    </row>
    <row r="61" spans="1:49" s="31" customFormat="1" ht="15.75">
      <c r="A61" s="352" t="s">
        <v>385</v>
      </c>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4"/>
      <c r="AU61" s="121"/>
      <c r="AV61" s="121"/>
      <c r="AW61" s="155"/>
    </row>
    <row r="62" spans="1:49" s="100" customFormat="1" ht="12.75">
      <c r="A62" s="355" t="s">
        <v>272</v>
      </c>
      <c r="B62" s="356"/>
      <c r="C62" s="356"/>
      <c r="D62" s="357"/>
      <c r="E62" s="129" t="s">
        <v>42</v>
      </c>
      <c r="F62" s="106">
        <f>F63+F64+F65</f>
        <v>10628.100000000002</v>
      </c>
      <c r="G62" s="106">
        <f t="shared" ref="G62:AP62" si="71">G63+G64+G65</f>
        <v>0</v>
      </c>
      <c r="H62" s="106">
        <f>G62/F62*100</f>
        <v>0</v>
      </c>
      <c r="I62" s="106">
        <f t="shared" si="71"/>
        <v>0</v>
      </c>
      <c r="J62" s="106">
        <f t="shared" si="71"/>
        <v>0</v>
      </c>
      <c r="K62" s="106">
        <v>0</v>
      </c>
      <c r="L62" s="106">
        <f t="shared" si="71"/>
        <v>2337.5</v>
      </c>
      <c r="M62" s="106">
        <f t="shared" si="71"/>
        <v>0</v>
      </c>
      <c r="N62" s="106">
        <f t="shared" si="71"/>
        <v>0</v>
      </c>
      <c r="O62" s="106">
        <f t="shared" si="71"/>
        <v>2141.4</v>
      </c>
      <c r="P62" s="106">
        <f t="shared" si="71"/>
        <v>0</v>
      </c>
      <c r="Q62" s="106">
        <f>P62/O62*100</f>
        <v>0</v>
      </c>
      <c r="R62" s="106">
        <f t="shared" si="71"/>
        <v>328.59999999999997</v>
      </c>
      <c r="S62" s="106">
        <f t="shared" si="71"/>
        <v>0</v>
      </c>
      <c r="T62" s="106">
        <f>S62/R62*100</f>
        <v>0</v>
      </c>
      <c r="U62" s="106">
        <f t="shared" si="71"/>
        <v>1220.6000000000001</v>
      </c>
      <c r="V62" s="106">
        <f t="shared" si="71"/>
        <v>0</v>
      </c>
      <c r="W62" s="106">
        <f t="shared" si="71"/>
        <v>0</v>
      </c>
      <c r="X62" s="106">
        <f t="shared" si="71"/>
        <v>1288.6000000000001</v>
      </c>
      <c r="Y62" s="106">
        <f t="shared" si="71"/>
        <v>0</v>
      </c>
      <c r="Z62" s="106">
        <f t="shared" si="71"/>
        <v>0</v>
      </c>
      <c r="AA62" s="106">
        <f t="shared" si="71"/>
        <v>1075.6000000000001</v>
      </c>
      <c r="AB62" s="106">
        <f t="shared" si="71"/>
        <v>0</v>
      </c>
      <c r="AC62" s="106">
        <f t="shared" si="71"/>
        <v>0</v>
      </c>
      <c r="AD62" s="106">
        <f t="shared" si="71"/>
        <v>150.6</v>
      </c>
      <c r="AE62" s="106">
        <f t="shared" si="71"/>
        <v>0</v>
      </c>
      <c r="AF62" s="106">
        <f t="shared" ref="AF62" si="72">AE62/AD62*100</f>
        <v>0</v>
      </c>
      <c r="AG62" s="106">
        <f t="shared" si="71"/>
        <v>200.6</v>
      </c>
      <c r="AH62" s="106">
        <f t="shared" si="71"/>
        <v>0</v>
      </c>
      <c r="AI62" s="106">
        <f t="shared" si="71"/>
        <v>0</v>
      </c>
      <c r="AJ62" s="106">
        <f t="shared" si="71"/>
        <v>162.6</v>
      </c>
      <c r="AK62" s="106">
        <f t="shared" si="71"/>
        <v>0</v>
      </c>
      <c r="AL62" s="106">
        <f t="shared" si="71"/>
        <v>0</v>
      </c>
      <c r="AM62" s="106">
        <f t="shared" si="71"/>
        <v>1350.0000000000002</v>
      </c>
      <c r="AN62" s="106">
        <f t="shared" si="71"/>
        <v>0</v>
      </c>
      <c r="AO62" s="106">
        <f t="shared" si="71"/>
        <v>0</v>
      </c>
      <c r="AP62" s="106">
        <f t="shared" si="71"/>
        <v>372</v>
      </c>
      <c r="AQ62" s="106">
        <f>AQ92+AQ100</f>
        <v>0</v>
      </c>
      <c r="AR62" s="106">
        <f>AR92+AR100</f>
        <v>0</v>
      </c>
      <c r="AS62" s="319"/>
      <c r="AT62" s="364"/>
      <c r="AU62" s="121">
        <f t="shared" si="46"/>
        <v>8743.5000000000018</v>
      </c>
      <c r="AV62" s="121">
        <f t="shared" si="47"/>
        <v>0</v>
      </c>
      <c r="AW62" s="155">
        <f t="shared" si="48"/>
        <v>0</v>
      </c>
    </row>
    <row r="63" spans="1:49" s="100" customFormat="1" ht="36">
      <c r="A63" s="358"/>
      <c r="B63" s="359"/>
      <c r="C63" s="359"/>
      <c r="D63" s="360"/>
      <c r="E63" s="111" t="s">
        <v>3</v>
      </c>
      <c r="F63" s="106">
        <f>F70+F74+F78</f>
        <v>0</v>
      </c>
      <c r="G63" s="106">
        <f t="shared" ref="G63:AR65" si="73">G70+G74+G78</f>
        <v>0</v>
      </c>
      <c r="H63" s="106">
        <v>0</v>
      </c>
      <c r="I63" s="106">
        <f t="shared" si="73"/>
        <v>0</v>
      </c>
      <c r="J63" s="106">
        <f t="shared" si="73"/>
        <v>0</v>
      </c>
      <c r="K63" s="106">
        <v>0</v>
      </c>
      <c r="L63" s="106">
        <f t="shared" si="73"/>
        <v>0</v>
      </c>
      <c r="M63" s="106">
        <f t="shared" si="73"/>
        <v>0</v>
      </c>
      <c r="N63" s="106">
        <f t="shared" si="73"/>
        <v>0</v>
      </c>
      <c r="O63" s="106">
        <f t="shared" si="73"/>
        <v>0</v>
      </c>
      <c r="P63" s="106">
        <f t="shared" si="73"/>
        <v>0</v>
      </c>
      <c r="Q63" s="106">
        <v>0</v>
      </c>
      <c r="R63" s="106">
        <f t="shared" si="73"/>
        <v>0</v>
      </c>
      <c r="S63" s="106">
        <f t="shared" si="73"/>
        <v>0</v>
      </c>
      <c r="T63" s="106">
        <v>0</v>
      </c>
      <c r="U63" s="106">
        <f t="shared" si="73"/>
        <v>0</v>
      </c>
      <c r="V63" s="106">
        <f t="shared" si="73"/>
        <v>0</v>
      </c>
      <c r="W63" s="106">
        <f t="shared" si="73"/>
        <v>0</v>
      </c>
      <c r="X63" s="106">
        <f t="shared" si="73"/>
        <v>0</v>
      </c>
      <c r="Y63" s="106">
        <f t="shared" si="73"/>
        <v>0</v>
      </c>
      <c r="Z63" s="106">
        <f t="shared" si="73"/>
        <v>0</v>
      </c>
      <c r="AA63" s="106">
        <f t="shared" si="73"/>
        <v>0</v>
      </c>
      <c r="AB63" s="106">
        <f t="shared" si="73"/>
        <v>0</v>
      </c>
      <c r="AC63" s="106">
        <f t="shared" si="73"/>
        <v>0</v>
      </c>
      <c r="AD63" s="106">
        <f t="shared" si="73"/>
        <v>0</v>
      </c>
      <c r="AE63" s="106">
        <f t="shared" si="73"/>
        <v>0</v>
      </c>
      <c r="AF63" s="106">
        <f t="shared" si="73"/>
        <v>0</v>
      </c>
      <c r="AG63" s="106">
        <f t="shared" si="73"/>
        <v>0</v>
      </c>
      <c r="AH63" s="106">
        <f t="shared" si="73"/>
        <v>0</v>
      </c>
      <c r="AI63" s="106">
        <f t="shared" si="73"/>
        <v>0</v>
      </c>
      <c r="AJ63" s="106">
        <f t="shared" si="73"/>
        <v>0</v>
      </c>
      <c r="AK63" s="106">
        <f t="shared" si="73"/>
        <v>0</v>
      </c>
      <c r="AL63" s="106">
        <f t="shared" si="73"/>
        <v>0</v>
      </c>
      <c r="AM63" s="106">
        <f t="shared" si="73"/>
        <v>0</v>
      </c>
      <c r="AN63" s="106">
        <f t="shared" si="73"/>
        <v>0</v>
      </c>
      <c r="AO63" s="106">
        <f t="shared" si="73"/>
        <v>0</v>
      </c>
      <c r="AP63" s="106">
        <f t="shared" si="73"/>
        <v>0</v>
      </c>
      <c r="AQ63" s="106">
        <f t="shared" si="73"/>
        <v>0</v>
      </c>
      <c r="AR63" s="106">
        <f t="shared" si="73"/>
        <v>0</v>
      </c>
      <c r="AS63" s="320"/>
      <c r="AT63" s="365"/>
      <c r="AU63" s="121"/>
      <c r="AV63" s="121"/>
      <c r="AW63" s="155"/>
    </row>
    <row r="64" spans="1:49" s="100" customFormat="1" ht="24">
      <c r="A64" s="358"/>
      <c r="B64" s="359"/>
      <c r="C64" s="359"/>
      <c r="D64" s="360"/>
      <c r="E64" s="111" t="s">
        <v>44</v>
      </c>
      <c r="F64" s="106">
        <f>F71+F75+F79</f>
        <v>10628.100000000002</v>
      </c>
      <c r="G64" s="106">
        <f t="shared" si="73"/>
        <v>0</v>
      </c>
      <c r="H64" s="106">
        <f>G64/F64*100</f>
        <v>0</v>
      </c>
      <c r="I64" s="106">
        <f t="shared" si="73"/>
        <v>0</v>
      </c>
      <c r="J64" s="106">
        <f t="shared" si="73"/>
        <v>0</v>
      </c>
      <c r="K64" s="106">
        <v>0</v>
      </c>
      <c r="L64" s="106">
        <f t="shared" si="73"/>
        <v>2337.5</v>
      </c>
      <c r="M64" s="106">
        <f t="shared" si="73"/>
        <v>0</v>
      </c>
      <c r="N64" s="106">
        <f t="shared" si="73"/>
        <v>0</v>
      </c>
      <c r="O64" s="106">
        <f t="shared" si="73"/>
        <v>2141.4</v>
      </c>
      <c r="P64" s="106">
        <f t="shared" si="73"/>
        <v>0</v>
      </c>
      <c r="Q64" s="106">
        <f t="shared" ref="Q64" si="74">P64/O64*100</f>
        <v>0</v>
      </c>
      <c r="R64" s="106">
        <f t="shared" si="73"/>
        <v>328.59999999999997</v>
      </c>
      <c r="S64" s="106">
        <f t="shared" si="73"/>
        <v>0</v>
      </c>
      <c r="T64" s="106">
        <f t="shared" ref="T64" si="75">S64/R64*100</f>
        <v>0</v>
      </c>
      <c r="U64" s="106">
        <f t="shared" si="73"/>
        <v>1220.6000000000001</v>
      </c>
      <c r="V64" s="106">
        <f t="shared" si="73"/>
        <v>0</v>
      </c>
      <c r="W64" s="106">
        <f t="shared" si="73"/>
        <v>0</v>
      </c>
      <c r="X64" s="106">
        <f t="shared" si="73"/>
        <v>1288.6000000000001</v>
      </c>
      <c r="Y64" s="106">
        <f t="shared" si="73"/>
        <v>0</v>
      </c>
      <c r="Z64" s="106">
        <f t="shared" si="73"/>
        <v>0</v>
      </c>
      <c r="AA64" s="106">
        <f t="shared" si="73"/>
        <v>1075.6000000000001</v>
      </c>
      <c r="AB64" s="106">
        <f t="shared" si="73"/>
        <v>0</v>
      </c>
      <c r="AC64" s="106">
        <f t="shared" si="73"/>
        <v>0</v>
      </c>
      <c r="AD64" s="106">
        <f t="shared" si="73"/>
        <v>150.6</v>
      </c>
      <c r="AE64" s="106">
        <f t="shared" si="73"/>
        <v>0</v>
      </c>
      <c r="AF64" s="106">
        <f t="shared" ref="AF64" si="76">AE64/AD64*100</f>
        <v>0</v>
      </c>
      <c r="AG64" s="106">
        <f t="shared" si="73"/>
        <v>200.6</v>
      </c>
      <c r="AH64" s="106">
        <f t="shared" si="73"/>
        <v>0</v>
      </c>
      <c r="AI64" s="106">
        <f t="shared" si="73"/>
        <v>0</v>
      </c>
      <c r="AJ64" s="106">
        <f t="shared" si="73"/>
        <v>162.6</v>
      </c>
      <c r="AK64" s="106">
        <f t="shared" si="73"/>
        <v>0</v>
      </c>
      <c r="AL64" s="106">
        <f t="shared" si="73"/>
        <v>0</v>
      </c>
      <c r="AM64" s="106">
        <f t="shared" si="73"/>
        <v>1350.0000000000002</v>
      </c>
      <c r="AN64" s="106">
        <f t="shared" si="73"/>
        <v>0</v>
      </c>
      <c r="AO64" s="106">
        <f t="shared" si="73"/>
        <v>0</v>
      </c>
      <c r="AP64" s="106">
        <f t="shared" si="73"/>
        <v>372</v>
      </c>
      <c r="AQ64" s="106">
        <f t="shared" si="73"/>
        <v>0</v>
      </c>
      <c r="AR64" s="106">
        <f t="shared" si="73"/>
        <v>0</v>
      </c>
      <c r="AS64" s="320"/>
      <c r="AT64" s="365"/>
      <c r="AU64" s="121">
        <f t="shared" si="46"/>
        <v>8743.5000000000018</v>
      </c>
      <c r="AV64" s="121">
        <f t="shared" si="47"/>
        <v>0</v>
      </c>
      <c r="AW64" s="155">
        <f t="shared" si="48"/>
        <v>0</v>
      </c>
    </row>
    <row r="65" spans="1:49" s="100" customFormat="1" ht="24">
      <c r="A65" s="361"/>
      <c r="B65" s="362"/>
      <c r="C65" s="362"/>
      <c r="D65" s="363"/>
      <c r="E65" s="110" t="s">
        <v>257</v>
      </c>
      <c r="F65" s="106">
        <f>F72+F76+F80</f>
        <v>0</v>
      </c>
      <c r="G65" s="106">
        <f t="shared" si="73"/>
        <v>0</v>
      </c>
      <c r="H65" s="106">
        <v>0</v>
      </c>
      <c r="I65" s="106">
        <f t="shared" si="73"/>
        <v>0</v>
      </c>
      <c r="J65" s="106">
        <f t="shared" si="73"/>
        <v>0</v>
      </c>
      <c r="K65" s="106">
        <v>0</v>
      </c>
      <c r="L65" s="106">
        <f t="shared" si="73"/>
        <v>0</v>
      </c>
      <c r="M65" s="106">
        <f t="shared" si="73"/>
        <v>0</v>
      </c>
      <c r="N65" s="106">
        <f t="shared" si="73"/>
        <v>0</v>
      </c>
      <c r="O65" s="106">
        <f t="shared" si="73"/>
        <v>0</v>
      </c>
      <c r="P65" s="106">
        <f t="shared" si="73"/>
        <v>0</v>
      </c>
      <c r="Q65" s="106">
        <v>0</v>
      </c>
      <c r="R65" s="106">
        <f t="shared" si="73"/>
        <v>0</v>
      </c>
      <c r="S65" s="106">
        <f t="shared" si="73"/>
        <v>0</v>
      </c>
      <c r="T65" s="106">
        <v>0</v>
      </c>
      <c r="U65" s="106">
        <f t="shared" si="73"/>
        <v>0</v>
      </c>
      <c r="V65" s="106">
        <f t="shared" si="73"/>
        <v>0</v>
      </c>
      <c r="W65" s="106">
        <f t="shared" si="73"/>
        <v>0</v>
      </c>
      <c r="X65" s="106">
        <f t="shared" si="73"/>
        <v>0</v>
      </c>
      <c r="Y65" s="106">
        <f t="shared" si="73"/>
        <v>0</v>
      </c>
      <c r="Z65" s="106">
        <f t="shared" si="73"/>
        <v>0</v>
      </c>
      <c r="AA65" s="106">
        <f t="shared" si="73"/>
        <v>0</v>
      </c>
      <c r="AB65" s="106">
        <f t="shared" si="73"/>
        <v>0</v>
      </c>
      <c r="AC65" s="106">
        <f t="shared" si="73"/>
        <v>0</v>
      </c>
      <c r="AD65" s="106">
        <f t="shared" si="73"/>
        <v>0</v>
      </c>
      <c r="AE65" s="106">
        <f t="shared" si="73"/>
        <v>0</v>
      </c>
      <c r="AF65" s="106">
        <f t="shared" si="73"/>
        <v>0</v>
      </c>
      <c r="AG65" s="106">
        <f t="shared" si="73"/>
        <v>0</v>
      </c>
      <c r="AH65" s="106">
        <f t="shared" si="73"/>
        <v>0</v>
      </c>
      <c r="AI65" s="106">
        <f t="shared" si="73"/>
        <v>0</v>
      </c>
      <c r="AJ65" s="106">
        <f t="shared" si="73"/>
        <v>0</v>
      </c>
      <c r="AK65" s="106">
        <f t="shared" si="73"/>
        <v>0</v>
      </c>
      <c r="AL65" s="106">
        <f t="shared" si="73"/>
        <v>0</v>
      </c>
      <c r="AM65" s="106">
        <f t="shared" si="73"/>
        <v>0</v>
      </c>
      <c r="AN65" s="106">
        <f t="shared" si="73"/>
        <v>0</v>
      </c>
      <c r="AO65" s="106">
        <f t="shared" si="73"/>
        <v>0</v>
      </c>
      <c r="AP65" s="106">
        <f t="shared" si="73"/>
        <v>0</v>
      </c>
      <c r="AQ65" s="106">
        <f t="shared" si="73"/>
        <v>0</v>
      </c>
      <c r="AR65" s="106">
        <f t="shared" si="73"/>
        <v>0</v>
      </c>
      <c r="AS65" s="321"/>
      <c r="AT65" s="366"/>
      <c r="AU65" s="121"/>
      <c r="AV65" s="121"/>
      <c r="AW65" s="155"/>
    </row>
    <row r="66" spans="1:49" s="100" customFormat="1" ht="138.75" customHeight="1">
      <c r="A66" s="133" t="s">
        <v>386</v>
      </c>
      <c r="B66" s="161" t="s">
        <v>280</v>
      </c>
      <c r="C66" s="162" t="s">
        <v>387</v>
      </c>
      <c r="D66" s="172" t="s">
        <v>388</v>
      </c>
      <c r="E66" s="143" t="s">
        <v>275</v>
      </c>
      <c r="F66" s="149" t="s">
        <v>279</v>
      </c>
      <c r="G66" s="149" t="s">
        <v>279</v>
      </c>
      <c r="H66" s="149" t="s">
        <v>279</v>
      </c>
      <c r="I66" s="149" t="s">
        <v>279</v>
      </c>
      <c r="J66" s="149" t="s">
        <v>279</v>
      </c>
      <c r="K66" s="149" t="s">
        <v>279</v>
      </c>
      <c r="L66" s="149" t="s">
        <v>279</v>
      </c>
      <c r="M66" s="149" t="s">
        <v>279</v>
      </c>
      <c r="N66" s="149" t="s">
        <v>279</v>
      </c>
      <c r="O66" s="149" t="s">
        <v>279</v>
      </c>
      <c r="P66" s="149" t="s">
        <v>279</v>
      </c>
      <c r="Q66" s="149" t="s">
        <v>279</v>
      </c>
      <c r="R66" s="149" t="s">
        <v>279</v>
      </c>
      <c r="S66" s="149" t="s">
        <v>279</v>
      </c>
      <c r="T66" s="149" t="s">
        <v>279</v>
      </c>
      <c r="U66" s="149" t="s">
        <v>279</v>
      </c>
      <c r="V66" s="149" t="s">
        <v>279</v>
      </c>
      <c r="W66" s="149" t="s">
        <v>279</v>
      </c>
      <c r="X66" s="149" t="s">
        <v>279</v>
      </c>
      <c r="Y66" s="149" t="s">
        <v>279</v>
      </c>
      <c r="Z66" s="149" t="s">
        <v>279</v>
      </c>
      <c r="AA66" s="149" t="s">
        <v>279</v>
      </c>
      <c r="AB66" s="149" t="s">
        <v>279</v>
      </c>
      <c r="AC66" s="149" t="s">
        <v>279</v>
      </c>
      <c r="AD66" s="149" t="s">
        <v>279</v>
      </c>
      <c r="AE66" s="149" t="s">
        <v>279</v>
      </c>
      <c r="AF66" s="149" t="s">
        <v>279</v>
      </c>
      <c r="AG66" s="149" t="s">
        <v>279</v>
      </c>
      <c r="AH66" s="149" t="s">
        <v>279</v>
      </c>
      <c r="AI66" s="149" t="s">
        <v>279</v>
      </c>
      <c r="AJ66" s="149" t="s">
        <v>279</v>
      </c>
      <c r="AK66" s="149" t="s">
        <v>279</v>
      </c>
      <c r="AL66" s="149" t="s">
        <v>279</v>
      </c>
      <c r="AM66" s="149" t="s">
        <v>279</v>
      </c>
      <c r="AN66" s="149" t="s">
        <v>279</v>
      </c>
      <c r="AO66" s="149" t="s">
        <v>279</v>
      </c>
      <c r="AP66" s="149" t="s">
        <v>279</v>
      </c>
      <c r="AQ66" s="149" t="s">
        <v>279</v>
      </c>
      <c r="AR66" s="149" t="s">
        <v>279</v>
      </c>
      <c r="AS66" s="145" t="s">
        <v>315</v>
      </c>
      <c r="AT66" s="134"/>
      <c r="AU66" s="121"/>
      <c r="AV66" s="121"/>
      <c r="AW66" s="155"/>
    </row>
    <row r="67" spans="1:49" s="100" customFormat="1" ht="72">
      <c r="A67" s="133" t="s">
        <v>389</v>
      </c>
      <c r="B67" s="161" t="s">
        <v>390</v>
      </c>
      <c r="C67" s="162" t="s">
        <v>387</v>
      </c>
      <c r="D67" s="171" t="s">
        <v>391</v>
      </c>
      <c r="E67" s="143" t="s">
        <v>275</v>
      </c>
      <c r="F67" s="149" t="s">
        <v>279</v>
      </c>
      <c r="G67" s="149" t="s">
        <v>279</v>
      </c>
      <c r="H67" s="149" t="s">
        <v>279</v>
      </c>
      <c r="I67" s="149" t="s">
        <v>279</v>
      </c>
      <c r="J67" s="149" t="s">
        <v>279</v>
      </c>
      <c r="K67" s="149" t="s">
        <v>279</v>
      </c>
      <c r="L67" s="149" t="s">
        <v>279</v>
      </c>
      <c r="M67" s="149" t="s">
        <v>279</v>
      </c>
      <c r="N67" s="149" t="s">
        <v>279</v>
      </c>
      <c r="O67" s="149" t="s">
        <v>279</v>
      </c>
      <c r="P67" s="149" t="s">
        <v>279</v>
      </c>
      <c r="Q67" s="149" t="s">
        <v>279</v>
      </c>
      <c r="R67" s="149" t="s">
        <v>279</v>
      </c>
      <c r="S67" s="149" t="s">
        <v>279</v>
      </c>
      <c r="T67" s="149" t="s">
        <v>279</v>
      </c>
      <c r="U67" s="149" t="s">
        <v>279</v>
      </c>
      <c r="V67" s="149" t="s">
        <v>279</v>
      </c>
      <c r="W67" s="149" t="s">
        <v>279</v>
      </c>
      <c r="X67" s="149" t="s">
        <v>279</v>
      </c>
      <c r="Y67" s="149" t="s">
        <v>279</v>
      </c>
      <c r="Z67" s="149" t="s">
        <v>279</v>
      </c>
      <c r="AA67" s="149" t="s">
        <v>279</v>
      </c>
      <c r="AB67" s="149" t="s">
        <v>279</v>
      </c>
      <c r="AC67" s="149" t="s">
        <v>279</v>
      </c>
      <c r="AD67" s="149" t="s">
        <v>279</v>
      </c>
      <c r="AE67" s="149" t="s">
        <v>279</v>
      </c>
      <c r="AF67" s="149" t="s">
        <v>279</v>
      </c>
      <c r="AG67" s="149" t="s">
        <v>279</v>
      </c>
      <c r="AH67" s="149" t="s">
        <v>279</v>
      </c>
      <c r="AI67" s="149" t="s">
        <v>279</v>
      </c>
      <c r="AJ67" s="149" t="s">
        <v>279</v>
      </c>
      <c r="AK67" s="149" t="s">
        <v>279</v>
      </c>
      <c r="AL67" s="149" t="s">
        <v>279</v>
      </c>
      <c r="AM67" s="149" t="s">
        <v>279</v>
      </c>
      <c r="AN67" s="149" t="s">
        <v>279</v>
      </c>
      <c r="AO67" s="149" t="s">
        <v>279</v>
      </c>
      <c r="AP67" s="149" t="s">
        <v>279</v>
      </c>
      <c r="AQ67" s="149" t="s">
        <v>279</v>
      </c>
      <c r="AR67" s="149" t="s">
        <v>279</v>
      </c>
      <c r="AS67" s="145" t="s">
        <v>307</v>
      </c>
      <c r="AT67" s="134"/>
      <c r="AU67" s="121"/>
      <c r="AV67" s="121"/>
      <c r="AW67" s="155"/>
    </row>
    <row r="68" spans="1:49" s="100" customFormat="1" ht="123" customHeight="1">
      <c r="A68" s="133" t="s">
        <v>392</v>
      </c>
      <c r="B68" s="161" t="s">
        <v>393</v>
      </c>
      <c r="C68" s="162" t="s">
        <v>387</v>
      </c>
      <c r="D68" s="171" t="s">
        <v>394</v>
      </c>
      <c r="E68" s="143" t="s">
        <v>275</v>
      </c>
      <c r="F68" s="149" t="s">
        <v>279</v>
      </c>
      <c r="G68" s="149" t="s">
        <v>279</v>
      </c>
      <c r="H68" s="149" t="s">
        <v>279</v>
      </c>
      <c r="I68" s="149" t="s">
        <v>279</v>
      </c>
      <c r="J68" s="149" t="s">
        <v>279</v>
      </c>
      <c r="K68" s="149" t="s">
        <v>279</v>
      </c>
      <c r="L68" s="149" t="s">
        <v>279</v>
      </c>
      <c r="M68" s="149" t="s">
        <v>279</v>
      </c>
      <c r="N68" s="149" t="s">
        <v>279</v>
      </c>
      <c r="O68" s="149" t="s">
        <v>279</v>
      </c>
      <c r="P68" s="149" t="s">
        <v>279</v>
      </c>
      <c r="Q68" s="149" t="s">
        <v>279</v>
      </c>
      <c r="R68" s="149" t="s">
        <v>279</v>
      </c>
      <c r="S68" s="149" t="s">
        <v>279</v>
      </c>
      <c r="T68" s="149" t="s">
        <v>279</v>
      </c>
      <c r="U68" s="149" t="s">
        <v>279</v>
      </c>
      <c r="V68" s="149" t="s">
        <v>279</v>
      </c>
      <c r="W68" s="149" t="s">
        <v>279</v>
      </c>
      <c r="X68" s="149" t="s">
        <v>279</v>
      </c>
      <c r="Y68" s="149" t="s">
        <v>279</v>
      </c>
      <c r="Z68" s="149" t="s">
        <v>279</v>
      </c>
      <c r="AA68" s="149" t="s">
        <v>279</v>
      </c>
      <c r="AB68" s="149" t="s">
        <v>279</v>
      </c>
      <c r="AC68" s="149" t="s">
        <v>279</v>
      </c>
      <c r="AD68" s="149" t="s">
        <v>279</v>
      </c>
      <c r="AE68" s="149" t="s">
        <v>279</v>
      </c>
      <c r="AF68" s="149" t="s">
        <v>279</v>
      </c>
      <c r="AG68" s="149" t="s">
        <v>279</v>
      </c>
      <c r="AH68" s="149" t="s">
        <v>279</v>
      </c>
      <c r="AI68" s="149" t="s">
        <v>279</v>
      </c>
      <c r="AJ68" s="149" t="s">
        <v>279</v>
      </c>
      <c r="AK68" s="149" t="s">
        <v>279</v>
      </c>
      <c r="AL68" s="149" t="s">
        <v>279</v>
      </c>
      <c r="AM68" s="149" t="s">
        <v>279</v>
      </c>
      <c r="AN68" s="149" t="s">
        <v>279</v>
      </c>
      <c r="AO68" s="149" t="s">
        <v>279</v>
      </c>
      <c r="AP68" s="149" t="s">
        <v>279</v>
      </c>
      <c r="AQ68" s="149" t="s">
        <v>279</v>
      </c>
      <c r="AR68" s="149" t="s">
        <v>279</v>
      </c>
      <c r="AS68" s="145" t="s">
        <v>316</v>
      </c>
      <c r="AT68" s="134"/>
      <c r="AU68" s="121"/>
      <c r="AV68" s="121"/>
      <c r="AW68" s="155"/>
    </row>
    <row r="69" spans="1:49" s="31" customFormat="1" ht="12.75">
      <c r="A69" s="328" t="s">
        <v>395</v>
      </c>
      <c r="B69" s="331" t="s">
        <v>396</v>
      </c>
      <c r="C69" s="334" t="s">
        <v>277</v>
      </c>
      <c r="D69" s="337" t="s">
        <v>397</v>
      </c>
      <c r="E69" s="107" t="s">
        <v>42</v>
      </c>
      <c r="F69" s="123">
        <f>SUM(F70:F72)</f>
        <v>1612.1</v>
      </c>
      <c r="G69" s="123">
        <f t="shared" ref="G69" si="77">SUM(G70:G72)</f>
        <v>0</v>
      </c>
      <c r="H69" s="123">
        <f>G69/F69*100</f>
        <v>0</v>
      </c>
      <c r="I69" s="138">
        <f t="shared" ref="I69:AP69" si="78">I70+I71+I72</f>
        <v>0</v>
      </c>
      <c r="J69" s="138">
        <f t="shared" si="78"/>
        <v>0</v>
      </c>
      <c r="K69" s="123">
        <v>0</v>
      </c>
      <c r="L69" s="138">
        <f t="shared" si="78"/>
        <v>61.4</v>
      </c>
      <c r="M69" s="132">
        <f t="shared" si="78"/>
        <v>0</v>
      </c>
      <c r="N69" s="132">
        <f>M69/L69*100</f>
        <v>0</v>
      </c>
      <c r="O69" s="132">
        <f t="shared" si="78"/>
        <v>207.4</v>
      </c>
      <c r="P69" s="132">
        <f t="shared" si="78"/>
        <v>0</v>
      </c>
      <c r="Q69" s="123">
        <f t="shared" ref="Q69:Q79" si="79">P69/O69*100</f>
        <v>0</v>
      </c>
      <c r="R69" s="132">
        <f t="shared" si="78"/>
        <v>61.4</v>
      </c>
      <c r="S69" s="132">
        <f t="shared" si="78"/>
        <v>0</v>
      </c>
      <c r="T69" s="132">
        <f>S69/R69*100</f>
        <v>0</v>
      </c>
      <c r="U69" s="138">
        <f t="shared" si="78"/>
        <v>61.4</v>
      </c>
      <c r="V69" s="138">
        <f t="shared" si="78"/>
        <v>0</v>
      </c>
      <c r="W69" s="132">
        <f t="shared" ref="W69" si="80">V69/U69*100</f>
        <v>0</v>
      </c>
      <c r="X69" s="132">
        <f t="shared" si="78"/>
        <v>61.4</v>
      </c>
      <c r="Y69" s="132">
        <f t="shared" si="78"/>
        <v>0</v>
      </c>
      <c r="Z69" s="132">
        <f t="shared" ref="Z69" si="81">Y69/X69*100</f>
        <v>0</v>
      </c>
      <c r="AA69" s="132">
        <f t="shared" si="78"/>
        <v>61.4</v>
      </c>
      <c r="AB69" s="132">
        <f t="shared" si="78"/>
        <v>0</v>
      </c>
      <c r="AC69" s="132">
        <f t="shared" ref="AC69" si="82">AB69/AA69*100</f>
        <v>0</v>
      </c>
      <c r="AD69" s="132">
        <f t="shared" si="78"/>
        <v>61.4</v>
      </c>
      <c r="AE69" s="138">
        <f t="shared" si="78"/>
        <v>0</v>
      </c>
      <c r="AF69" s="104">
        <f t="shared" ref="AF69" si="83">AE69/AD69*100</f>
        <v>0</v>
      </c>
      <c r="AG69" s="138">
        <f t="shared" si="78"/>
        <v>61.4</v>
      </c>
      <c r="AH69" s="138">
        <f t="shared" si="78"/>
        <v>0</v>
      </c>
      <c r="AI69" s="132">
        <f t="shared" ref="AI69" si="84">AH69/AG69*100</f>
        <v>0</v>
      </c>
      <c r="AJ69" s="138">
        <f t="shared" si="78"/>
        <v>61.4</v>
      </c>
      <c r="AK69" s="138">
        <f t="shared" si="78"/>
        <v>0</v>
      </c>
      <c r="AL69" s="138">
        <f t="shared" si="78"/>
        <v>0</v>
      </c>
      <c r="AM69" s="138">
        <f t="shared" si="78"/>
        <v>790.7</v>
      </c>
      <c r="AN69" s="138">
        <f t="shared" si="78"/>
        <v>0</v>
      </c>
      <c r="AO69" s="138">
        <f t="shared" si="78"/>
        <v>0</v>
      </c>
      <c r="AP69" s="138">
        <f t="shared" si="78"/>
        <v>122.8</v>
      </c>
      <c r="AQ69" s="104"/>
      <c r="AR69" s="104"/>
      <c r="AS69" s="340" t="s">
        <v>317</v>
      </c>
      <c r="AT69" s="343"/>
      <c r="AU69" s="121">
        <f t="shared" si="46"/>
        <v>637.19999999999993</v>
      </c>
      <c r="AV69" s="121">
        <f t="shared" si="47"/>
        <v>0</v>
      </c>
      <c r="AW69" s="155">
        <f t="shared" si="48"/>
        <v>0</v>
      </c>
    </row>
    <row r="70" spans="1:49" s="31" customFormat="1" ht="36">
      <c r="A70" s="329"/>
      <c r="B70" s="332"/>
      <c r="C70" s="335"/>
      <c r="D70" s="338"/>
      <c r="E70" s="108" t="s">
        <v>3</v>
      </c>
      <c r="F70" s="123">
        <f>I70+L70+O70+R70+U70+X70+AA70+AD70+AG70+AJ70+AM70+AP70</f>
        <v>0</v>
      </c>
      <c r="G70" s="123">
        <f>J70+M70+P70+S70+V70+Y70+AB70+AE70+AH70+AK70+AN70+AQ70</f>
        <v>0</v>
      </c>
      <c r="H70" s="123">
        <v>0</v>
      </c>
      <c r="I70" s="123">
        <v>0</v>
      </c>
      <c r="J70" s="123">
        <v>0</v>
      </c>
      <c r="K70" s="123">
        <v>0</v>
      </c>
      <c r="L70" s="150">
        <v>0</v>
      </c>
      <c r="M70" s="123">
        <v>0</v>
      </c>
      <c r="N70" s="138">
        <v>0</v>
      </c>
      <c r="O70" s="123">
        <v>0</v>
      </c>
      <c r="P70" s="123">
        <v>0</v>
      </c>
      <c r="Q70" s="123">
        <v>0</v>
      </c>
      <c r="R70" s="123">
        <v>0</v>
      </c>
      <c r="S70" s="123">
        <v>0</v>
      </c>
      <c r="T70" s="132">
        <v>0</v>
      </c>
      <c r="U70" s="117">
        <v>0</v>
      </c>
      <c r="V70" s="117">
        <v>0</v>
      </c>
      <c r="W70" s="117">
        <v>0</v>
      </c>
      <c r="X70" s="117">
        <v>0</v>
      </c>
      <c r="Y70" s="117">
        <v>0</v>
      </c>
      <c r="Z70" s="117">
        <v>0</v>
      </c>
      <c r="AA70" s="117">
        <v>0</v>
      </c>
      <c r="AB70" s="117">
        <v>0</v>
      </c>
      <c r="AC70" s="117">
        <v>0</v>
      </c>
      <c r="AD70" s="117">
        <v>0</v>
      </c>
      <c r="AE70" s="117">
        <v>0</v>
      </c>
      <c r="AF70" s="117">
        <v>0</v>
      </c>
      <c r="AG70" s="117">
        <v>0</v>
      </c>
      <c r="AH70" s="117">
        <v>0</v>
      </c>
      <c r="AI70" s="117">
        <v>0</v>
      </c>
      <c r="AJ70" s="123">
        <v>0</v>
      </c>
      <c r="AK70" s="123">
        <v>0</v>
      </c>
      <c r="AL70" s="123">
        <v>0</v>
      </c>
      <c r="AM70" s="117">
        <v>0</v>
      </c>
      <c r="AN70" s="117">
        <v>0</v>
      </c>
      <c r="AO70" s="117">
        <v>0</v>
      </c>
      <c r="AP70" s="123">
        <v>0</v>
      </c>
      <c r="AQ70" s="104"/>
      <c r="AR70" s="104"/>
      <c r="AS70" s="341"/>
      <c r="AT70" s="344"/>
      <c r="AU70" s="121"/>
      <c r="AV70" s="121"/>
      <c r="AW70" s="155"/>
    </row>
    <row r="71" spans="1:49" s="31" customFormat="1" ht="12.75">
      <c r="A71" s="329"/>
      <c r="B71" s="332"/>
      <c r="C71" s="335"/>
      <c r="D71" s="338"/>
      <c r="E71" s="108" t="s">
        <v>44</v>
      </c>
      <c r="F71" s="123">
        <f t="shared" ref="F71:F72" si="85">I71+L71+O71+R71+U71+X71+AA71+AD71+AG71+AJ71+AM71+AP71</f>
        <v>1612.1</v>
      </c>
      <c r="G71" s="123">
        <f t="shared" ref="G71:G72" si="86">J71+M71+P71+S71+V71+Y71+AB71+AE71+AH71+AK71+AN71+AQ71</f>
        <v>0</v>
      </c>
      <c r="H71" s="123">
        <f>G71/F71*100</f>
        <v>0</v>
      </c>
      <c r="I71" s="123">
        <v>0</v>
      </c>
      <c r="J71" s="123">
        <v>0</v>
      </c>
      <c r="K71" s="123">
        <v>0</v>
      </c>
      <c r="L71" s="150">
        <v>61.4</v>
      </c>
      <c r="M71" s="123">
        <v>0</v>
      </c>
      <c r="N71" s="138">
        <f t="shared" ref="N71" si="87">M71/L71*100</f>
        <v>0</v>
      </c>
      <c r="O71" s="123">
        <v>207.4</v>
      </c>
      <c r="P71" s="123">
        <v>0</v>
      </c>
      <c r="Q71" s="123">
        <f t="shared" si="79"/>
        <v>0</v>
      </c>
      <c r="R71" s="123">
        <v>61.4</v>
      </c>
      <c r="S71" s="123">
        <v>0</v>
      </c>
      <c r="T71" s="132">
        <f t="shared" ref="T71:T79" si="88">S71/R71*100</f>
        <v>0</v>
      </c>
      <c r="U71" s="117">
        <v>61.4</v>
      </c>
      <c r="V71" s="117">
        <v>0</v>
      </c>
      <c r="W71" s="132">
        <f t="shared" ref="W71" si="89">V71/U71*100</f>
        <v>0</v>
      </c>
      <c r="X71" s="117">
        <v>61.4</v>
      </c>
      <c r="Y71" s="117">
        <v>0</v>
      </c>
      <c r="Z71" s="132">
        <f t="shared" ref="Z71" si="90">Y71/X71*100</f>
        <v>0</v>
      </c>
      <c r="AA71" s="117">
        <v>61.4</v>
      </c>
      <c r="AB71" s="117">
        <v>0</v>
      </c>
      <c r="AC71" s="132">
        <f t="shared" ref="AC71" si="91">AB71/AA71*100</f>
        <v>0</v>
      </c>
      <c r="AD71" s="117">
        <v>61.4</v>
      </c>
      <c r="AE71" s="117">
        <v>0</v>
      </c>
      <c r="AF71" s="132">
        <f t="shared" ref="AF71" si="92">AE71/AD71*100</f>
        <v>0</v>
      </c>
      <c r="AG71" s="117">
        <v>61.4</v>
      </c>
      <c r="AH71" s="117">
        <v>0</v>
      </c>
      <c r="AI71" s="132">
        <f t="shared" ref="AI71" si="93">AH71/AG71*100</f>
        <v>0</v>
      </c>
      <c r="AJ71" s="123">
        <v>61.4</v>
      </c>
      <c r="AK71" s="123">
        <v>0</v>
      </c>
      <c r="AL71" s="123">
        <v>0</v>
      </c>
      <c r="AM71" s="117">
        <v>790.7</v>
      </c>
      <c r="AN71" s="117">
        <v>0</v>
      </c>
      <c r="AO71" s="117">
        <v>0</v>
      </c>
      <c r="AP71" s="123">
        <v>122.8</v>
      </c>
      <c r="AQ71" s="104"/>
      <c r="AR71" s="104"/>
      <c r="AS71" s="341"/>
      <c r="AT71" s="344"/>
      <c r="AU71" s="121">
        <f t="shared" si="46"/>
        <v>637.19999999999993</v>
      </c>
      <c r="AV71" s="121">
        <f t="shared" si="47"/>
        <v>0</v>
      </c>
      <c r="AW71" s="155">
        <f t="shared" si="48"/>
        <v>0</v>
      </c>
    </row>
    <row r="72" spans="1:49" s="31" customFormat="1" ht="24">
      <c r="A72" s="330"/>
      <c r="B72" s="333"/>
      <c r="C72" s="336"/>
      <c r="D72" s="339"/>
      <c r="E72" s="109" t="s">
        <v>257</v>
      </c>
      <c r="F72" s="123">
        <f t="shared" si="85"/>
        <v>0</v>
      </c>
      <c r="G72" s="123">
        <f t="shared" si="86"/>
        <v>0</v>
      </c>
      <c r="H72" s="123">
        <v>0</v>
      </c>
      <c r="I72" s="123">
        <v>0</v>
      </c>
      <c r="J72" s="123">
        <v>0</v>
      </c>
      <c r="K72" s="123">
        <v>0</v>
      </c>
      <c r="L72" s="150">
        <v>0</v>
      </c>
      <c r="M72" s="123">
        <v>0</v>
      </c>
      <c r="N72" s="123">
        <v>0</v>
      </c>
      <c r="O72" s="123">
        <v>0</v>
      </c>
      <c r="P72" s="123">
        <v>0</v>
      </c>
      <c r="Q72" s="123">
        <v>0</v>
      </c>
      <c r="R72" s="123">
        <v>0</v>
      </c>
      <c r="S72" s="123">
        <v>0</v>
      </c>
      <c r="T72" s="132">
        <v>0</v>
      </c>
      <c r="U72" s="117">
        <v>0</v>
      </c>
      <c r="V72" s="117">
        <v>0</v>
      </c>
      <c r="W72" s="117">
        <v>0</v>
      </c>
      <c r="X72" s="117">
        <v>0</v>
      </c>
      <c r="Y72" s="117">
        <v>0</v>
      </c>
      <c r="Z72" s="117">
        <v>0</v>
      </c>
      <c r="AA72" s="117">
        <v>0</v>
      </c>
      <c r="AB72" s="117">
        <v>0</v>
      </c>
      <c r="AC72" s="117">
        <v>0</v>
      </c>
      <c r="AD72" s="117">
        <v>0</v>
      </c>
      <c r="AE72" s="117">
        <v>0</v>
      </c>
      <c r="AF72" s="117">
        <v>0</v>
      </c>
      <c r="AG72" s="117">
        <v>0</v>
      </c>
      <c r="AH72" s="117">
        <v>0</v>
      </c>
      <c r="AI72" s="117">
        <v>0</v>
      </c>
      <c r="AJ72" s="123">
        <v>0</v>
      </c>
      <c r="AK72" s="123">
        <v>0</v>
      </c>
      <c r="AL72" s="123">
        <v>0</v>
      </c>
      <c r="AM72" s="117">
        <v>0</v>
      </c>
      <c r="AN72" s="117">
        <v>0</v>
      </c>
      <c r="AO72" s="117">
        <v>0</v>
      </c>
      <c r="AP72" s="123">
        <v>0</v>
      </c>
      <c r="AQ72" s="104"/>
      <c r="AR72" s="104"/>
      <c r="AS72" s="342"/>
      <c r="AT72" s="345"/>
      <c r="AU72" s="121"/>
      <c r="AV72" s="121"/>
      <c r="AW72" s="155"/>
    </row>
    <row r="73" spans="1:49" s="31" customFormat="1" ht="12.75" customHeight="1">
      <c r="A73" s="328" t="s">
        <v>398</v>
      </c>
      <c r="B73" s="331" t="s">
        <v>258</v>
      </c>
      <c r="C73" s="334" t="s">
        <v>277</v>
      </c>
      <c r="D73" s="337" t="s">
        <v>400</v>
      </c>
      <c r="E73" s="107" t="s">
        <v>42</v>
      </c>
      <c r="F73" s="123">
        <f>SUM(F74:F76)</f>
        <v>455.1</v>
      </c>
      <c r="G73" s="123">
        <f t="shared" ref="G73" si="94">SUM(G74:G76)</f>
        <v>0</v>
      </c>
      <c r="H73" s="123">
        <f>G73/F73*100</f>
        <v>0</v>
      </c>
      <c r="I73" s="138">
        <f t="shared" ref="I73:AP73" si="95">I74+I75+I76</f>
        <v>0</v>
      </c>
      <c r="J73" s="138">
        <f t="shared" si="95"/>
        <v>0</v>
      </c>
      <c r="K73" s="123">
        <v>0</v>
      </c>
      <c r="L73" s="138">
        <f t="shared" si="95"/>
        <v>0</v>
      </c>
      <c r="M73" s="132">
        <f t="shared" si="95"/>
        <v>0</v>
      </c>
      <c r="N73" s="132">
        <v>0</v>
      </c>
      <c r="O73" s="132">
        <f t="shared" si="95"/>
        <v>0</v>
      </c>
      <c r="P73" s="132">
        <f t="shared" si="95"/>
        <v>0</v>
      </c>
      <c r="Q73" s="123">
        <v>0</v>
      </c>
      <c r="R73" s="132">
        <f t="shared" si="95"/>
        <v>0</v>
      </c>
      <c r="S73" s="132">
        <f t="shared" si="95"/>
        <v>0</v>
      </c>
      <c r="T73" s="132">
        <v>0</v>
      </c>
      <c r="U73" s="132">
        <f t="shared" si="95"/>
        <v>0</v>
      </c>
      <c r="V73" s="132">
        <f t="shared" si="95"/>
        <v>0</v>
      </c>
      <c r="W73" s="132">
        <f t="shared" si="95"/>
        <v>0</v>
      </c>
      <c r="X73" s="132">
        <f t="shared" si="95"/>
        <v>0</v>
      </c>
      <c r="Y73" s="132">
        <f t="shared" si="95"/>
        <v>0</v>
      </c>
      <c r="Z73" s="138">
        <f t="shared" si="95"/>
        <v>0</v>
      </c>
      <c r="AA73" s="138">
        <f t="shared" si="95"/>
        <v>0</v>
      </c>
      <c r="AB73" s="138">
        <f t="shared" si="95"/>
        <v>0</v>
      </c>
      <c r="AC73" s="138">
        <f t="shared" si="95"/>
        <v>0</v>
      </c>
      <c r="AD73" s="132">
        <f t="shared" si="95"/>
        <v>0</v>
      </c>
      <c r="AE73" s="132">
        <f t="shared" si="95"/>
        <v>0</v>
      </c>
      <c r="AF73" s="132">
        <f t="shared" si="95"/>
        <v>0</v>
      </c>
      <c r="AG73" s="132">
        <f t="shared" si="95"/>
        <v>0</v>
      </c>
      <c r="AH73" s="132">
        <f t="shared" si="95"/>
        <v>0</v>
      </c>
      <c r="AI73" s="132">
        <f t="shared" si="95"/>
        <v>0</v>
      </c>
      <c r="AJ73" s="132">
        <f t="shared" si="95"/>
        <v>0</v>
      </c>
      <c r="AK73" s="132">
        <f t="shared" si="95"/>
        <v>0</v>
      </c>
      <c r="AL73" s="132">
        <f t="shared" si="95"/>
        <v>0</v>
      </c>
      <c r="AM73" s="132">
        <f t="shared" si="95"/>
        <v>455.1</v>
      </c>
      <c r="AN73" s="132">
        <f t="shared" si="95"/>
        <v>0</v>
      </c>
      <c r="AO73" s="132">
        <f t="shared" si="95"/>
        <v>0</v>
      </c>
      <c r="AP73" s="132">
        <f t="shared" si="95"/>
        <v>0</v>
      </c>
      <c r="AQ73" s="104"/>
      <c r="AR73" s="104"/>
      <c r="AS73" s="346" t="s">
        <v>281</v>
      </c>
      <c r="AT73" s="349" t="s">
        <v>300</v>
      </c>
      <c r="AU73" s="121"/>
      <c r="AV73" s="121"/>
      <c r="AW73" s="155"/>
    </row>
    <row r="74" spans="1:49" s="31" customFormat="1" ht="39" customHeight="1">
      <c r="A74" s="329"/>
      <c r="B74" s="332"/>
      <c r="C74" s="335"/>
      <c r="D74" s="338"/>
      <c r="E74" s="108" t="s">
        <v>3</v>
      </c>
      <c r="F74" s="123">
        <f>I74+L74+O74+R74+U74+X74+AA74+AD74+AG74+AJ74+AM74+AP74</f>
        <v>0</v>
      </c>
      <c r="G74" s="123">
        <f>J74+M74+P74+S74+V74+Y74+AB74+AE74+AH74+AK74+AN74+AQ74</f>
        <v>0</v>
      </c>
      <c r="H74" s="123">
        <v>0</v>
      </c>
      <c r="I74" s="123">
        <v>0</v>
      </c>
      <c r="J74" s="123">
        <v>0</v>
      </c>
      <c r="K74" s="123">
        <v>0</v>
      </c>
      <c r="L74" s="150">
        <v>0</v>
      </c>
      <c r="M74" s="123">
        <v>0</v>
      </c>
      <c r="N74" s="138">
        <v>0</v>
      </c>
      <c r="O74" s="123">
        <v>0</v>
      </c>
      <c r="P74" s="123">
        <v>0</v>
      </c>
      <c r="Q74" s="123">
        <v>0</v>
      </c>
      <c r="R74" s="123">
        <v>0</v>
      </c>
      <c r="S74" s="123">
        <v>0</v>
      </c>
      <c r="T74" s="138">
        <v>0</v>
      </c>
      <c r="U74" s="117">
        <v>0</v>
      </c>
      <c r="V74" s="117">
        <v>0</v>
      </c>
      <c r="W74" s="117">
        <v>0</v>
      </c>
      <c r="X74" s="117">
        <v>0</v>
      </c>
      <c r="Y74" s="117">
        <v>0</v>
      </c>
      <c r="Z74" s="117">
        <v>0</v>
      </c>
      <c r="AA74" s="117">
        <v>0</v>
      </c>
      <c r="AB74" s="117">
        <v>0</v>
      </c>
      <c r="AC74" s="117">
        <v>0</v>
      </c>
      <c r="AD74" s="117">
        <v>0</v>
      </c>
      <c r="AE74" s="117">
        <v>0</v>
      </c>
      <c r="AF74" s="117">
        <v>0</v>
      </c>
      <c r="AG74" s="117">
        <v>0</v>
      </c>
      <c r="AH74" s="117">
        <v>0</v>
      </c>
      <c r="AI74" s="117">
        <v>0</v>
      </c>
      <c r="AJ74" s="123">
        <v>0</v>
      </c>
      <c r="AK74" s="123">
        <v>0</v>
      </c>
      <c r="AL74" s="123">
        <v>0</v>
      </c>
      <c r="AM74" s="117">
        <v>0</v>
      </c>
      <c r="AN74" s="117">
        <v>0</v>
      </c>
      <c r="AO74" s="117">
        <v>0</v>
      </c>
      <c r="AP74" s="123">
        <v>0</v>
      </c>
      <c r="AQ74" s="104"/>
      <c r="AR74" s="104"/>
      <c r="AS74" s="347"/>
      <c r="AT74" s="350"/>
      <c r="AU74" s="121"/>
      <c r="AV74" s="121"/>
      <c r="AW74" s="155"/>
    </row>
    <row r="75" spans="1:49" s="31" customFormat="1" ht="13.5" customHeight="1">
      <c r="A75" s="329"/>
      <c r="B75" s="332"/>
      <c r="C75" s="335"/>
      <c r="D75" s="338"/>
      <c r="E75" s="108" t="s">
        <v>44</v>
      </c>
      <c r="F75" s="123">
        <f t="shared" ref="F75:F76" si="96">I75+L75+O75+R75+U75+X75+AA75+AD75+AG75+AJ75+AM75+AP75</f>
        <v>455.1</v>
      </c>
      <c r="G75" s="123">
        <f t="shared" ref="G75:G76" si="97">J75+M75+P75+S75+V75+Y75+AB75+AE75+AH75+AK75+AN75+AQ75</f>
        <v>0</v>
      </c>
      <c r="H75" s="123">
        <f>G75/F75*100</f>
        <v>0</v>
      </c>
      <c r="I75" s="123">
        <v>0</v>
      </c>
      <c r="J75" s="123">
        <v>0</v>
      </c>
      <c r="K75" s="123">
        <v>0</v>
      </c>
      <c r="L75" s="150">
        <v>0</v>
      </c>
      <c r="M75" s="123">
        <v>0</v>
      </c>
      <c r="N75" s="138">
        <v>0</v>
      </c>
      <c r="O75" s="123">
        <v>0</v>
      </c>
      <c r="P75" s="123">
        <v>0</v>
      </c>
      <c r="Q75" s="123">
        <v>0</v>
      </c>
      <c r="R75" s="123">
        <v>0</v>
      </c>
      <c r="S75" s="123">
        <v>0</v>
      </c>
      <c r="T75" s="138">
        <v>0</v>
      </c>
      <c r="U75" s="117">
        <v>0</v>
      </c>
      <c r="V75" s="117">
        <v>0</v>
      </c>
      <c r="W75" s="117">
        <v>0</v>
      </c>
      <c r="X75" s="117">
        <v>0</v>
      </c>
      <c r="Y75" s="117">
        <v>0</v>
      </c>
      <c r="Z75" s="117">
        <v>0</v>
      </c>
      <c r="AA75" s="117">
        <v>0</v>
      </c>
      <c r="AB75" s="117">
        <v>0</v>
      </c>
      <c r="AC75" s="117">
        <v>0</v>
      </c>
      <c r="AD75" s="117">
        <v>0</v>
      </c>
      <c r="AE75" s="117">
        <v>0</v>
      </c>
      <c r="AF75" s="117">
        <v>0</v>
      </c>
      <c r="AG75" s="117">
        <v>0</v>
      </c>
      <c r="AH75" s="117">
        <v>0</v>
      </c>
      <c r="AI75" s="117">
        <v>0</v>
      </c>
      <c r="AJ75" s="123">
        <v>0</v>
      </c>
      <c r="AK75" s="123">
        <v>0</v>
      </c>
      <c r="AL75" s="123">
        <v>0</v>
      </c>
      <c r="AM75" s="117">
        <v>455.1</v>
      </c>
      <c r="AN75" s="117">
        <v>0</v>
      </c>
      <c r="AO75" s="117">
        <v>0</v>
      </c>
      <c r="AP75" s="123">
        <v>0</v>
      </c>
      <c r="AQ75" s="104"/>
      <c r="AR75" s="104"/>
      <c r="AS75" s="347"/>
      <c r="AT75" s="350"/>
      <c r="AU75" s="121"/>
      <c r="AV75" s="121"/>
      <c r="AW75" s="155"/>
    </row>
    <row r="76" spans="1:49" s="31" customFormat="1" ht="31.5" customHeight="1">
      <c r="A76" s="330"/>
      <c r="B76" s="333"/>
      <c r="C76" s="336"/>
      <c r="D76" s="339"/>
      <c r="E76" s="109" t="s">
        <v>257</v>
      </c>
      <c r="F76" s="123">
        <f t="shared" si="96"/>
        <v>0</v>
      </c>
      <c r="G76" s="123">
        <f t="shared" si="97"/>
        <v>0</v>
      </c>
      <c r="H76" s="123">
        <v>0</v>
      </c>
      <c r="I76" s="123">
        <v>0</v>
      </c>
      <c r="J76" s="123">
        <v>0</v>
      </c>
      <c r="K76" s="123">
        <v>0</v>
      </c>
      <c r="L76" s="150">
        <v>0</v>
      </c>
      <c r="M76" s="123">
        <v>0</v>
      </c>
      <c r="N76" s="123">
        <v>0</v>
      </c>
      <c r="O76" s="123">
        <v>0</v>
      </c>
      <c r="P76" s="123">
        <v>0</v>
      </c>
      <c r="Q76" s="123">
        <v>0</v>
      </c>
      <c r="R76" s="123">
        <v>0</v>
      </c>
      <c r="S76" s="123">
        <v>0</v>
      </c>
      <c r="T76" s="138">
        <v>0</v>
      </c>
      <c r="U76" s="117">
        <v>0</v>
      </c>
      <c r="V76" s="117">
        <v>0</v>
      </c>
      <c r="W76" s="117">
        <v>0</v>
      </c>
      <c r="X76" s="117">
        <v>0</v>
      </c>
      <c r="Y76" s="117">
        <v>0</v>
      </c>
      <c r="Z76" s="117">
        <v>0</v>
      </c>
      <c r="AA76" s="117">
        <v>0</v>
      </c>
      <c r="AB76" s="117">
        <v>0</v>
      </c>
      <c r="AC76" s="117">
        <v>0</v>
      </c>
      <c r="AD76" s="117">
        <v>0</v>
      </c>
      <c r="AE76" s="117">
        <v>0</v>
      </c>
      <c r="AF76" s="117">
        <v>0</v>
      </c>
      <c r="AG76" s="117">
        <v>0</v>
      </c>
      <c r="AH76" s="117">
        <v>0</v>
      </c>
      <c r="AI76" s="117">
        <v>0</v>
      </c>
      <c r="AJ76" s="123">
        <v>0</v>
      </c>
      <c r="AK76" s="123">
        <v>0</v>
      </c>
      <c r="AL76" s="123">
        <v>0</v>
      </c>
      <c r="AM76" s="117">
        <v>0</v>
      </c>
      <c r="AN76" s="117">
        <v>0</v>
      </c>
      <c r="AO76" s="117">
        <v>0</v>
      </c>
      <c r="AP76" s="123">
        <v>0</v>
      </c>
      <c r="AQ76" s="104"/>
      <c r="AR76" s="104"/>
      <c r="AS76" s="348"/>
      <c r="AT76" s="351"/>
      <c r="AU76" s="121"/>
      <c r="AV76" s="121"/>
      <c r="AW76" s="155"/>
    </row>
    <row r="77" spans="1:49" s="31" customFormat="1" ht="12.75" customHeight="1">
      <c r="A77" s="328" t="s">
        <v>399</v>
      </c>
      <c r="B77" s="331" t="s">
        <v>295</v>
      </c>
      <c r="C77" s="334" t="s">
        <v>401</v>
      </c>
      <c r="D77" s="337" t="s">
        <v>402</v>
      </c>
      <c r="E77" s="107" t="s">
        <v>42</v>
      </c>
      <c r="F77" s="123">
        <f>SUM(F78:F80)</f>
        <v>8560.9000000000015</v>
      </c>
      <c r="G77" s="123">
        <f t="shared" ref="G77" si="98">SUM(G78:G80)</f>
        <v>0</v>
      </c>
      <c r="H77" s="123">
        <f>G77/F77*100</f>
        <v>0</v>
      </c>
      <c r="I77" s="132">
        <f t="shared" ref="I77:AP77" si="99">I78+I79+I80</f>
        <v>0</v>
      </c>
      <c r="J77" s="132">
        <f t="shared" si="99"/>
        <v>0</v>
      </c>
      <c r="K77" s="123">
        <v>0</v>
      </c>
      <c r="L77" s="132">
        <f t="shared" si="99"/>
        <v>2276.1</v>
      </c>
      <c r="M77" s="132">
        <f t="shared" si="99"/>
        <v>0</v>
      </c>
      <c r="N77" s="132">
        <f>M77/L77*100</f>
        <v>0</v>
      </c>
      <c r="O77" s="132">
        <f t="shared" si="99"/>
        <v>1934</v>
      </c>
      <c r="P77" s="132">
        <f t="shared" si="99"/>
        <v>0</v>
      </c>
      <c r="Q77" s="123">
        <f t="shared" si="79"/>
        <v>0</v>
      </c>
      <c r="R77" s="132">
        <f t="shared" si="99"/>
        <v>267.2</v>
      </c>
      <c r="S77" s="132">
        <f t="shared" si="99"/>
        <v>0</v>
      </c>
      <c r="T77" s="132">
        <f t="shared" si="88"/>
        <v>0</v>
      </c>
      <c r="U77" s="132">
        <f t="shared" si="99"/>
        <v>1159.2</v>
      </c>
      <c r="V77" s="132">
        <f t="shared" si="99"/>
        <v>0</v>
      </c>
      <c r="W77" s="138">
        <f t="shared" ref="W77" si="100">V77/U77*100</f>
        <v>0</v>
      </c>
      <c r="X77" s="132">
        <f t="shared" si="99"/>
        <v>1227.2</v>
      </c>
      <c r="Y77" s="132">
        <f t="shared" si="99"/>
        <v>0</v>
      </c>
      <c r="Z77" s="132">
        <f t="shared" si="99"/>
        <v>0</v>
      </c>
      <c r="AA77" s="132">
        <f t="shared" si="99"/>
        <v>1014.2</v>
      </c>
      <c r="AB77" s="132">
        <f t="shared" si="99"/>
        <v>0</v>
      </c>
      <c r="AC77" s="117">
        <f>AB77/AA77*100</f>
        <v>0</v>
      </c>
      <c r="AD77" s="132">
        <f t="shared" si="99"/>
        <v>89.2</v>
      </c>
      <c r="AE77" s="132">
        <f t="shared" si="99"/>
        <v>0</v>
      </c>
      <c r="AF77" s="104">
        <f t="shared" ref="AF77" si="101">AE77/AD77*100</f>
        <v>0</v>
      </c>
      <c r="AG77" s="132">
        <f t="shared" si="99"/>
        <v>139.19999999999999</v>
      </c>
      <c r="AH77" s="132">
        <f t="shared" si="99"/>
        <v>0</v>
      </c>
      <c r="AI77" s="104">
        <f t="shared" ref="AI77" si="102">AH77/AG77*100</f>
        <v>0</v>
      </c>
      <c r="AJ77" s="132">
        <f t="shared" si="99"/>
        <v>101.2</v>
      </c>
      <c r="AK77" s="132">
        <f t="shared" si="99"/>
        <v>0</v>
      </c>
      <c r="AL77" s="132">
        <f t="shared" si="99"/>
        <v>0</v>
      </c>
      <c r="AM77" s="132">
        <f t="shared" si="99"/>
        <v>104.2</v>
      </c>
      <c r="AN77" s="132">
        <f t="shared" si="99"/>
        <v>0</v>
      </c>
      <c r="AO77" s="132">
        <f t="shared" si="99"/>
        <v>0</v>
      </c>
      <c r="AP77" s="132">
        <f t="shared" si="99"/>
        <v>249.20000000000002</v>
      </c>
      <c r="AQ77" s="104"/>
      <c r="AR77" s="104"/>
      <c r="AS77" s="340" t="s">
        <v>320</v>
      </c>
      <c r="AT77" s="343"/>
      <c r="AU77" s="121">
        <f t="shared" si="46"/>
        <v>8106.2999999999993</v>
      </c>
      <c r="AV77" s="121">
        <f t="shared" si="47"/>
        <v>0</v>
      </c>
      <c r="AW77" s="155">
        <f t="shared" si="48"/>
        <v>0</v>
      </c>
    </row>
    <row r="78" spans="1:49" s="31" customFormat="1" ht="36">
      <c r="A78" s="329"/>
      <c r="B78" s="332"/>
      <c r="C78" s="335"/>
      <c r="D78" s="338"/>
      <c r="E78" s="108" t="s">
        <v>3</v>
      </c>
      <c r="F78" s="123">
        <f>I78+L78+O78+R78+U78+X78+AA78+AD78+AG78+AJ78+AM78+AP78</f>
        <v>0</v>
      </c>
      <c r="G78" s="123">
        <f>J78+M78+P78+S78+V78+Y78+AB78+AE78+AH78+AK78+AN78+AQ78</f>
        <v>0</v>
      </c>
      <c r="H78" s="123">
        <v>0</v>
      </c>
      <c r="I78" s="123">
        <v>0</v>
      </c>
      <c r="J78" s="123">
        <v>0</v>
      </c>
      <c r="K78" s="123">
        <v>0</v>
      </c>
      <c r="L78" s="150">
        <v>0</v>
      </c>
      <c r="M78" s="123">
        <v>0</v>
      </c>
      <c r="N78" s="138">
        <v>0</v>
      </c>
      <c r="O78" s="123">
        <v>0</v>
      </c>
      <c r="P78" s="123">
        <v>0</v>
      </c>
      <c r="Q78" s="123">
        <v>0</v>
      </c>
      <c r="R78" s="123">
        <v>0</v>
      </c>
      <c r="S78" s="123">
        <v>0</v>
      </c>
      <c r="T78" s="138">
        <v>0</v>
      </c>
      <c r="U78" s="117">
        <v>0</v>
      </c>
      <c r="V78" s="117">
        <v>0</v>
      </c>
      <c r="W78" s="117">
        <v>0</v>
      </c>
      <c r="X78" s="117">
        <v>0</v>
      </c>
      <c r="Y78" s="117">
        <v>0</v>
      </c>
      <c r="Z78" s="117">
        <v>0</v>
      </c>
      <c r="AA78" s="117">
        <v>0</v>
      </c>
      <c r="AB78" s="117">
        <v>0</v>
      </c>
      <c r="AC78" s="117">
        <v>0</v>
      </c>
      <c r="AD78" s="117">
        <v>0</v>
      </c>
      <c r="AE78" s="117">
        <v>0</v>
      </c>
      <c r="AF78" s="117">
        <v>0</v>
      </c>
      <c r="AG78" s="117">
        <v>0</v>
      </c>
      <c r="AH78" s="117">
        <v>0</v>
      </c>
      <c r="AI78" s="117">
        <v>0</v>
      </c>
      <c r="AJ78" s="123">
        <v>0</v>
      </c>
      <c r="AK78" s="123">
        <v>0</v>
      </c>
      <c r="AL78" s="123">
        <v>0</v>
      </c>
      <c r="AM78" s="117">
        <v>0</v>
      </c>
      <c r="AN78" s="117">
        <v>0</v>
      </c>
      <c r="AO78" s="117">
        <v>0</v>
      </c>
      <c r="AP78" s="123">
        <v>0</v>
      </c>
      <c r="AQ78" s="104"/>
      <c r="AR78" s="104"/>
      <c r="AS78" s="341"/>
      <c r="AT78" s="344"/>
      <c r="AU78" s="121"/>
      <c r="AV78" s="121"/>
      <c r="AW78" s="155"/>
    </row>
    <row r="79" spans="1:49" s="31" customFormat="1" ht="12.75">
      <c r="A79" s="329"/>
      <c r="B79" s="332"/>
      <c r="C79" s="335"/>
      <c r="D79" s="338"/>
      <c r="E79" s="108" t="s">
        <v>44</v>
      </c>
      <c r="F79" s="123">
        <f t="shared" ref="F79:F80" si="103">I79+L79+O79+R79+U79+X79+AA79+AD79+AG79+AJ79+AM79+AP79</f>
        <v>8560.9000000000015</v>
      </c>
      <c r="G79" s="123">
        <f t="shared" ref="G79:G80" si="104">J79+M79+P79+S79+V79+Y79+AB79+AE79+AH79+AK79+AN79+AQ79</f>
        <v>0</v>
      </c>
      <c r="H79" s="123">
        <f>G79/F79*100</f>
        <v>0</v>
      </c>
      <c r="I79" s="123">
        <v>0</v>
      </c>
      <c r="J79" s="123">
        <v>0</v>
      </c>
      <c r="K79" s="123">
        <v>0</v>
      </c>
      <c r="L79" s="150">
        <f>2231.1+45</f>
        <v>2276.1</v>
      </c>
      <c r="M79" s="123">
        <v>0</v>
      </c>
      <c r="N79" s="138">
        <f t="shared" ref="N79" si="105">M79/L79*100</f>
        <v>0</v>
      </c>
      <c r="O79" s="123">
        <f>1844+40+50</f>
        <v>1934</v>
      </c>
      <c r="P79" s="123">
        <v>0</v>
      </c>
      <c r="Q79" s="123">
        <f t="shared" si="79"/>
        <v>0</v>
      </c>
      <c r="R79" s="123">
        <f>229.2+38</f>
        <v>267.2</v>
      </c>
      <c r="S79" s="123">
        <v>0</v>
      </c>
      <c r="T79" s="138">
        <f t="shared" si="88"/>
        <v>0</v>
      </c>
      <c r="U79" s="117">
        <f>1129.2+30</f>
        <v>1159.2</v>
      </c>
      <c r="V79" s="117">
        <v>0</v>
      </c>
      <c r="W79" s="138">
        <f t="shared" ref="W79" si="106">V79/U79*100</f>
        <v>0</v>
      </c>
      <c r="X79" s="117">
        <f>1149.2+28+50</f>
        <v>1227.2</v>
      </c>
      <c r="Y79" s="117">
        <v>0</v>
      </c>
      <c r="Z79" s="117">
        <f>Y79/X79*100</f>
        <v>0</v>
      </c>
      <c r="AA79" s="117">
        <f>994.2+20</f>
        <v>1014.2</v>
      </c>
      <c r="AB79" s="117">
        <v>0</v>
      </c>
      <c r="AC79" s="117">
        <f>AB79/AA79*100</f>
        <v>0</v>
      </c>
      <c r="AD79" s="117">
        <f>69.2+20</f>
        <v>89.2</v>
      </c>
      <c r="AE79" s="117">
        <v>0</v>
      </c>
      <c r="AF79" s="117">
        <f>AE79/AD79*100</f>
        <v>0</v>
      </c>
      <c r="AG79" s="117">
        <f>69.2+20+50</f>
        <v>139.19999999999999</v>
      </c>
      <c r="AH79" s="117">
        <v>0</v>
      </c>
      <c r="AI79" s="104">
        <f t="shared" ref="AI79" si="107">AH79/AG79*100</f>
        <v>0</v>
      </c>
      <c r="AJ79" s="123">
        <f>69.2+32</f>
        <v>101.2</v>
      </c>
      <c r="AK79" s="123">
        <v>0</v>
      </c>
      <c r="AL79" s="123">
        <v>0</v>
      </c>
      <c r="AM79" s="117">
        <f>69.2+35</f>
        <v>104.2</v>
      </c>
      <c r="AN79" s="117">
        <v>0</v>
      </c>
      <c r="AO79" s="117">
        <v>0</v>
      </c>
      <c r="AP79" s="123">
        <f>187.8+61.4+24.7*2-49.4</f>
        <v>249.20000000000002</v>
      </c>
      <c r="AQ79" s="104"/>
      <c r="AR79" s="104"/>
      <c r="AS79" s="341"/>
      <c r="AT79" s="344"/>
      <c r="AU79" s="121">
        <f t="shared" si="46"/>
        <v>8106.2999999999993</v>
      </c>
      <c r="AV79" s="121">
        <f t="shared" si="47"/>
        <v>0</v>
      </c>
      <c r="AW79" s="155">
        <f t="shared" si="48"/>
        <v>0</v>
      </c>
    </row>
    <row r="80" spans="1:49" s="31" customFormat="1" ht="24">
      <c r="A80" s="330"/>
      <c r="B80" s="333"/>
      <c r="C80" s="336"/>
      <c r="D80" s="339"/>
      <c r="E80" s="109" t="s">
        <v>257</v>
      </c>
      <c r="F80" s="123">
        <f t="shared" si="103"/>
        <v>0</v>
      </c>
      <c r="G80" s="123">
        <f t="shared" si="104"/>
        <v>0</v>
      </c>
      <c r="H80" s="123">
        <v>0</v>
      </c>
      <c r="I80" s="123">
        <v>0</v>
      </c>
      <c r="J80" s="123">
        <v>0</v>
      </c>
      <c r="K80" s="123">
        <v>0</v>
      </c>
      <c r="L80" s="150">
        <v>0</v>
      </c>
      <c r="M80" s="123">
        <v>0</v>
      </c>
      <c r="N80" s="123">
        <v>0</v>
      </c>
      <c r="O80" s="123">
        <v>0</v>
      </c>
      <c r="P80" s="123">
        <v>0</v>
      </c>
      <c r="Q80" s="123">
        <v>0</v>
      </c>
      <c r="R80" s="123">
        <v>0</v>
      </c>
      <c r="S80" s="123">
        <v>0</v>
      </c>
      <c r="T80" s="138">
        <v>0</v>
      </c>
      <c r="U80" s="117">
        <v>0</v>
      </c>
      <c r="V80" s="117">
        <v>0</v>
      </c>
      <c r="W80" s="117">
        <v>0</v>
      </c>
      <c r="X80" s="117">
        <v>0</v>
      </c>
      <c r="Y80" s="117">
        <v>0</v>
      </c>
      <c r="Z80" s="117">
        <v>0</v>
      </c>
      <c r="AA80" s="117">
        <v>0</v>
      </c>
      <c r="AB80" s="117">
        <v>0</v>
      </c>
      <c r="AC80" s="117">
        <v>0</v>
      </c>
      <c r="AD80" s="117">
        <v>0</v>
      </c>
      <c r="AE80" s="117">
        <v>0</v>
      </c>
      <c r="AF80" s="117">
        <v>0</v>
      </c>
      <c r="AG80" s="117">
        <v>0</v>
      </c>
      <c r="AH80" s="117">
        <v>0</v>
      </c>
      <c r="AI80" s="117">
        <v>0</v>
      </c>
      <c r="AJ80" s="123">
        <v>0</v>
      </c>
      <c r="AK80" s="123">
        <v>0</v>
      </c>
      <c r="AL80" s="123">
        <v>0</v>
      </c>
      <c r="AM80" s="117">
        <v>0</v>
      </c>
      <c r="AN80" s="117">
        <v>0</v>
      </c>
      <c r="AO80" s="117">
        <v>0</v>
      </c>
      <c r="AP80" s="123">
        <v>0</v>
      </c>
      <c r="AQ80" s="104"/>
      <c r="AR80" s="104"/>
      <c r="AS80" s="342"/>
      <c r="AT80" s="345"/>
      <c r="AU80" s="121"/>
      <c r="AV80" s="121"/>
      <c r="AW80" s="155"/>
    </row>
    <row r="81" spans="1:48" s="100" customFormat="1" ht="12.75" customHeight="1">
      <c r="A81" s="310" t="s">
        <v>256</v>
      </c>
      <c r="B81" s="311"/>
      <c r="C81" s="311"/>
      <c r="D81" s="312"/>
      <c r="E81" s="110" t="s">
        <v>42</v>
      </c>
      <c r="F81" s="106">
        <f>F82+F83+F84</f>
        <v>433024.19999999995</v>
      </c>
      <c r="G81" s="106">
        <f t="shared" ref="G81:AP81" si="108">G82+G83+G84</f>
        <v>0</v>
      </c>
      <c r="H81" s="106">
        <f>G81/F81*100</f>
        <v>0</v>
      </c>
      <c r="I81" s="106">
        <f t="shared" si="108"/>
        <v>14819.3</v>
      </c>
      <c r="J81" s="106">
        <f t="shared" si="108"/>
        <v>0</v>
      </c>
      <c r="K81" s="106">
        <f>J81/I81*100</f>
        <v>0</v>
      </c>
      <c r="L81" s="106">
        <f t="shared" si="108"/>
        <v>45743.000000000007</v>
      </c>
      <c r="M81" s="106">
        <f t="shared" si="108"/>
        <v>0</v>
      </c>
      <c r="N81" s="106">
        <f>M81/L81*100</f>
        <v>0</v>
      </c>
      <c r="O81" s="106">
        <f t="shared" si="108"/>
        <v>37909.200000000004</v>
      </c>
      <c r="P81" s="106">
        <f t="shared" si="108"/>
        <v>0</v>
      </c>
      <c r="Q81" s="106">
        <f>P81/O81*100</f>
        <v>0</v>
      </c>
      <c r="R81" s="106">
        <f t="shared" si="108"/>
        <v>43738.3</v>
      </c>
      <c r="S81" s="106">
        <f t="shared" si="108"/>
        <v>0</v>
      </c>
      <c r="T81" s="106">
        <f>S81/R81*100</f>
        <v>0</v>
      </c>
      <c r="U81" s="106">
        <f t="shared" si="108"/>
        <v>35345.399999999994</v>
      </c>
      <c r="V81" s="106">
        <f t="shared" si="108"/>
        <v>0</v>
      </c>
      <c r="W81" s="106">
        <f t="shared" si="108"/>
        <v>0</v>
      </c>
      <c r="X81" s="106">
        <f t="shared" si="108"/>
        <v>38689.799999999996</v>
      </c>
      <c r="Y81" s="106">
        <f t="shared" si="108"/>
        <v>0</v>
      </c>
      <c r="Z81" s="106" t="e">
        <f t="shared" si="108"/>
        <v>#REF!</v>
      </c>
      <c r="AA81" s="106">
        <f t="shared" si="108"/>
        <v>50633.4</v>
      </c>
      <c r="AB81" s="106">
        <f t="shared" si="108"/>
        <v>0</v>
      </c>
      <c r="AC81" s="106" t="e">
        <f t="shared" si="108"/>
        <v>#REF!</v>
      </c>
      <c r="AD81" s="106">
        <f t="shared" si="108"/>
        <v>36461.199999999997</v>
      </c>
      <c r="AE81" s="106">
        <f t="shared" si="108"/>
        <v>0</v>
      </c>
      <c r="AF81" s="103">
        <f t="shared" ref="AF81:AF84" si="109">AE81/AD81*100</f>
        <v>0</v>
      </c>
      <c r="AG81" s="106">
        <f t="shared" si="108"/>
        <v>28451.69999999999</v>
      </c>
      <c r="AH81" s="106">
        <f t="shared" si="108"/>
        <v>0</v>
      </c>
      <c r="AI81" s="106" t="e">
        <f t="shared" si="108"/>
        <v>#REF!</v>
      </c>
      <c r="AJ81" s="106">
        <f t="shared" si="108"/>
        <v>24958.799999999999</v>
      </c>
      <c r="AK81" s="106">
        <f t="shared" si="108"/>
        <v>0</v>
      </c>
      <c r="AL81" s="106" t="e">
        <f t="shared" si="108"/>
        <v>#REF!</v>
      </c>
      <c r="AM81" s="106">
        <f t="shared" si="108"/>
        <v>25565.599999999995</v>
      </c>
      <c r="AN81" s="106">
        <f t="shared" si="108"/>
        <v>0</v>
      </c>
      <c r="AO81" s="106" t="e">
        <f t="shared" si="108"/>
        <v>#REF!</v>
      </c>
      <c r="AP81" s="106">
        <f t="shared" si="108"/>
        <v>50708.5</v>
      </c>
      <c r="AQ81" s="103">
        <f t="shared" ref="AQ81:AR81" si="110">SUM(AQ82:AQ84)</f>
        <v>0</v>
      </c>
      <c r="AR81" s="103" t="e">
        <f t="shared" si="110"/>
        <v>#REF!</v>
      </c>
      <c r="AS81" s="319"/>
      <c r="AT81" s="322"/>
      <c r="AU81" s="121"/>
      <c r="AV81" s="127"/>
    </row>
    <row r="82" spans="1:48" s="100" customFormat="1" ht="36">
      <c r="A82" s="313"/>
      <c r="B82" s="314"/>
      <c r="C82" s="314"/>
      <c r="D82" s="315"/>
      <c r="E82" s="111" t="s">
        <v>3</v>
      </c>
      <c r="F82" s="106">
        <f t="shared" ref="F82:G84" si="111">F10+F34+F49+F63</f>
        <v>124591.59999999998</v>
      </c>
      <c r="G82" s="106">
        <f t="shared" si="111"/>
        <v>0</v>
      </c>
      <c r="H82" s="106">
        <f>G82/F82*100</f>
        <v>0</v>
      </c>
      <c r="I82" s="106">
        <f t="shared" ref="I82:J84" si="112">I10+I34+I49+I63</f>
        <v>949.6</v>
      </c>
      <c r="J82" s="106">
        <f t="shared" si="112"/>
        <v>0</v>
      </c>
      <c r="K82" s="106">
        <f t="shared" ref="K82:K84" si="113">J82/I82*100</f>
        <v>0</v>
      </c>
      <c r="L82" s="106">
        <f t="shared" ref="L82:M84" si="114">L10+L34+L49+L63</f>
        <v>8876.4</v>
      </c>
      <c r="M82" s="106">
        <f t="shared" si="114"/>
        <v>0</v>
      </c>
      <c r="N82" s="106">
        <f t="shared" ref="N82:N84" si="115">M82/L82*100</f>
        <v>0</v>
      </c>
      <c r="O82" s="106">
        <f t="shared" ref="O82:P84" si="116">O10+O34+O49+O63</f>
        <v>9349.1999999999989</v>
      </c>
      <c r="P82" s="106">
        <f t="shared" si="116"/>
        <v>0</v>
      </c>
      <c r="Q82" s="106">
        <f t="shared" ref="Q82:Q84" si="117">P82/O82*100</f>
        <v>0</v>
      </c>
      <c r="R82" s="106">
        <f t="shared" ref="R82:S84" si="118">R10+R34+R49+R63</f>
        <v>10145.4</v>
      </c>
      <c r="S82" s="106">
        <f t="shared" si="118"/>
        <v>0</v>
      </c>
      <c r="T82" s="106">
        <f t="shared" ref="T82:T84" si="119">S82/R82*100</f>
        <v>0</v>
      </c>
      <c r="U82" s="106">
        <f t="shared" ref="U82:AE82" si="120">U10+U34+U49+U63</f>
        <v>8496.3999999999978</v>
      </c>
      <c r="V82" s="106">
        <f t="shared" si="120"/>
        <v>0</v>
      </c>
      <c r="W82" s="106">
        <f t="shared" si="120"/>
        <v>0</v>
      </c>
      <c r="X82" s="106">
        <f t="shared" si="120"/>
        <v>10177.699999999999</v>
      </c>
      <c r="Y82" s="106">
        <f t="shared" si="120"/>
        <v>0</v>
      </c>
      <c r="Z82" s="106" t="e">
        <f t="shared" si="120"/>
        <v>#REF!</v>
      </c>
      <c r="AA82" s="106">
        <f t="shared" si="120"/>
        <v>11495.900000000001</v>
      </c>
      <c r="AB82" s="106">
        <f t="shared" si="120"/>
        <v>0</v>
      </c>
      <c r="AC82" s="106" t="e">
        <f t="shared" si="120"/>
        <v>#REF!</v>
      </c>
      <c r="AD82" s="106">
        <f t="shared" si="120"/>
        <v>11156.3</v>
      </c>
      <c r="AE82" s="106">
        <f t="shared" si="120"/>
        <v>0</v>
      </c>
      <c r="AF82" s="103">
        <f t="shared" si="109"/>
        <v>0</v>
      </c>
      <c r="AG82" s="106">
        <f t="shared" ref="AG82:AR82" si="121">AG10+AG34+AG49+AG63</f>
        <v>9422.9</v>
      </c>
      <c r="AH82" s="106">
        <f t="shared" si="121"/>
        <v>0</v>
      </c>
      <c r="AI82" s="106" t="e">
        <f t="shared" si="121"/>
        <v>#REF!</v>
      </c>
      <c r="AJ82" s="106">
        <f t="shared" si="121"/>
        <v>9978.1999999999989</v>
      </c>
      <c r="AK82" s="106">
        <f t="shared" si="121"/>
        <v>0</v>
      </c>
      <c r="AL82" s="106" t="e">
        <f t="shared" si="121"/>
        <v>#REF!</v>
      </c>
      <c r="AM82" s="106">
        <f t="shared" si="121"/>
        <v>8872.0999999999985</v>
      </c>
      <c r="AN82" s="106">
        <f t="shared" si="121"/>
        <v>0</v>
      </c>
      <c r="AO82" s="106" t="e">
        <f t="shared" si="121"/>
        <v>#REF!</v>
      </c>
      <c r="AP82" s="106">
        <f t="shared" si="121"/>
        <v>25671.5</v>
      </c>
      <c r="AQ82" s="106">
        <f t="shared" si="121"/>
        <v>0</v>
      </c>
      <c r="AR82" s="106" t="e">
        <f t="shared" si="121"/>
        <v>#REF!</v>
      </c>
      <c r="AS82" s="320"/>
      <c r="AT82" s="323"/>
      <c r="AU82" s="121"/>
      <c r="AV82" s="127"/>
    </row>
    <row r="83" spans="1:48" s="100" customFormat="1" ht="24">
      <c r="A83" s="313"/>
      <c r="B83" s="314"/>
      <c r="C83" s="314"/>
      <c r="D83" s="315"/>
      <c r="E83" s="111" t="s">
        <v>44</v>
      </c>
      <c r="F83" s="106">
        <f t="shared" si="111"/>
        <v>302600.5</v>
      </c>
      <c r="G83" s="106">
        <f t="shared" si="111"/>
        <v>0</v>
      </c>
      <c r="H83" s="106">
        <f>G83/F83*100</f>
        <v>0</v>
      </c>
      <c r="I83" s="106">
        <f t="shared" si="112"/>
        <v>13607.9</v>
      </c>
      <c r="J83" s="106">
        <f t="shared" si="112"/>
        <v>0</v>
      </c>
      <c r="K83" s="106">
        <f t="shared" si="113"/>
        <v>0</v>
      </c>
      <c r="L83" s="106">
        <f t="shared" si="114"/>
        <v>36530.100000000006</v>
      </c>
      <c r="M83" s="106">
        <f t="shared" si="114"/>
        <v>0</v>
      </c>
      <c r="N83" s="106">
        <f t="shared" si="115"/>
        <v>0</v>
      </c>
      <c r="O83" s="106">
        <f t="shared" si="116"/>
        <v>27748.7</v>
      </c>
      <c r="P83" s="106">
        <f t="shared" si="116"/>
        <v>0</v>
      </c>
      <c r="Q83" s="106">
        <f t="shared" si="117"/>
        <v>0</v>
      </c>
      <c r="R83" s="106">
        <f t="shared" si="118"/>
        <v>32852.300000000003</v>
      </c>
      <c r="S83" s="106">
        <f t="shared" si="118"/>
        <v>0</v>
      </c>
      <c r="T83" s="106">
        <f t="shared" si="119"/>
        <v>0</v>
      </c>
      <c r="U83" s="106">
        <f t="shared" ref="U83:AE83" si="122">U11+U35+U50+U64</f>
        <v>26369.299999999996</v>
      </c>
      <c r="V83" s="106">
        <f t="shared" si="122"/>
        <v>0</v>
      </c>
      <c r="W83" s="106">
        <f t="shared" si="122"/>
        <v>0</v>
      </c>
      <c r="X83" s="106">
        <f t="shared" si="122"/>
        <v>28159.299999999992</v>
      </c>
      <c r="Y83" s="106">
        <f t="shared" si="122"/>
        <v>0</v>
      </c>
      <c r="Z83" s="106" t="e">
        <f t="shared" si="122"/>
        <v>#REF!</v>
      </c>
      <c r="AA83" s="106">
        <f t="shared" si="122"/>
        <v>38312</v>
      </c>
      <c r="AB83" s="106">
        <f t="shared" si="122"/>
        <v>0</v>
      </c>
      <c r="AC83" s="106" t="e">
        <f t="shared" si="122"/>
        <v>#REF!</v>
      </c>
      <c r="AD83" s="106">
        <f t="shared" si="122"/>
        <v>24785.899999999998</v>
      </c>
      <c r="AE83" s="106">
        <f t="shared" si="122"/>
        <v>0</v>
      </c>
      <c r="AF83" s="106">
        <f t="shared" si="109"/>
        <v>0</v>
      </c>
      <c r="AG83" s="106">
        <f t="shared" ref="AG83:AR83" si="123">AG11+AG35+AG50+AG64</f>
        <v>18727.199999999993</v>
      </c>
      <c r="AH83" s="106">
        <f t="shared" si="123"/>
        <v>0</v>
      </c>
      <c r="AI83" s="106" t="e">
        <f t="shared" si="123"/>
        <v>#REF!</v>
      </c>
      <c r="AJ83" s="106">
        <f t="shared" si="123"/>
        <v>14416.000000000002</v>
      </c>
      <c r="AK83" s="106">
        <f t="shared" si="123"/>
        <v>0</v>
      </c>
      <c r="AL83" s="106" t="e">
        <f t="shared" si="123"/>
        <v>#REF!</v>
      </c>
      <c r="AM83" s="106">
        <f t="shared" si="123"/>
        <v>16251.799999999997</v>
      </c>
      <c r="AN83" s="106">
        <f t="shared" si="123"/>
        <v>0</v>
      </c>
      <c r="AO83" s="106" t="e">
        <f t="shared" si="123"/>
        <v>#REF!</v>
      </c>
      <c r="AP83" s="106">
        <f t="shared" si="123"/>
        <v>24839.999999999996</v>
      </c>
      <c r="AQ83" s="106">
        <f t="shared" si="123"/>
        <v>0</v>
      </c>
      <c r="AR83" s="106" t="e">
        <f t="shared" si="123"/>
        <v>#REF!</v>
      </c>
      <c r="AS83" s="320"/>
      <c r="AT83" s="323"/>
      <c r="AU83" s="121"/>
      <c r="AV83" s="127"/>
    </row>
    <row r="84" spans="1:48" s="100" customFormat="1" ht="24">
      <c r="A84" s="316"/>
      <c r="B84" s="317"/>
      <c r="C84" s="317"/>
      <c r="D84" s="318"/>
      <c r="E84" s="110" t="s">
        <v>257</v>
      </c>
      <c r="F84" s="106">
        <f t="shared" si="111"/>
        <v>5832.1</v>
      </c>
      <c r="G84" s="106">
        <f t="shared" si="111"/>
        <v>0</v>
      </c>
      <c r="H84" s="106">
        <f>G84/F84*100</f>
        <v>0</v>
      </c>
      <c r="I84" s="106">
        <f t="shared" si="112"/>
        <v>261.8</v>
      </c>
      <c r="J84" s="106">
        <f t="shared" si="112"/>
        <v>0</v>
      </c>
      <c r="K84" s="106">
        <f t="shared" si="113"/>
        <v>0</v>
      </c>
      <c r="L84" s="106">
        <f t="shared" si="114"/>
        <v>336.5</v>
      </c>
      <c r="M84" s="106">
        <f t="shared" si="114"/>
        <v>0</v>
      </c>
      <c r="N84" s="106">
        <f t="shared" si="115"/>
        <v>0</v>
      </c>
      <c r="O84" s="106">
        <f t="shared" si="116"/>
        <v>811.3</v>
      </c>
      <c r="P84" s="106">
        <f t="shared" si="116"/>
        <v>0</v>
      </c>
      <c r="Q84" s="106">
        <f t="shared" si="117"/>
        <v>0</v>
      </c>
      <c r="R84" s="106">
        <f t="shared" si="118"/>
        <v>740.6</v>
      </c>
      <c r="S84" s="106">
        <f t="shared" si="118"/>
        <v>0</v>
      </c>
      <c r="T84" s="106">
        <f t="shared" si="119"/>
        <v>0</v>
      </c>
      <c r="U84" s="106">
        <f t="shared" ref="U84:AE84" si="124">U12+U36+U51+U65</f>
        <v>479.7</v>
      </c>
      <c r="V84" s="106">
        <f t="shared" si="124"/>
        <v>0</v>
      </c>
      <c r="W84" s="106">
        <f t="shared" si="124"/>
        <v>0</v>
      </c>
      <c r="X84" s="106">
        <f t="shared" si="124"/>
        <v>352.8</v>
      </c>
      <c r="Y84" s="106">
        <f t="shared" si="124"/>
        <v>0</v>
      </c>
      <c r="Z84" s="106" t="e">
        <f t="shared" si="124"/>
        <v>#REF!</v>
      </c>
      <c r="AA84" s="106">
        <f t="shared" si="124"/>
        <v>825.5</v>
      </c>
      <c r="AB84" s="106">
        <f t="shared" si="124"/>
        <v>0</v>
      </c>
      <c r="AC84" s="106" t="e">
        <f t="shared" si="124"/>
        <v>#REF!</v>
      </c>
      <c r="AD84" s="106">
        <f t="shared" si="124"/>
        <v>519</v>
      </c>
      <c r="AE84" s="106">
        <f t="shared" si="124"/>
        <v>0</v>
      </c>
      <c r="AF84" s="106">
        <f t="shared" si="109"/>
        <v>0</v>
      </c>
      <c r="AG84" s="106">
        <f t="shared" ref="AG84:AR84" si="125">AG12+AG36+AG51+AG65</f>
        <v>301.60000000000002</v>
      </c>
      <c r="AH84" s="106">
        <f t="shared" si="125"/>
        <v>0</v>
      </c>
      <c r="AI84" s="106" t="e">
        <f t="shared" si="125"/>
        <v>#REF!</v>
      </c>
      <c r="AJ84" s="106">
        <f t="shared" si="125"/>
        <v>564.6</v>
      </c>
      <c r="AK84" s="106">
        <f t="shared" si="125"/>
        <v>0</v>
      </c>
      <c r="AL84" s="106" t="e">
        <f t="shared" si="125"/>
        <v>#REF!</v>
      </c>
      <c r="AM84" s="106">
        <f t="shared" si="125"/>
        <v>441.7</v>
      </c>
      <c r="AN84" s="106">
        <f t="shared" si="125"/>
        <v>0</v>
      </c>
      <c r="AO84" s="106" t="e">
        <f t="shared" si="125"/>
        <v>#REF!</v>
      </c>
      <c r="AP84" s="106">
        <f t="shared" si="125"/>
        <v>197</v>
      </c>
      <c r="AQ84" s="106">
        <f t="shared" si="125"/>
        <v>0</v>
      </c>
      <c r="AR84" s="106" t="e">
        <f t="shared" si="125"/>
        <v>#REF!</v>
      </c>
      <c r="AS84" s="321"/>
      <c r="AT84" s="324"/>
      <c r="AU84" s="121"/>
      <c r="AV84" s="127"/>
    </row>
    <row r="85" spans="1:48" s="31" customFormat="1" ht="12.75">
      <c r="A85" s="32"/>
      <c r="B85" s="151"/>
      <c r="C85" s="151"/>
      <c r="D85" s="151"/>
      <c r="E85" s="29"/>
      <c r="F85" s="101"/>
      <c r="G85" s="101"/>
      <c r="H85" s="41"/>
      <c r="I85" s="151"/>
      <c r="J85" s="151"/>
      <c r="K85" s="151"/>
      <c r="L85" s="151"/>
      <c r="M85" s="151"/>
      <c r="N85" s="151"/>
      <c r="O85" s="151"/>
      <c r="P85" s="151"/>
      <c r="Q85" s="151"/>
      <c r="R85" s="151"/>
      <c r="S85" s="151"/>
      <c r="T85" s="151"/>
      <c r="U85" s="99"/>
      <c r="V85" s="99"/>
      <c r="W85" s="99"/>
      <c r="X85" s="99"/>
      <c r="Y85" s="99"/>
      <c r="Z85" s="99"/>
      <c r="AA85" s="99"/>
      <c r="AB85" s="99"/>
      <c r="AC85" s="99"/>
      <c r="AD85" s="99"/>
      <c r="AE85" s="99"/>
      <c r="AF85" s="99"/>
      <c r="AG85" s="99"/>
      <c r="AH85" s="99"/>
      <c r="AI85" s="99"/>
      <c r="AJ85" s="151"/>
      <c r="AK85" s="151"/>
      <c r="AL85" s="151"/>
      <c r="AM85" s="99"/>
      <c r="AN85" s="99"/>
      <c r="AO85" s="99"/>
      <c r="AS85" s="131"/>
    </row>
    <row r="86" spans="1:48" s="31" customFormat="1">
      <c r="A86" s="32"/>
      <c r="B86" s="325"/>
      <c r="C86" s="325"/>
      <c r="D86" s="325"/>
      <c r="E86" s="326"/>
      <c r="F86" s="327"/>
      <c r="G86" s="142"/>
      <c r="H86" s="41"/>
      <c r="I86" s="151"/>
      <c r="J86" s="151"/>
      <c r="K86" s="151"/>
      <c r="L86" s="151"/>
      <c r="M86" s="151"/>
      <c r="N86" s="151"/>
      <c r="O86" s="151"/>
      <c r="P86" s="151"/>
      <c r="Q86" s="151"/>
      <c r="R86" s="151"/>
      <c r="S86" s="151"/>
      <c r="T86" s="151"/>
      <c r="U86" s="99"/>
      <c r="V86" s="99"/>
      <c r="W86" s="99"/>
      <c r="X86" s="99"/>
      <c r="Y86" s="99"/>
      <c r="Z86" s="99"/>
      <c r="AA86" s="99"/>
      <c r="AB86" s="99"/>
      <c r="AC86" s="99"/>
      <c r="AD86" s="99"/>
      <c r="AE86" s="99"/>
      <c r="AF86" s="99"/>
      <c r="AG86" s="99"/>
      <c r="AH86" s="99"/>
      <c r="AI86" s="99"/>
      <c r="AJ86" s="151"/>
      <c r="AK86" s="151"/>
      <c r="AL86" s="151"/>
      <c r="AM86" s="99"/>
      <c r="AN86" s="99"/>
      <c r="AO86" s="99"/>
      <c r="AS86" s="131"/>
    </row>
    <row r="87" spans="1:48" s="31" customFormat="1" ht="12.75">
      <c r="A87" s="32"/>
      <c r="E87" s="119"/>
      <c r="F87" s="120"/>
      <c r="G87" s="120"/>
      <c r="H87" s="121"/>
      <c r="P87" s="151"/>
      <c r="Q87" s="151"/>
      <c r="R87" s="151"/>
      <c r="S87" s="151"/>
      <c r="T87" s="151"/>
      <c r="U87" s="99"/>
      <c r="V87" s="99"/>
      <c r="W87" s="99"/>
      <c r="X87" s="99"/>
      <c r="Y87" s="99"/>
      <c r="Z87" s="99"/>
      <c r="AA87" s="99"/>
      <c r="AB87" s="99"/>
      <c r="AC87" s="99"/>
      <c r="AD87" s="99"/>
      <c r="AE87" s="99"/>
      <c r="AF87" s="99"/>
      <c r="AG87" s="99"/>
      <c r="AH87" s="99"/>
      <c r="AI87" s="99"/>
      <c r="AJ87" s="151"/>
      <c r="AK87" s="151"/>
      <c r="AL87" s="151"/>
      <c r="AM87" s="99"/>
      <c r="AN87" s="99"/>
      <c r="AO87" s="99"/>
      <c r="AS87" s="131"/>
    </row>
    <row r="88" spans="1:48" s="31" customFormat="1" ht="12.75">
      <c r="A88" s="309" t="s">
        <v>282</v>
      </c>
      <c r="B88" s="309"/>
      <c r="C88" s="309"/>
      <c r="D88" s="151"/>
      <c r="E88" s="29"/>
      <c r="F88" s="101"/>
      <c r="G88" s="101"/>
      <c r="H88" s="41"/>
      <c r="I88" s="151"/>
      <c r="J88" s="146" t="s">
        <v>284</v>
      </c>
      <c r="K88" s="151"/>
      <c r="L88" s="151"/>
      <c r="M88" s="151"/>
      <c r="N88" s="151"/>
      <c r="O88" s="151"/>
      <c r="P88" s="151"/>
      <c r="Q88" s="151"/>
      <c r="R88" s="151"/>
      <c r="S88" s="151"/>
      <c r="T88" s="151"/>
      <c r="U88" s="99"/>
      <c r="V88" s="99"/>
      <c r="W88" s="99"/>
      <c r="X88" s="99"/>
      <c r="Y88" s="99"/>
      <c r="Z88" s="99"/>
      <c r="AA88" s="99"/>
      <c r="AB88" s="99"/>
      <c r="AC88" s="99"/>
      <c r="AD88" s="99"/>
      <c r="AE88" s="99"/>
      <c r="AF88" s="99"/>
      <c r="AG88" s="99"/>
      <c r="AH88" s="99"/>
      <c r="AI88" s="99"/>
      <c r="AJ88" s="151"/>
      <c r="AK88" s="151"/>
      <c r="AL88" s="151"/>
      <c r="AM88" s="99"/>
      <c r="AN88" s="99"/>
      <c r="AO88" s="99"/>
      <c r="AS88" s="131"/>
    </row>
    <row r="89" spans="1:48" s="31" customFormat="1" ht="12.75">
      <c r="A89" s="309" t="s">
        <v>283</v>
      </c>
      <c r="B89" s="309"/>
      <c r="C89" s="309"/>
      <c r="D89" s="309"/>
      <c r="E89" s="309"/>
      <c r="F89" s="309"/>
      <c r="G89" s="101"/>
      <c r="H89" s="41"/>
      <c r="I89" s="151"/>
      <c r="J89" s="146" t="s">
        <v>285</v>
      </c>
      <c r="K89" s="151"/>
      <c r="L89" s="151"/>
      <c r="M89" s="151"/>
      <c r="N89" s="151"/>
      <c r="O89" s="151"/>
      <c r="P89" s="151"/>
      <c r="Q89" s="151"/>
      <c r="R89" s="151"/>
      <c r="S89" s="151"/>
      <c r="T89" s="151"/>
      <c r="U89" s="99"/>
      <c r="V89" s="99"/>
      <c r="W89" s="99"/>
      <c r="X89" s="99"/>
      <c r="Y89" s="99"/>
      <c r="Z89" s="99"/>
      <c r="AA89" s="99"/>
      <c r="AB89" s="99"/>
      <c r="AC89" s="99"/>
      <c r="AD89" s="99"/>
      <c r="AE89" s="99"/>
      <c r="AF89" s="99"/>
      <c r="AG89" s="99"/>
      <c r="AH89" s="99"/>
      <c r="AI89" s="99"/>
      <c r="AJ89" s="151"/>
      <c r="AK89" s="151"/>
      <c r="AL89" s="151"/>
      <c r="AM89" s="99"/>
      <c r="AN89" s="99"/>
      <c r="AO89" s="99"/>
      <c r="AS89" s="131"/>
    </row>
    <row r="90" spans="1:48" s="31" customFormat="1" ht="12.75">
      <c r="A90" s="309"/>
      <c r="B90" s="309"/>
      <c r="C90" s="309"/>
      <c r="D90" s="309"/>
      <c r="E90" s="151"/>
      <c r="F90" s="101"/>
      <c r="G90" s="101"/>
      <c r="H90" s="41"/>
      <c r="I90" s="151"/>
      <c r="J90" s="146" t="s">
        <v>286</v>
      </c>
      <c r="K90" s="151"/>
      <c r="L90" s="115"/>
      <c r="M90" s="151"/>
      <c r="N90" s="151"/>
      <c r="O90" s="151"/>
      <c r="P90" s="151"/>
      <c r="Q90" s="151"/>
      <c r="R90" s="151"/>
      <c r="S90" s="151"/>
      <c r="T90" s="151"/>
      <c r="U90" s="99"/>
      <c r="V90" s="99"/>
      <c r="W90" s="99"/>
      <c r="X90" s="99"/>
      <c r="Y90" s="99"/>
      <c r="Z90" s="99"/>
      <c r="AA90" s="99"/>
      <c r="AB90" s="99"/>
      <c r="AC90" s="99"/>
      <c r="AD90" s="99"/>
      <c r="AE90" s="99"/>
      <c r="AF90" s="99"/>
      <c r="AG90" s="99"/>
      <c r="AH90" s="99"/>
      <c r="AI90" s="99"/>
      <c r="AJ90" s="151"/>
      <c r="AK90" s="151"/>
      <c r="AL90" s="151"/>
      <c r="AM90" s="99"/>
      <c r="AN90" s="99"/>
      <c r="AO90" s="99"/>
      <c r="AS90" s="131"/>
    </row>
    <row r="91" spans="1:48" s="31" customFormat="1" ht="12.75">
      <c r="A91" s="147" t="s">
        <v>288</v>
      </c>
      <c r="B91" s="147"/>
      <c r="C91" s="147"/>
      <c r="D91" s="148"/>
      <c r="E91" s="112" t="s">
        <v>260</v>
      </c>
      <c r="F91" s="113"/>
      <c r="G91" s="113"/>
      <c r="H91" s="114"/>
      <c r="I91" s="115"/>
      <c r="J91" s="146"/>
      <c r="K91" s="115"/>
      <c r="M91" s="115" t="s">
        <v>292</v>
      </c>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6"/>
      <c r="AQ91" s="116"/>
      <c r="AR91" s="116"/>
      <c r="AS91" s="131"/>
    </row>
    <row r="92" spans="1:48">
      <c r="A92" s="309"/>
      <c r="B92" s="309"/>
      <c r="C92" s="309"/>
      <c r="D92" s="309"/>
      <c r="E92" s="131"/>
      <c r="F92" s="131"/>
      <c r="J92" s="146" t="s">
        <v>287</v>
      </c>
      <c r="AS92" s="131"/>
    </row>
    <row r="93" spans="1:48">
      <c r="A93" s="147" t="s">
        <v>289</v>
      </c>
      <c r="B93" s="147"/>
      <c r="C93" s="147"/>
      <c r="D93" s="148"/>
      <c r="E93" s="131" t="s">
        <v>293</v>
      </c>
      <c r="F93" s="131"/>
      <c r="AS93" s="131"/>
    </row>
    <row r="94" spans="1:48">
      <c r="AS94" s="131"/>
    </row>
    <row r="95" spans="1:48">
      <c r="AS95" s="131"/>
    </row>
    <row r="96" spans="1:48">
      <c r="A96" s="309" t="s">
        <v>290</v>
      </c>
      <c r="B96" s="309"/>
      <c r="C96" s="309"/>
      <c r="D96" s="309"/>
      <c r="AS96" s="131"/>
    </row>
    <row r="97" spans="1:45">
      <c r="A97" s="309" t="s">
        <v>291</v>
      </c>
      <c r="B97" s="309"/>
      <c r="C97" s="309"/>
      <c r="AS97" s="131"/>
    </row>
    <row r="98" spans="1:45">
      <c r="AS98" s="131"/>
    </row>
    <row r="99" spans="1:45">
      <c r="AS99" s="131"/>
    </row>
    <row r="100" spans="1:45">
      <c r="AS100" s="131"/>
    </row>
    <row r="101" spans="1:45">
      <c r="AS101" s="131"/>
    </row>
    <row r="102" spans="1:45">
      <c r="AS102" s="131"/>
    </row>
    <row r="103" spans="1:45">
      <c r="AS103" s="131"/>
    </row>
    <row r="104" spans="1:45">
      <c r="AS104" s="131"/>
    </row>
    <row r="105" spans="1:45">
      <c r="AS105" s="131"/>
    </row>
    <row r="106" spans="1:45">
      <c r="AS106" s="131"/>
    </row>
    <row r="107" spans="1:45">
      <c r="AS107" s="131"/>
    </row>
    <row r="108" spans="1:45">
      <c r="AS108" s="131"/>
    </row>
    <row r="109" spans="1:45">
      <c r="AS109" s="131"/>
    </row>
    <row r="110" spans="1:45">
      <c r="AS110" s="131"/>
    </row>
    <row r="111" spans="1:45">
      <c r="AS111" s="131"/>
    </row>
    <row r="112" spans="1:45">
      <c r="AS112" s="131"/>
    </row>
    <row r="113" spans="45:45">
      <c r="AS113" s="131"/>
    </row>
    <row r="114" spans="45:45">
      <c r="AS114" s="131"/>
    </row>
    <row r="115" spans="45:45">
      <c r="AS115" s="131"/>
    </row>
    <row r="116" spans="45:45">
      <c r="AS116" s="131"/>
    </row>
    <row r="117" spans="45:45">
      <c r="AS117" s="131"/>
    </row>
    <row r="118" spans="45:45">
      <c r="AS118" s="131"/>
    </row>
    <row r="119" spans="45:45">
      <c r="AS119" s="131"/>
    </row>
    <row r="120" spans="45:45">
      <c r="AS120" s="131"/>
    </row>
    <row r="121" spans="45:45">
      <c r="AS121" s="131"/>
    </row>
    <row r="122" spans="45:45">
      <c r="AS122" s="131"/>
    </row>
    <row r="123" spans="45:45">
      <c r="AS123" s="131"/>
    </row>
    <row r="124" spans="45:45">
      <c r="AS124" s="131"/>
    </row>
    <row r="125" spans="45:45">
      <c r="AS125" s="131"/>
    </row>
    <row r="126" spans="45:45">
      <c r="AS126" s="131"/>
    </row>
    <row r="127" spans="45:45">
      <c r="AS127" s="131"/>
    </row>
    <row r="128" spans="45:45">
      <c r="AS128" s="131"/>
    </row>
    <row r="129" spans="45:45">
      <c r="AS129" s="131"/>
    </row>
    <row r="130" spans="45:45">
      <c r="AS130" s="131"/>
    </row>
    <row r="131" spans="45:45">
      <c r="AS131" s="131"/>
    </row>
    <row r="132" spans="45:45">
      <c r="AS132" s="131"/>
    </row>
    <row r="133" spans="45:45">
      <c r="AS133" s="131"/>
    </row>
    <row r="134" spans="45:45">
      <c r="AS134" s="131"/>
    </row>
    <row r="135" spans="45:45">
      <c r="AS135" s="131"/>
    </row>
    <row r="136" spans="45:45">
      <c r="AS136" s="131"/>
    </row>
    <row r="137" spans="45:45">
      <c r="AS137" s="131"/>
    </row>
    <row r="138" spans="45:45">
      <c r="AS138" s="131"/>
    </row>
    <row r="139" spans="45:45">
      <c r="AS139" s="131"/>
    </row>
    <row r="140" spans="45:45">
      <c r="AS140" s="131"/>
    </row>
    <row r="141" spans="45:45">
      <c r="AS141" s="131"/>
    </row>
    <row r="142" spans="45:45">
      <c r="AS142" s="131"/>
    </row>
    <row r="143" spans="45:45">
      <c r="AS143" s="131"/>
    </row>
    <row r="144" spans="45:45">
      <c r="AS144" s="131"/>
    </row>
    <row r="145" spans="45:45">
      <c r="AS145" s="131"/>
    </row>
    <row r="146" spans="45:45">
      <c r="AS146" s="131"/>
    </row>
    <row r="147" spans="45:45">
      <c r="AS147" s="131"/>
    </row>
    <row r="148" spans="45:45">
      <c r="AS148" s="131"/>
    </row>
    <row r="149" spans="45:45">
      <c r="AS149" s="131"/>
    </row>
    <row r="150" spans="45:45">
      <c r="AS150" s="131"/>
    </row>
    <row r="151" spans="45:45">
      <c r="AS151" s="131"/>
    </row>
    <row r="152" spans="45:45">
      <c r="AS152" s="131"/>
    </row>
    <row r="153" spans="45:45">
      <c r="AS153" s="131"/>
    </row>
    <row r="154" spans="45:45">
      <c r="AS154" s="131"/>
    </row>
    <row r="155" spans="45:45">
      <c r="AS155" s="131"/>
    </row>
    <row r="156" spans="45:45">
      <c r="AS156" s="131"/>
    </row>
    <row r="157" spans="45:45">
      <c r="AS157" s="131"/>
    </row>
    <row r="158" spans="45:45">
      <c r="AS158" s="131"/>
    </row>
    <row r="159" spans="45:45">
      <c r="AS159" s="131"/>
    </row>
    <row r="160" spans="45:45">
      <c r="AS160" s="131"/>
    </row>
    <row r="161" spans="45:45">
      <c r="AS161" s="131"/>
    </row>
    <row r="162" spans="45:45">
      <c r="AS162" s="131"/>
    </row>
    <row r="163" spans="45:45">
      <c r="AS163" s="131"/>
    </row>
    <row r="164" spans="45:45">
      <c r="AS164" s="131"/>
    </row>
    <row r="165" spans="45:45">
      <c r="AS165" s="131"/>
    </row>
    <row r="166" spans="45:45">
      <c r="AS166" s="131"/>
    </row>
    <row r="167" spans="45:45">
      <c r="AS167" s="131"/>
    </row>
    <row r="168" spans="45:45">
      <c r="AS168" s="131"/>
    </row>
    <row r="169" spans="45:45">
      <c r="AS169" s="131"/>
    </row>
    <row r="170" spans="45:45">
      <c r="AS170" s="131"/>
    </row>
    <row r="171" spans="45:45">
      <c r="AS171" s="131"/>
    </row>
    <row r="172" spans="45:45">
      <c r="AS172" s="131"/>
    </row>
    <row r="173" spans="45:45">
      <c r="AS173" s="131"/>
    </row>
    <row r="174" spans="45:45">
      <c r="AS174" s="131"/>
    </row>
    <row r="175" spans="45:45">
      <c r="AS175" s="131"/>
    </row>
    <row r="176" spans="45:45">
      <c r="AS176" s="131"/>
    </row>
    <row r="177" spans="45:45">
      <c r="AS177" s="131"/>
    </row>
    <row r="178" spans="45:45">
      <c r="AS178" s="131"/>
    </row>
    <row r="179" spans="45:45">
      <c r="AS179" s="131"/>
    </row>
    <row r="180" spans="45:45">
      <c r="AS180" s="131"/>
    </row>
  </sheetData>
  <mergeCells count="111">
    <mergeCell ref="A2:AR2"/>
    <mergeCell ref="A3:AR3"/>
    <mergeCell ref="A5:A6"/>
    <mergeCell ref="B5:B6"/>
    <mergeCell ref="C5:C6"/>
    <mergeCell ref="D5:D6"/>
    <mergeCell ref="E5:E6"/>
    <mergeCell ref="F5:H5"/>
    <mergeCell ref="I5:K5"/>
    <mergeCell ref="L5:N5"/>
    <mergeCell ref="AG5:AI5"/>
    <mergeCell ref="AJ5:AL5"/>
    <mergeCell ref="AM5:AO5"/>
    <mergeCell ref="AP5:AR5"/>
    <mergeCell ref="AS5:AS6"/>
    <mergeCell ref="AT5:AT6"/>
    <mergeCell ref="O5:Q5"/>
    <mergeCell ref="R5:T5"/>
    <mergeCell ref="U5:W5"/>
    <mergeCell ref="X5:Z5"/>
    <mergeCell ref="AA5:AC5"/>
    <mergeCell ref="AD5:AF5"/>
    <mergeCell ref="A7:AT7"/>
    <mergeCell ref="A8:AT8"/>
    <mergeCell ref="A9:D12"/>
    <mergeCell ref="AS9:AS12"/>
    <mergeCell ref="AT9:AT12"/>
    <mergeCell ref="A13:A16"/>
    <mergeCell ref="B13:B16"/>
    <mergeCell ref="C13:C16"/>
    <mergeCell ref="D13:D16"/>
    <mergeCell ref="AS13:AS16"/>
    <mergeCell ref="A22:A24"/>
    <mergeCell ref="B22:B24"/>
    <mergeCell ref="C22:C24"/>
    <mergeCell ref="D22:D24"/>
    <mergeCell ref="AS22:AS24"/>
    <mergeCell ref="AT22:AT24"/>
    <mergeCell ref="AT13:AT16"/>
    <mergeCell ref="A17:A20"/>
    <mergeCell ref="B17:B20"/>
    <mergeCell ref="C17:C20"/>
    <mergeCell ref="D17:D20"/>
    <mergeCell ref="AS17:AS20"/>
    <mergeCell ref="AT17:AT20"/>
    <mergeCell ref="A29:A31"/>
    <mergeCell ref="B29:B31"/>
    <mergeCell ref="C29:C31"/>
    <mergeCell ref="D29:D31"/>
    <mergeCell ref="AS29:AS31"/>
    <mergeCell ref="AT29:AT31"/>
    <mergeCell ref="A25:A28"/>
    <mergeCell ref="B25:B28"/>
    <mergeCell ref="C25:C28"/>
    <mergeCell ref="D25:D28"/>
    <mergeCell ref="AS25:AS28"/>
    <mergeCell ref="AT25:AT28"/>
    <mergeCell ref="A32:AT32"/>
    <mergeCell ref="A33:D36"/>
    <mergeCell ref="AS33:AS36"/>
    <mergeCell ref="AT33:AT36"/>
    <mergeCell ref="A42:A45"/>
    <mergeCell ref="B42:B45"/>
    <mergeCell ref="C42:C45"/>
    <mergeCell ref="D42:D45"/>
    <mergeCell ref="AS42:AS45"/>
    <mergeCell ref="AT42:AT45"/>
    <mergeCell ref="A46:AT46"/>
    <mergeCell ref="A47:AT47"/>
    <mergeCell ref="A48:D51"/>
    <mergeCell ref="AS48:AS51"/>
    <mergeCell ref="AT48:AT51"/>
    <mergeCell ref="A56:A59"/>
    <mergeCell ref="B56:B59"/>
    <mergeCell ref="C56:C59"/>
    <mergeCell ref="D56:D59"/>
    <mergeCell ref="AS56:AS59"/>
    <mergeCell ref="A69:A72"/>
    <mergeCell ref="B69:B72"/>
    <mergeCell ref="C69:C72"/>
    <mergeCell ref="D69:D72"/>
    <mergeCell ref="AS69:AS72"/>
    <mergeCell ref="AT69:AT72"/>
    <mergeCell ref="AT56:AT59"/>
    <mergeCell ref="A60:AT60"/>
    <mergeCell ref="A61:AT61"/>
    <mergeCell ref="A62:D65"/>
    <mergeCell ref="AS62:AS65"/>
    <mergeCell ref="AT62:AT65"/>
    <mergeCell ref="A77:A80"/>
    <mergeCell ref="B77:B80"/>
    <mergeCell ref="C77:C80"/>
    <mergeCell ref="D77:D80"/>
    <mergeCell ref="AS77:AS80"/>
    <mergeCell ref="AT77:AT80"/>
    <mergeCell ref="A73:A76"/>
    <mergeCell ref="B73:B76"/>
    <mergeCell ref="C73:C76"/>
    <mergeCell ref="D73:D76"/>
    <mergeCell ref="AS73:AS76"/>
    <mergeCell ref="AT73:AT76"/>
    <mergeCell ref="A90:D90"/>
    <mergeCell ref="A92:D92"/>
    <mergeCell ref="A96:D96"/>
    <mergeCell ref="A97:C97"/>
    <mergeCell ref="A81:D84"/>
    <mergeCell ref="AS81:AS84"/>
    <mergeCell ref="AT81:AT84"/>
    <mergeCell ref="B86:F86"/>
    <mergeCell ref="A88:C88"/>
    <mergeCell ref="A89:F89"/>
  </mergeCells>
  <conditionalFormatting sqref="H91 H69:H80 H56:H59 H48:H51 H42:H45 H30:H31 H27:H28 H24 H14 H19">
    <cfRule type="cellIs" dxfId="3" priority="2" stopIfTrue="1" operator="notEqual">
      <formula>#REF!</formula>
    </cfRule>
  </conditionalFormatting>
  <pageMargins left="0.70866141732283472" right="0.11811023622047245" top="0.31496062992125984" bottom="0.23622047244094491" header="0.31496062992125984" footer="0.31496062992125984"/>
  <pageSetup paperSize="9" scale="58" fitToHeight="5" orientation="landscape" r:id="rId1"/>
  <drawing r:id="rId2"/>
</worksheet>
</file>

<file path=xl/worksheets/sheet5.xml><?xml version="1.0" encoding="utf-8"?>
<worksheet xmlns="http://schemas.openxmlformats.org/spreadsheetml/2006/main" xmlns:r="http://schemas.openxmlformats.org/officeDocument/2006/relationships">
  <dimension ref="A1:AW180"/>
  <sheetViews>
    <sheetView workbookViewId="0">
      <pane xSplit="4" ySplit="8" topLeftCell="U9" activePane="bottomRight" state="frozen"/>
      <selection pane="topRight" activeCell="E1" sqref="E1"/>
      <selection pane="bottomLeft" activeCell="A9" sqref="A9"/>
      <selection pane="bottomRight" activeCell="R80" sqref="R80"/>
    </sheetView>
  </sheetViews>
  <sheetFormatPr defaultRowHeight="15"/>
  <cols>
    <col min="2" max="4" width="23.7109375" customWidth="1"/>
    <col min="5" max="5" width="13.28515625" customWidth="1"/>
    <col min="6" max="6" width="10.85546875" customWidth="1"/>
    <col min="7" max="7" width="10.7109375" customWidth="1"/>
    <col min="10" max="11" width="9.140625" customWidth="1"/>
    <col min="12" max="12" width="8.85546875" customWidth="1"/>
    <col min="13" max="13" width="9.140625" style="122" hidden="1" customWidth="1"/>
    <col min="14" max="14" width="9.140625" hidden="1" customWidth="1"/>
    <col min="16" max="16" width="9.140625" hidden="1" customWidth="1"/>
    <col min="17" max="17" width="10.7109375" hidden="1" customWidth="1"/>
    <col min="19" max="20" width="9.140625" hidden="1" customWidth="1"/>
    <col min="22" max="23" width="9.140625" hidden="1" customWidth="1"/>
    <col min="25" max="26" width="9.140625" hidden="1" customWidth="1"/>
    <col min="27" max="27" width="9.28515625" style="122" customWidth="1"/>
    <col min="28" max="29" width="9.140625" hidden="1" customWidth="1"/>
    <col min="30" max="30" width="9.140625" style="122"/>
    <col min="31" max="32" width="9.140625" style="122" hidden="1" customWidth="1"/>
    <col min="33" max="33" width="9.140625" style="122"/>
    <col min="34" max="35" width="9.140625" hidden="1" customWidth="1"/>
    <col min="37" max="38" width="9.140625" hidden="1" customWidth="1"/>
    <col min="39" max="39" width="9.140625" style="122"/>
    <col min="40" max="41" width="9.140625" hidden="1" customWidth="1"/>
    <col min="42" max="42" width="9.140625" style="125"/>
    <col min="43" max="43" width="10.42578125" hidden="1" customWidth="1"/>
    <col min="44" max="44" width="9.140625" hidden="1" customWidth="1"/>
    <col min="45" max="45" width="48.7109375" style="130" customWidth="1"/>
    <col min="46" max="46" width="44.7109375" customWidth="1"/>
    <col min="47" max="50" width="9.140625" customWidth="1"/>
  </cols>
  <sheetData>
    <row r="1" spans="1:49" s="31" customFormat="1" ht="12.75">
      <c r="A1" s="151"/>
      <c r="B1" s="151"/>
      <c r="C1" s="151"/>
      <c r="D1" s="151"/>
      <c r="E1" s="29"/>
      <c r="F1" s="29"/>
      <c r="G1" s="29"/>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Q1" s="151"/>
      <c r="AR1" s="151"/>
      <c r="AS1" s="151"/>
    </row>
    <row r="2" spans="1:49" s="118" customFormat="1" ht="15.75">
      <c r="A2" s="403" t="s">
        <v>403</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173"/>
    </row>
    <row r="3" spans="1:49" s="118" customFormat="1" ht="15.75">
      <c r="A3" s="404"/>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174"/>
    </row>
    <row r="4" spans="1:49" s="31" customFormat="1" ht="12.75">
      <c r="A4" s="30"/>
      <c r="B4" s="151"/>
      <c r="C4" s="151"/>
      <c r="D4" s="151"/>
      <c r="E4" s="29"/>
      <c r="F4" s="29"/>
      <c r="G4" s="29"/>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02"/>
      <c r="AQ4" s="102"/>
      <c r="AR4" s="102"/>
      <c r="AS4" s="102"/>
    </row>
    <row r="5" spans="1:49" s="31" customFormat="1" ht="25.5" customHeight="1">
      <c r="A5" s="402" t="s">
        <v>0</v>
      </c>
      <c r="B5" s="402" t="s">
        <v>261</v>
      </c>
      <c r="C5" s="405" t="s">
        <v>47</v>
      </c>
      <c r="D5" s="405" t="s">
        <v>262</v>
      </c>
      <c r="E5" s="402" t="s">
        <v>1</v>
      </c>
      <c r="F5" s="402" t="s">
        <v>263</v>
      </c>
      <c r="G5" s="402"/>
      <c r="H5" s="402"/>
      <c r="I5" s="402" t="s">
        <v>18</v>
      </c>
      <c r="J5" s="402"/>
      <c r="K5" s="402"/>
      <c r="L5" s="402" t="s">
        <v>19</v>
      </c>
      <c r="M5" s="402"/>
      <c r="N5" s="402"/>
      <c r="O5" s="402" t="s">
        <v>23</v>
      </c>
      <c r="P5" s="402"/>
      <c r="Q5" s="402"/>
      <c r="R5" s="402" t="s">
        <v>25</v>
      </c>
      <c r="S5" s="402"/>
      <c r="T5" s="402"/>
      <c r="U5" s="402" t="s">
        <v>26</v>
      </c>
      <c r="V5" s="402"/>
      <c r="W5" s="402"/>
      <c r="X5" s="402" t="s">
        <v>27</v>
      </c>
      <c r="Y5" s="402"/>
      <c r="Z5" s="402"/>
      <c r="AA5" s="402" t="s">
        <v>29</v>
      </c>
      <c r="AB5" s="402"/>
      <c r="AC5" s="402"/>
      <c r="AD5" s="402" t="s">
        <v>30</v>
      </c>
      <c r="AE5" s="402"/>
      <c r="AF5" s="402"/>
      <c r="AG5" s="402" t="s">
        <v>31</v>
      </c>
      <c r="AH5" s="402"/>
      <c r="AI5" s="402"/>
      <c r="AJ5" s="402" t="s">
        <v>33</v>
      </c>
      <c r="AK5" s="402"/>
      <c r="AL5" s="402"/>
      <c r="AM5" s="402" t="s">
        <v>34</v>
      </c>
      <c r="AN5" s="402"/>
      <c r="AO5" s="402"/>
      <c r="AP5" s="402" t="s">
        <v>35</v>
      </c>
      <c r="AQ5" s="402"/>
      <c r="AR5" s="402"/>
      <c r="AS5" s="400" t="s">
        <v>273</v>
      </c>
      <c r="AT5" s="401" t="s">
        <v>274</v>
      </c>
      <c r="AU5" s="32"/>
      <c r="AV5" s="32"/>
    </row>
    <row r="6" spans="1:49" s="31" customFormat="1" ht="25.5">
      <c r="A6" s="402"/>
      <c r="B6" s="402"/>
      <c r="C6" s="406"/>
      <c r="D6" s="406"/>
      <c r="E6" s="402"/>
      <c r="F6" s="175" t="s">
        <v>264</v>
      </c>
      <c r="G6" s="175" t="s">
        <v>265</v>
      </c>
      <c r="H6" s="128" t="s">
        <v>266</v>
      </c>
      <c r="I6" s="175" t="s">
        <v>264</v>
      </c>
      <c r="J6" s="175" t="s">
        <v>265</v>
      </c>
      <c r="K6" s="128" t="s">
        <v>266</v>
      </c>
      <c r="L6" s="175" t="s">
        <v>264</v>
      </c>
      <c r="M6" s="175" t="s">
        <v>265</v>
      </c>
      <c r="N6" s="128" t="s">
        <v>266</v>
      </c>
      <c r="O6" s="175" t="s">
        <v>264</v>
      </c>
      <c r="P6" s="175" t="s">
        <v>265</v>
      </c>
      <c r="Q6" s="128" t="s">
        <v>266</v>
      </c>
      <c r="R6" s="175" t="s">
        <v>264</v>
      </c>
      <c r="S6" s="175" t="s">
        <v>265</v>
      </c>
      <c r="T6" s="128" t="s">
        <v>266</v>
      </c>
      <c r="U6" s="175" t="s">
        <v>264</v>
      </c>
      <c r="V6" s="175" t="s">
        <v>265</v>
      </c>
      <c r="W6" s="128" t="s">
        <v>266</v>
      </c>
      <c r="X6" s="175" t="s">
        <v>264</v>
      </c>
      <c r="Y6" s="175" t="s">
        <v>265</v>
      </c>
      <c r="Z6" s="128" t="s">
        <v>266</v>
      </c>
      <c r="AA6" s="175" t="s">
        <v>264</v>
      </c>
      <c r="AB6" s="175" t="s">
        <v>265</v>
      </c>
      <c r="AC6" s="128" t="s">
        <v>266</v>
      </c>
      <c r="AD6" s="175" t="s">
        <v>264</v>
      </c>
      <c r="AE6" s="175" t="s">
        <v>265</v>
      </c>
      <c r="AF6" s="128" t="s">
        <v>266</v>
      </c>
      <c r="AG6" s="175" t="s">
        <v>264</v>
      </c>
      <c r="AH6" s="175" t="s">
        <v>265</v>
      </c>
      <c r="AI6" s="128" t="s">
        <v>266</v>
      </c>
      <c r="AJ6" s="175" t="s">
        <v>264</v>
      </c>
      <c r="AK6" s="175" t="s">
        <v>265</v>
      </c>
      <c r="AL6" s="128" t="s">
        <v>266</v>
      </c>
      <c r="AM6" s="175" t="s">
        <v>264</v>
      </c>
      <c r="AN6" s="175" t="s">
        <v>265</v>
      </c>
      <c r="AO6" s="128" t="s">
        <v>266</v>
      </c>
      <c r="AP6" s="175" t="s">
        <v>264</v>
      </c>
      <c r="AQ6" s="175" t="s">
        <v>265</v>
      </c>
      <c r="AR6" s="128" t="s">
        <v>266</v>
      </c>
      <c r="AS6" s="400"/>
      <c r="AT6" s="401"/>
    </row>
    <row r="7" spans="1:49" s="31" customFormat="1" ht="15.75">
      <c r="A7" s="352" t="s">
        <v>322</v>
      </c>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4"/>
    </row>
    <row r="8" spans="1:49" s="31" customFormat="1" ht="15.75">
      <c r="A8" s="352" t="s">
        <v>294</v>
      </c>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353"/>
      <c r="AQ8" s="353"/>
      <c r="AR8" s="353"/>
      <c r="AS8" s="353"/>
      <c r="AT8" s="354"/>
    </row>
    <row r="9" spans="1:49" s="100" customFormat="1" ht="12.75">
      <c r="A9" s="388" t="s">
        <v>267</v>
      </c>
      <c r="B9" s="389"/>
      <c r="C9" s="389"/>
      <c r="D9" s="390"/>
      <c r="E9" s="129" t="s">
        <v>42</v>
      </c>
      <c r="F9" s="106">
        <f>F10+F11+F12</f>
        <v>387855.89999999991</v>
      </c>
      <c r="G9" s="106">
        <f t="shared" ref="G9:AP9" si="0">G10+G11+G12</f>
        <v>24711</v>
      </c>
      <c r="H9" s="106">
        <f>G9/F9*100</f>
        <v>6.3711806369324293</v>
      </c>
      <c r="I9" s="106">
        <f t="shared" si="0"/>
        <v>14386.5</v>
      </c>
      <c r="J9" s="106">
        <f t="shared" si="0"/>
        <v>24711</v>
      </c>
      <c r="K9" s="106">
        <f>J9/I9*100</f>
        <v>171.76519653842143</v>
      </c>
      <c r="L9" s="106">
        <f t="shared" si="0"/>
        <v>40977.500000000007</v>
      </c>
      <c r="M9" s="106">
        <f t="shared" si="0"/>
        <v>0</v>
      </c>
      <c r="N9" s="106">
        <f>M9/L9*100</f>
        <v>0</v>
      </c>
      <c r="O9" s="106">
        <f t="shared" si="0"/>
        <v>33490.6</v>
      </c>
      <c r="P9" s="106">
        <f t="shared" si="0"/>
        <v>0</v>
      </c>
      <c r="Q9" s="106">
        <f>P9/O9*100</f>
        <v>0</v>
      </c>
      <c r="R9" s="106">
        <f t="shared" si="0"/>
        <v>40349.699999999997</v>
      </c>
      <c r="S9" s="106">
        <f t="shared" si="0"/>
        <v>0</v>
      </c>
      <c r="T9" s="106">
        <f>S9/R9*100</f>
        <v>0</v>
      </c>
      <c r="U9" s="106">
        <f t="shared" si="0"/>
        <v>31635.799999999996</v>
      </c>
      <c r="V9" s="106">
        <f t="shared" si="0"/>
        <v>0</v>
      </c>
      <c r="W9" s="106">
        <f>V9/U9*100</f>
        <v>0</v>
      </c>
      <c r="X9" s="106">
        <f t="shared" si="0"/>
        <v>34470.699999999997</v>
      </c>
      <c r="Y9" s="106">
        <f t="shared" si="0"/>
        <v>0</v>
      </c>
      <c r="Z9" s="106" t="e">
        <f t="shared" si="0"/>
        <v>#REF!</v>
      </c>
      <c r="AA9" s="106">
        <f t="shared" si="0"/>
        <v>45981.8</v>
      </c>
      <c r="AB9" s="106">
        <f t="shared" si="0"/>
        <v>0</v>
      </c>
      <c r="AC9" s="106" t="e">
        <f t="shared" si="0"/>
        <v>#REF!</v>
      </c>
      <c r="AD9" s="106">
        <f t="shared" si="0"/>
        <v>33741.599999999999</v>
      </c>
      <c r="AE9" s="106">
        <f t="shared" si="0"/>
        <v>0</v>
      </c>
      <c r="AF9" s="106">
        <f>AE9/AD9*100</f>
        <v>0</v>
      </c>
      <c r="AG9" s="106">
        <f t="shared" si="0"/>
        <v>25527.399999999994</v>
      </c>
      <c r="AH9" s="106">
        <f t="shared" si="0"/>
        <v>0</v>
      </c>
      <c r="AI9" s="106" t="e">
        <f t="shared" si="0"/>
        <v>#REF!</v>
      </c>
      <c r="AJ9" s="106">
        <f t="shared" si="0"/>
        <v>21812.199999999997</v>
      </c>
      <c r="AK9" s="106">
        <f t="shared" si="0"/>
        <v>0</v>
      </c>
      <c r="AL9" s="106" t="e">
        <f t="shared" si="0"/>
        <v>#REF!</v>
      </c>
      <c r="AM9" s="106">
        <f t="shared" si="0"/>
        <v>21829.799999999996</v>
      </c>
      <c r="AN9" s="106">
        <f t="shared" si="0"/>
        <v>0</v>
      </c>
      <c r="AO9" s="106" t="e">
        <f t="shared" si="0"/>
        <v>#REF!</v>
      </c>
      <c r="AP9" s="106">
        <f t="shared" si="0"/>
        <v>43652.299999999996</v>
      </c>
      <c r="AQ9" s="106" t="e">
        <f>#REF!+#REF!</f>
        <v>#REF!</v>
      </c>
      <c r="AR9" s="106" t="e">
        <f>#REF!+#REF!</f>
        <v>#REF!</v>
      </c>
      <c r="AS9" s="319"/>
      <c r="AT9" s="397"/>
      <c r="AU9" s="127"/>
    </row>
    <row r="10" spans="1:49" s="100" customFormat="1" ht="36">
      <c r="A10" s="391"/>
      <c r="B10" s="392"/>
      <c r="C10" s="392"/>
      <c r="D10" s="393"/>
      <c r="E10" s="111" t="s">
        <v>3</v>
      </c>
      <c r="F10" s="106">
        <f>F14+F18+F23+F26+F30</f>
        <v>93990.699999999983</v>
      </c>
      <c r="G10" s="106">
        <f>G14+G18+G23+G26+G30</f>
        <v>924.5</v>
      </c>
      <c r="H10" s="106">
        <f>G10/F10*100</f>
        <v>0.98360795270170365</v>
      </c>
      <c r="I10" s="106">
        <f>I14+I18+I23+I26+I30</f>
        <v>949.99999999999989</v>
      </c>
      <c r="J10" s="106">
        <f>J14+J18+J23+J26+J30</f>
        <v>924.5</v>
      </c>
      <c r="K10" s="106">
        <f t="shared" ref="K10:K12" si="1">J10/I10*100</f>
        <v>97.31578947368422</v>
      </c>
      <c r="L10" s="106">
        <f>L14+L18+L23+L26+L30</f>
        <v>6698.4</v>
      </c>
      <c r="M10" s="106">
        <f>M14+M18+M23+M26+M30</f>
        <v>0</v>
      </c>
      <c r="N10" s="106">
        <f t="shared" ref="N10:N12" si="2">M10/L10*100</f>
        <v>0</v>
      </c>
      <c r="O10" s="106">
        <f>O14+O18+O23+O26+O30</f>
        <v>7444.7999999999993</v>
      </c>
      <c r="P10" s="106">
        <f>P14+P18+P23+P26+P30</f>
        <v>0</v>
      </c>
      <c r="Q10" s="106">
        <f t="shared" ref="Q10:Q12" si="3">P10/O10*100</f>
        <v>0</v>
      </c>
      <c r="R10" s="106">
        <f>R14+R18+R23+R26+R30</f>
        <v>7135.4</v>
      </c>
      <c r="S10" s="106">
        <f>S14+S18+S23+S26+S30</f>
        <v>0</v>
      </c>
      <c r="T10" s="106">
        <f t="shared" ref="T10:T12" si="4">S10/R10*100</f>
        <v>0</v>
      </c>
      <c r="U10" s="106">
        <f>U14+U18+U23+U26+U30</f>
        <v>6459.3999999999987</v>
      </c>
      <c r="V10" s="106">
        <f>V14+V18+V23+V26+V30</f>
        <v>0</v>
      </c>
      <c r="W10" s="106">
        <f t="shared" ref="W10:W12" si="5">V10/U10*100</f>
        <v>0</v>
      </c>
      <c r="X10" s="106">
        <f>X14+X18+X23+X26+X30</f>
        <v>7599.6999999999989</v>
      </c>
      <c r="Y10" s="106">
        <f>Y14+Y18+Y23+Y26+Y30</f>
        <v>0</v>
      </c>
      <c r="Z10" s="106" t="e">
        <f>Z14+Z18+Z23+Z26+#REF!+#REF!+#REF!+#REF!+#REF!+#REF!+#REF!+#REF!+#REF!+#REF!</f>
        <v>#REF!</v>
      </c>
      <c r="AA10" s="106">
        <f>AA14+AA18+AA23+AA26+AA30</f>
        <v>7969.9000000000005</v>
      </c>
      <c r="AB10" s="106">
        <f>AB14+AB18+AB23+AB26+AB30</f>
        <v>0</v>
      </c>
      <c r="AC10" s="106" t="e">
        <f>AC14+AC18+AC23+AC26+#REF!+#REF!+#REF!+#REF!+#REF!+#REF!+#REF!+#REF!+#REF!+#REF!</f>
        <v>#REF!</v>
      </c>
      <c r="AD10" s="106">
        <f>AD14+AD18+AD23+AD26+AD30</f>
        <v>9039.2999999999993</v>
      </c>
      <c r="AE10" s="106">
        <f>AE14+AE18+AE23+AE26+AE30</f>
        <v>0</v>
      </c>
      <c r="AF10" s="106">
        <f t="shared" ref="AF10:AF25" si="6">AE10/AD10*100</f>
        <v>0</v>
      </c>
      <c r="AG10" s="106">
        <f>AG14+AG18+AG23+AG26+AG30</f>
        <v>6928.9</v>
      </c>
      <c r="AH10" s="106">
        <f>AH14+AH18+AH23+AH26+AH30</f>
        <v>0</v>
      </c>
      <c r="AI10" s="106" t="e">
        <f>AI14+AI18+AI23+AI26+#REF!+#REF!+#REF!+#REF!+#REF!+#REF!+#REF!+#REF!+#REF!+#REF!</f>
        <v>#REF!</v>
      </c>
      <c r="AJ10" s="106">
        <f>AJ14+AJ18+AJ23+AJ26+AJ30</f>
        <v>7044.1999999999989</v>
      </c>
      <c r="AK10" s="106">
        <f>AK14+AK18+AK23+AK26+AK30</f>
        <v>0</v>
      </c>
      <c r="AL10" s="106" t="e">
        <f>AL14+AL18+AL23+AL26+#REF!+#REF!+#REF!+#REF!+#REF!+#REF!+#REF!+#REF!+#REF!+#REF!</f>
        <v>#REF!</v>
      </c>
      <c r="AM10" s="106">
        <f>AM14+AM18+AM23+AM26+AM30</f>
        <v>7060.0999999999995</v>
      </c>
      <c r="AN10" s="106">
        <f>AN14+AN18+AN23+AN26+AN30</f>
        <v>0</v>
      </c>
      <c r="AO10" s="106" t="e">
        <f>AO14+AO18+AO23+AO26+#REF!+#REF!+#REF!+#REF!+#REF!+#REF!+#REF!+#REF!+#REF!+#REF!</f>
        <v>#REF!</v>
      </c>
      <c r="AP10" s="106">
        <f>AP14+AP18+AP23+AP26+AP30</f>
        <v>19660.599999999999</v>
      </c>
      <c r="AQ10" s="106">
        <f>AQ14+AQ18+AQ23+AQ26+AQ30</f>
        <v>0</v>
      </c>
      <c r="AR10" s="106" t="e">
        <f>AR14+AR18+AR23+AR26+#REF!+#REF!+#REF!+#REF!+#REF!+#REF!+#REF!+#REF!+#REF!+#REF!</f>
        <v>#REF!</v>
      </c>
      <c r="AS10" s="320"/>
      <c r="AT10" s="398"/>
      <c r="AU10" s="127"/>
    </row>
    <row r="11" spans="1:49" s="100" customFormat="1" ht="24">
      <c r="A11" s="391"/>
      <c r="B11" s="392"/>
      <c r="C11" s="392"/>
      <c r="D11" s="393"/>
      <c r="E11" s="111" t="s">
        <v>44</v>
      </c>
      <c r="F11" s="106">
        <f>F15+F19+F24+F27+F31</f>
        <v>288033.09999999998</v>
      </c>
      <c r="G11" s="106">
        <f>G15+G19+G24+G27+G31</f>
        <v>23786.5</v>
      </c>
      <c r="H11" s="106">
        <f>G11/F11*100</f>
        <v>8.2582522633683428</v>
      </c>
      <c r="I11" s="106">
        <f>I15+I19+I24+I27+I31</f>
        <v>13174.7</v>
      </c>
      <c r="J11" s="106">
        <f>J15+J19+J24+J27+J31</f>
        <v>23786.5</v>
      </c>
      <c r="K11" s="106">
        <f t="shared" si="1"/>
        <v>180.54680561986228</v>
      </c>
      <c r="L11" s="106">
        <f>L15+L19+L24+L27+L31</f>
        <v>33942.600000000006</v>
      </c>
      <c r="M11" s="106">
        <f>M15+M19+M24+M27+M31</f>
        <v>0</v>
      </c>
      <c r="N11" s="106">
        <f t="shared" si="2"/>
        <v>0</v>
      </c>
      <c r="O11" s="106">
        <f>O15+O19+O24+O27+O31</f>
        <v>25234.5</v>
      </c>
      <c r="P11" s="106">
        <f>P15+P19+P24+P27+P31</f>
        <v>0</v>
      </c>
      <c r="Q11" s="106">
        <f t="shared" si="3"/>
        <v>0</v>
      </c>
      <c r="R11" s="106">
        <f>R15+R19+R24+R27+R31</f>
        <v>32473.7</v>
      </c>
      <c r="S11" s="106">
        <f>S15+S19+S24+S27+S31</f>
        <v>0</v>
      </c>
      <c r="T11" s="106">
        <f t="shared" si="4"/>
        <v>0</v>
      </c>
      <c r="U11" s="106">
        <f>U15+U19+U24+U27+U31</f>
        <v>24696.699999999997</v>
      </c>
      <c r="V11" s="106">
        <f>V15+V19+V24+V27+V31</f>
        <v>0</v>
      </c>
      <c r="W11" s="106">
        <f t="shared" si="5"/>
        <v>0</v>
      </c>
      <c r="X11" s="106">
        <f>X15+X19+X24+X27+X31</f>
        <v>26518.199999999997</v>
      </c>
      <c r="Y11" s="106">
        <f>Y15+Y19+Y24+Y27+Y31</f>
        <v>0</v>
      </c>
      <c r="Z11" s="106" t="e">
        <f>Z15+Z19+Z24+Z27+#REF!+#REF!+#REF!+#REF!+#REF!+#REF!+#REF!+#REF!+#REF!+#REF!</f>
        <v>#REF!</v>
      </c>
      <c r="AA11" s="106">
        <f>AA15+AA19+AA24+AA27+AA31</f>
        <v>37186.400000000001</v>
      </c>
      <c r="AB11" s="106">
        <f>AB15+AB19+AB24+AB27+AB31</f>
        <v>0</v>
      </c>
      <c r="AC11" s="106" t="e">
        <f>AC15+AC19+AC24+AC27+#REF!+#REF!+#REF!+#REF!+#REF!+#REF!+#REF!+#REF!+#REF!+#REF!</f>
        <v>#REF!</v>
      </c>
      <c r="AD11" s="106">
        <f>AD15+AD19+AD24+AD27+AD31</f>
        <v>24183.3</v>
      </c>
      <c r="AE11" s="106">
        <f>AE15+AE19+AE24+AE27+AE31</f>
        <v>0</v>
      </c>
      <c r="AF11" s="106">
        <f t="shared" si="6"/>
        <v>0</v>
      </c>
      <c r="AG11" s="106">
        <f>AG15+AG19+AG24+AG27+AG31</f>
        <v>18296.899999999994</v>
      </c>
      <c r="AH11" s="106">
        <f>AH15+AH19+AH24+AH27+AH31</f>
        <v>0</v>
      </c>
      <c r="AI11" s="106" t="e">
        <f>AI15+AI19+AI24+AI27+#REF!+#REF!+#REF!+#REF!+#REF!+#REF!+#REF!+#REF!+#REF!+#REF!</f>
        <v>#REF!</v>
      </c>
      <c r="AJ11" s="106">
        <f>AJ15+AJ19+AJ24+AJ27+AJ31</f>
        <v>14203.400000000001</v>
      </c>
      <c r="AK11" s="106">
        <f>AK15+AK19+AK24+AK27+AK31</f>
        <v>0</v>
      </c>
      <c r="AL11" s="106" t="e">
        <f>AL15+AL19+AL24+AL27+#REF!+#REF!+#REF!+#REF!+#REF!+#REF!+#REF!+#REF!+#REF!+#REF!</f>
        <v>#REF!</v>
      </c>
      <c r="AM11" s="106">
        <f>AM15+AM19+AM24+AM27+AM31</f>
        <v>14327.999999999996</v>
      </c>
      <c r="AN11" s="106">
        <f>AN15+AN19+AN24+AN27+AN31</f>
        <v>0</v>
      </c>
      <c r="AO11" s="106" t="e">
        <f>AO15+AO19+AO24+AO27+#REF!+#REF!+#REF!+#REF!+#REF!+#REF!+#REF!+#REF!+#REF!+#REF!</f>
        <v>#REF!</v>
      </c>
      <c r="AP11" s="106">
        <f>AP15+AP19+AP24+AP27+AP31</f>
        <v>23794.699999999997</v>
      </c>
      <c r="AQ11" s="106">
        <f>AQ15+AQ19+AQ24+AQ27+AQ31</f>
        <v>0</v>
      </c>
      <c r="AR11" s="106" t="e">
        <f>AR15+AR19+AR24+AR27+#REF!+#REF!+#REF!+#REF!+#REF!+#REF!+#REF!+#REF!+#REF!+#REF!</f>
        <v>#REF!</v>
      </c>
      <c r="AS11" s="320"/>
      <c r="AT11" s="398"/>
      <c r="AU11" s="127"/>
    </row>
    <row r="12" spans="1:49" s="100" customFormat="1" ht="24">
      <c r="A12" s="394"/>
      <c r="B12" s="395"/>
      <c r="C12" s="395"/>
      <c r="D12" s="396"/>
      <c r="E12" s="110" t="s">
        <v>257</v>
      </c>
      <c r="F12" s="106">
        <f>F16+F20+F28</f>
        <v>5832.1</v>
      </c>
      <c r="G12" s="106">
        <f>G16+G20+G28</f>
        <v>0</v>
      </c>
      <c r="H12" s="106">
        <f>G12/F12*100</f>
        <v>0</v>
      </c>
      <c r="I12" s="106">
        <f>I16+I20+I28</f>
        <v>261.8</v>
      </c>
      <c r="J12" s="106">
        <f>J16+J20+J28</f>
        <v>0</v>
      </c>
      <c r="K12" s="106">
        <f t="shared" si="1"/>
        <v>0</v>
      </c>
      <c r="L12" s="106">
        <f>L16+L20+L28</f>
        <v>336.5</v>
      </c>
      <c r="M12" s="106">
        <f>M16+M20+M28</f>
        <v>0</v>
      </c>
      <c r="N12" s="106">
        <f t="shared" si="2"/>
        <v>0</v>
      </c>
      <c r="O12" s="106">
        <f>O16+O20+O28</f>
        <v>811.3</v>
      </c>
      <c r="P12" s="106">
        <f>P16+P20+P28</f>
        <v>0</v>
      </c>
      <c r="Q12" s="106">
        <f t="shared" si="3"/>
        <v>0</v>
      </c>
      <c r="R12" s="106">
        <f>R16+R20+R28</f>
        <v>740.6</v>
      </c>
      <c r="S12" s="106">
        <f>S16+S20+S28</f>
        <v>0</v>
      </c>
      <c r="T12" s="106">
        <f t="shared" si="4"/>
        <v>0</v>
      </c>
      <c r="U12" s="106">
        <f>U16+U20+U28</f>
        <v>479.7</v>
      </c>
      <c r="V12" s="106">
        <f>V16+V20+V28</f>
        <v>0</v>
      </c>
      <c r="W12" s="106">
        <f t="shared" si="5"/>
        <v>0</v>
      </c>
      <c r="X12" s="106">
        <f>X16+X20+X28</f>
        <v>352.8</v>
      </c>
      <c r="Y12" s="106">
        <f>Y16+Y20+Y28</f>
        <v>0</v>
      </c>
      <c r="Z12" s="106" t="e">
        <f>Z16+Z20+#REF!+Z28+#REF!+#REF!+#REF!+#REF!+#REF!+#REF!+#REF!+#REF!+#REF!+#REF!</f>
        <v>#REF!</v>
      </c>
      <c r="AA12" s="106">
        <f>AA16+AA20+AA28</f>
        <v>825.5</v>
      </c>
      <c r="AB12" s="106">
        <f>AB16+AB20+AB28</f>
        <v>0</v>
      </c>
      <c r="AC12" s="106" t="e">
        <f>AC16+AC20+#REF!+AC28+#REF!+#REF!+#REF!+#REF!+#REF!+#REF!+#REF!+#REF!+#REF!+#REF!</f>
        <v>#REF!</v>
      </c>
      <c r="AD12" s="106">
        <f>AD16+AD20+AD28</f>
        <v>519</v>
      </c>
      <c r="AE12" s="106">
        <f>AE16+AE20+AE28</f>
        <v>0</v>
      </c>
      <c r="AF12" s="106">
        <f t="shared" si="6"/>
        <v>0</v>
      </c>
      <c r="AG12" s="106">
        <f>AG16+AG20+AG28</f>
        <v>301.60000000000002</v>
      </c>
      <c r="AH12" s="106">
        <f>AH16+AH20+AH28</f>
        <v>0</v>
      </c>
      <c r="AI12" s="106" t="e">
        <f>AI16+AI20+#REF!+AI28+#REF!+#REF!+#REF!+#REF!+#REF!+#REF!+#REF!+#REF!+#REF!+#REF!+#REF!</f>
        <v>#REF!</v>
      </c>
      <c r="AJ12" s="106">
        <f>AJ16+AJ20+AJ28</f>
        <v>564.6</v>
      </c>
      <c r="AK12" s="106">
        <f>AK16+AK20+AK28</f>
        <v>0</v>
      </c>
      <c r="AL12" s="106" t="e">
        <f>AL16+AL20+#REF!+AL28+#REF!+#REF!+#REF!+#REF!+#REF!+#REF!+#REF!+#REF!+#REF!+#REF!+#REF!</f>
        <v>#REF!</v>
      </c>
      <c r="AM12" s="106">
        <f>AM16+AM20+AM28</f>
        <v>441.7</v>
      </c>
      <c r="AN12" s="106">
        <f>AN16+AN20+AN28</f>
        <v>0</v>
      </c>
      <c r="AO12" s="106" t="e">
        <f>AO16+AO20+#REF!+AO28+#REF!+#REF!+#REF!+#REF!+#REF!+#REF!+#REF!+#REF!+#REF!+#REF!+#REF!</f>
        <v>#REF!</v>
      </c>
      <c r="AP12" s="106">
        <f>AP16+AP20+AP28</f>
        <v>197</v>
      </c>
      <c r="AQ12" s="106">
        <f>AQ16+AQ20+AQ28</f>
        <v>0</v>
      </c>
      <c r="AR12" s="106" t="e">
        <f>AR16+AR20+#REF!+AR28+#REF!+#REF!+#REF!+#REF!+#REF!+#REF!+#REF!+#REF!+#REF!+#REF!</f>
        <v>#REF!</v>
      </c>
      <c r="AS12" s="321"/>
      <c r="AT12" s="399"/>
      <c r="AU12" s="127"/>
    </row>
    <row r="13" spans="1:49" s="31" customFormat="1" ht="12.75">
      <c r="A13" s="367" t="s">
        <v>323</v>
      </c>
      <c r="B13" s="331" t="s">
        <v>324</v>
      </c>
      <c r="C13" s="334" t="s">
        <v>325</v>
      </c>
      <c r="D13" s="334" t="s">
        <v>326</v>
      </c>
      <c r="E13" s="107" t="s">
        <v>42</v>
      </c>
      <c r="F13" s="104">
        <f>SUM(F14:F16)</f>
        <v>300702.99999999994</v>
      </c>
      <c r="G13" s="123">
        <f t="shared" ref="G13:P13" si="7">SUM(G14:G16)</f>
        <v>18204.3</v>
      </c>
      <c r="H13" s="123">
        <f>G13/F13*100</f>
        <v>6.053913662317969</v>
      </c>
      <c r="I13" s="123">
        <f t="shared" si="7"/>
        <v>6660.1</v>
      </c>
      <c r="J13" s="123">
        <f t="shared" si="7"/>
        <v>18204.3</v>
      </c>
      <c r="K13" s="123">
        <f>J13/I13*100</f>
        <v>273.33373372772178</v>
      </c>
      <c r="L13" s="123">
        <f t="shared" si="7"/>
        <v>32379.700000000004</v>
      </c>
      <c r="M13" s="123">
        <f t="shared" si="7"/>
        <v>0</v>
      </c>
      <c r="N13" s="123">
        <f>M13/L13*100</f>
        <v>0</v>
      </c>
      <c r="O13" s="123">
        <f t="shared" si="7"/>
        <v>26037.399999999998</v>
      </c>
      <c r="P13" s="123">
        <f t="shared" si="7"/>
        <v>0</v>
      </c>
      <c r="Q13" s="123">
        <f>P13/O13*100</f>
        <v>0</v>
      </c>
      <c r="R13" s="123">
        <f t="shared" ref="R13:AR13" si="8">SUM(R14:R16)</f>
        <v>32770.699999999997</v>
      </c>
      <c r="S13" s="123">
        <f t="shared" si="8"/>
        <v>0</v>
      </c>
      <c r="T13" s="123">
        <f>S13/R13*100</f>
        <v>0</v>
      </c>
      <c r="U13" s="123">
        <f t="shared" si="8"/>
        <v>24105.5</v>
      </c>
      <c r="V13" s="123">
        <f t="shared" si="8"/>
        <v>0</v>
      </c>
      <c r="W13" s="123">
        <f>V13/U13*100</f>
        <v>0</v>
      </c>
      <c r="X13" s="123">
        <f t="shared" si="8"/>
        <v>26537.299999999996</v>
      </c>
      <c r="Y13" s="123">
        <f t="shared" si="8"/>
        <v>0</v>
      </c>
      <c r="Z13" s="123">
        <f t="shared" si="8"/>
        <v>0</v>
      </c>
      <c r="AA13" s="104">
        <f t="shared" si="8"/>
        <v>37741.9</v>
      </c>
      <c r="AB13" s="123">
        <f t="shared" si="8"/>
        <v>0</v>
      </c>
      <c r="AC13" s="123">
        <f t="shared" si="8"/>
        <v>0</v>
      </c>
      <c r="AD13" s="104">
        <f t="shared" si="8"/>
        <v>26948.3</v>
      </c>
      <c r="AE13" s="104">
        <f t="shared" si="8"/>
        <v>0</v>
      </c>
      <c r="AF13" s="104">
        <f t="shared" si="6"/>
        <v>0</v>
      </c>
      <c r="AG13" s="104">
        <f t="shared" si="8"/>
        <v>19259.599999999995</v>
      </c>
      <c r="AH13" s="123">
        <f t="shared" si="8"/>
        <v>0</v>
      </c>
      <c r="AI13" s="123">
        <v>0</v>
      </c>
      <c r="AJ13" s="123">
        <f t="shared" si="8"/>
        <v>15428.3</v>
      </c>
      <c r="AK13" s="123">
        <f t="shared" si="8"/>
        <v>0</v>
      </c>
      <c r="AL13" s="123">
        <f t="shared" si="8"/>
        <v>0</v>
      </c>
      <c r="AM13" s="104">
        <f t="shared" si="8"/>
        <v>16239.599999999999</v>
      </c>
      <c r="AN13" s="123">
        <f t="shared" si="8"/>
        <v>0</v>
      </c>
      <c r="AO13" s="123">
        <f t="shared" si="8"/>
        <v>0</v>
      </c>
      <c r="AP13" s="104">
        <f t="shared" si="8"/>
        <v>36594.6</v>
      </c>
      <c r="AQ13" s="123">
        <f t="shared" si="8"/>
        <v>0</v>
      </c>
      <c r="AR13" s="123">
        <f t="shared" si="8"/>
        <v>0</v>
      </c>
      <c r="AS13" s="340" t="s">
        <v>309</v>
      </c>
      <c r="AT13" s="385" t="s">
        <v>308</v>
      </c>
      <c r="AU13" s="121"/>
      <c r="AV13" s="121"/>
      <c r="AW13" s="155"/>
    </row>
    <row r="14" spans="1:49" s="31" customFormat="1" ht="36">
      <c r="A14" s="368"/>
      <c r="B14" s="332"/>
      <c r="C14" s="335"/>
      <c r="D14" s="335"/>
      <c r="E14" s="108" t="s">
        <v>3</v>
      </c>
      <c r="F14" s="123">
        <f>I14+L14+O14+R14+U14+X14+AA14+AD14+AG14+AJ14+AM14+AP14</f>
        <v>91443.299999999988</v>
      </c>
      <c r="G14" s="123">
        <f>J14+M14+P14+S14+V14+Y14+AB14+AE14+AH14+AK14+AN14+AQ14</f>
        <v>826.6</v>
      </c>
      <c r="H14" s="123">
        <v>0</v>
      </c>
      <c r="I14" s="123">
        <f>47.4+15+887.2+85-184.6</f>
        <v>849.99999999999989</v>
      </c>
      <c r="J14" s="123">
        <v>826.6</v>
      </c>
      <c r="K14" s="123">
        <f>J14/I14*100</f>
        <v>97.247058823529429</v>
      </c>
      <c r="L14" s="123">
        <f>5300+92.5+1181.4</f>
        <v>6573.9</v>
      </c>
      <c r="M14" s="123">
        <v>0</v>
      </c>
      <c r="N14" s="123">
        <v>0</v>
      </c>
      <c r="O14" s="123">
        <f>5300+79.4+1165.4-6.3+184.6</f>
        <v>6723.0999999999995</v>
      </c>
      <c r="P14" s="123">
        <v>0</v>
      </c>
      <c r="Q14" s="123">
        <v>0</v>
      </c>
      <c r="R14" s="123">
        <f>5300+226+5+1479.9</f>
        <v>7010.9</v>
      </c>
      <c r="S14" s="123">
        <v>0</v>
      </c>
      <c r="T14" s="123">
        <v>0</v>
      </c>
      <c r="U14" s="117">
        <f>5300+19.7+79.4+21+897.9</f>
        <v>6317.9999999999991</v>
      </c>
      <c r="V14" s="117">
        <v>0</v>
      </c>
      <c r="W14" s="117">
        <v>0</v>
      </c>
      <c r="X14" s="117">
        <f>6259+53.9+5+1168.2-27.8</f>
        <v>7458.2999999999993</v>
      </c>
      <c r="Y14" s="117">
        <v>0</v>
      </c>
      <c r="Z14" s="117">
        <v>0</v>
      </c>
      <c r="AA14" s="123">
        <f>5350+60+305.7+5+2083.4</f>
        <v>7804.1</v>
      </c>
      <c r="AB14" s="123">
        <v>0</v>
      </c>
      <c r="AC14" s="123">
        <v>0</v>
      </c>
      <c r="AD14" s="117">
        <f>7486+216.1+5+1166.4</f>
        <v>8873.5</v>
      </c>
      <c r="AE14" s="117">
        <v>0</v>
      </c>
      <c r="AF14" s="117">
        <v>0</v>
      </c>
      <c r="AG14" s="117">
        <f>108.1+5300+71+123+136.5+561.4+365.7</f>
        <v>6665.7</v>
      </c>
      <c r="AH14" s="117">
        <v>0</v>
      </c>
      <c r="AI14" s="123">
        <v>0</v>
      </c>
      <c r="AJ14" s="123">
        <f>5250+113.9+5+1439.4</f>
        <v>6808.2999999999993</v>
      </c>
      <c r="AK14" s="123">
        <v>0</v>
      </c>
      <c r="AL14" s="123">
        <v>0</v>
      </c>
      <c r="AM14" s="117">
        <f>5250+100.2+79.5+325.1+1162.1</f>
        <v>6916.9</v>
      </c>
      <c r="AN14" s="117">
        <v>0</v>
      </c>
      <c r="AO14" s="117">
        <v>0</v>
      </c>
      <c r="AP14" s="117">
        <f>11.1+17482.4+151.9+226.6+1870.8-217.2-85</f>
        <v>19440.599999999999</v>
      </c>
      <c r="AQ14" s="123"/>
      <c r="AR14" s="123"/>
      <c r="AS14" s="341"/>
      <c r="AT14" s="386"/>
      <c r="AU14" s="121"/>
      <c r="AV14" s="121"/>
      <c r="AW14" s="155"/>
    </row>
    <row r="15" spans="1:49" s="31" customFormat="1" ht="12.75">
      <c r="A15" s="368"/>
      <c r="B15" s="332"/>
      <c r="C15" s="335"/>
      <c r="D15" s="335"/>
      <c r="E15" s="108" t="s">
        <v>44</v>
      </c>
      <c r="F15" s="123">
        <f t="shared" ref="F15:G16" si="9">I15+L15+O15+R15+U15+X15+AA15+AD15+AG15+AJ15+AM15+AP15</f>
        <v>203427.59999999998</v>
      </c>
      <c r="G15" s="123">
        <f t="shared" si="9"/>
        <v>17377.7</v>
      </c>
      <c r="H15" s="123">
        <f>G15/F15*100</f>
        <v>8.5424495004610996</v>
      </c>
      <c r="I15" s="123">
        <f>40+428.8+4937+6.7+13+122.8</f>
        <v>5548.3</v>
      </c>
      <c r="J15" s="123">
        <v>17377.7</v>
      </c>
      <c r="K15" s="123">
        <f>J15/I15*100</f>
        <v>313.20764918984196</v>
      </c>
      <c r="L15" s="123">
        <f>517.2+2195.7+21252+496.8+361.9+645.7</f>
        <v>25469.300000000003</v>
      </c>
      <c r="M15" s="123">
        <v>0</v>
      </c>
      <c r="N15" s="123">
        <f t="shared" ref="N15:N22" si="10">M15/L15*100</f>
        <v>0</v>
      </c>
      <c r="O15" s="123">
        <f>938.9+1669.1+15140.2+361.8+251.7+81+61.3-1</f>
        <v>18503</v>
      </c>
      <c r="P15" s="123">
        <v>0</v>
      </c>
      <c r="Q15" s="123">
        <f t="shared" ref="Q15:Q22" si="11">P15/O15*100</f>
        <v>0</v>
      </c>
      <c r="R15" s="123">
        <f>662.3+2139.5+21249.9+500+398.9+68.6</f>
        <v>25019.200000000001</v>
      </c>
      <c r="S15" s="123">
        <v>0</v>
      </c>
      <c r="T15" s="123">
        <f t="shared" ref="T15:T22" si="12">S15/R15*100</f>
        <v>0</v>
      </c>
      <c r="U15" s="117">
        <f>114.6+1286.2+14324.5+500+499.1+290.4+293</f>
        <v>17307.8</v>
      </c>
      <c r="V15" s="117">
        <v>0</v>
      </c>
      <c r="W15" s="123">
        <f t="shared" ref="W15" si="13">V15/U15*100</f>
        <v>0</v>
      </c>
      <c r="X15" s="117">
        <f>334.2+1608.2+15696.6+500+535.6+174.6-0.2-122.8</f>
        <v>18726.199999999997</v>
      </c>
      <c r="Y15" s="117">
        <v>0</v>
      </c>
      <c r="Z15" s="117">
        <f>Y15/X15*100</f>
        <v>0</v>
      </c>
      <c r="AA15" s="105">
        <f>456.7+2982.6+24667.5+500+461.9+43.6</f>
        <v>29112.3</v>
      </c>
      <c r="AB15" s="117">
        <v>0</v>
      </c>
      <c r="AC15" s="117">
        <f>AB15/AA15*100</f>
        <v>0</v>
      </c>
      <c r="AD15" s="105">
        <f>205.2+996.9+15105+500+466.9+281.8</f>
        <v>17555.8</v>
      </c>
      <c r="AE15" s="105">
        <v>0</v>
      </c>
      <c r="AF15" s="117">
        <f>AE15/AD15*100</f>
        <v>0</v>
      </c>
      <c r="AG15" s="105">
        <f>410.5+1275+9041.8+500+537.9+527.3-0.2</f>
        <v>12292.299999999997</v>
      </c>
      <c r="AH15" s="117">
        <v>0</v>
      </c>
      <c r="AI15" s="117">
        <v>0</v>
      </c>
      <c r="AJ15" s="123">
        <f>340.9+1654.3+2843.2+250+761.9+280.1+1925</f>
        <v>8055.4</v>
      </c>
      <c r="AK15" s="123">
        <v>0</v>
      </c>
      <c r="AL15" s="123">
        <v>0</v>
      </c>
      <c r="AM15" s="105">
        <f>165.1+1038+6305.7+250+841.9+280.3</f>
        <v>8880.9999999999982</v>
      </c>
      <c r="AN15" s="117">
        <v>0</v>
      </c>
      <c r="AO15" s="117">
        <v>0</v>
      </c>
      <c r="AP15" s="104">
        <f>257+1140.6+13806+958+795.4</f>
        <v>16957</v>
      </c>
      <c r="AQ15" s="123"/>
      <c r="AR15" s="123"/>
      <c r="AS15" s="341"/>
      <c r="AT15" s="386"/>
      <c r="AU15" s="121"/>
      <c r="AV15" s="121"/>
      <c r="AW15" s="155"/>
    </row>
    <row r="16" spans="1:49" s="31" customFormat="1" ht="179.25" customHeight="1">
      <c r="A16" s="369"/>
      <c r="B16" s="333"/>
      <c r="C16" s="336"/>
      <c r="D16" s="336"/>
      <c r="E16" s="109" t="s">
        <v>257</v>
      </c>
      <c r="F16" s="123">
        <f t="shared" si="9"/>
        <v>5832.1</v>
      </c>
      <c r="G16" s="123">
        <f t="shared" si="9"/>
        <v>0</v>
      </c>
      <c r="H16" s="123">
        <v>0</v>
      </c>
      <c r="I16" s="123">
        <v>261.8</v>
      </c>
      <c r="J16" s="123">
        <v>0</v>
      </c>
      <c r="K16" s="123">
        <f>J16/I16*100</f>
        <v>0</v>
      </c>
      <c r="L16" s="123">
        <v>336.5</v>
      </c>
      <c r="M16" s="123">
        <v>0</v>
      </c>
      <c r="N16" s="123">
        <v>0</v>
      </c>
      <c r="O16" s="123">
        <v>811.3</v>
      </c>
      <c r="P16" s="123">
        <v>0</v>
      </c>
      <c r="Q16" s="123">
        <v>0</v>
      </c>
      <c r="R16" s="123">
        <v>740.6</v>
      </c>
      <c r="S16" s="123">
        <v>0</v>
      </c>
      <c r="T16" s="123">
        <v>0</v>
      </c>
      <c r="U16" s="117">
        <v>479.7</v>
      </c>
      <c r="V16" s="117">
        <v>0</v>
      </c>
      <c r="W16" s="117">
        <v>0</v>
      </c>
      <c r="X16" s="117">
        <v>352.8</v>
      </c>
      <c r="Y16" s="117">
        <v>0</v>
      </c>
      <c r="Z16" s="117">
        <v>0</v>
      </c>
      <c r="AA16" s="123">
        <v>825.5</v>
      </c>
      <c r="AB16" s="123">
        <v>0</v>
      </c>
      <c r="AC16" s="123">
        <v>0</v>
      </c>
      <c r="AD16" s="117">
        <f>457.7+61.3</f>
        <v>519</v>
      </c>
      <c r="AE16" s="117">
        <v>0</v>
      </c>
      <c r="AF16" s="117">
        <v>0</v>
      </c>
      <c r="AG16" s="117">
        <v>301.60000000000002</v>
      </c>
      <c r="AH16" s="117"/>
      <c r="AI16" s="117"/>
      <c r="AJ16" s="123">
        <v>564.6</v>
      </c>
      <c r="AK16" s="123">
        <v>0</v>
      </c>
      <c r="AL16" s="123">
        <v>0</v>
      </c>
      <c r="AM16" s="117">
        <v>441.7</v>
      </c>
      <c r="AN16" s="117">
        <v>0</v>
      </c>
      <c r="AO16" s="117">
        <v>0</v>
      </c>
      <c r="AP16" s="117">
        <v>197</v>
      </c>
      <c r="AQ16" s="123"/>
      <c r="AR16" s="123"/>
      <c r="AS16" s="342"/>
      <c r="AT16" s="387"/>
      <c r="AU16" s="121"/>
      <c r="AV16" s="121"/>
      <c r="AW16" s="155"/>
    </row>
    <row r="17" spans="1:49" s="31" customFormat="1" ht="12.75">
      <c r="A17" s="367" t="s">
        <v>327</v>
      </c>
      <c r="B17" s="331" t="s">
        <v>328</v>
      </c>
      <c r="C17" s="334" t="s">
        <v>329</v>
      </c>
      <c r="D17" s="337" t="s">
        <v>330</v>
      </c>
      <c r="E17" s="107" t="s">
        <v>42</v>
      </c>
      <c r="F17" s="123">
        <f>SUM(F18:F20)</f>
        <v>77800</v>
      </c>
      <c r="G17" s="123">
        <f t="shared" ref="G17:P17" si="14">SUM(G18:G20)</f>
        <v>6082.4</v>
      </c>
      <c r="H17" s="123">
        <f>G17/F17*100</f>
        <v>7.8179948586118249</v>
      </c>
      <c r="I17" s="123">
        <f t="shared" si="14"/>
        <v>7091.6</v>
      </c>
      <c r="J17" s="123">
        <f t="shared" si="14"/>
        <v>6082.4</v>
      </c>
      <c r="K17" s="123">
        <f>J17/I17*100</f>
        <v>85.769078910260021</v>
      </c>
      <c r="L17" s="123">
        <f t="shared" si="14"/>
        <v>7886.9</v>
      </c>
      <c r="M17" s="123">
        <f t="shared" si="14"/>
        <v>0</v>
      </c>
      <c r="N17" s="123">
        <f t="shared" si="10"/>
        <v>0</v>
      </c>
      <c r="O17" s="123">
        <f t="shared" si="14"/>
        <v>6038</v>
      </c>
      <c r="P17" s="123">
        <f t="shared" si="14"/>
        <v>0</v>
      </c>
      <c r="Q17" s="123">
        <f t="shared" si="11"/>
        <v>0</v>
      </c>
      <c r="R17" s="123">
        <f t="shared" ref="R17:AB17" si="15">SUM(R18:R20)</f>
        <v>6900</v>
      </c>
      <c r="S17" s="123">
        <f t="shared" si="15"/>
        <v>0</v>
      </c>
      <c r="T17" s="123">
        <f t="shared" si="12"/>
        <v>0</v>
      </c>
      <c r="U17" s="123">
        <f t="shared" si="15"/>
        <v>6826.3</v>
      </c>
      <c r="V17" s="123">
        <f t="shared" si="15"/>
        <v>0</v>
      </c>
      <c r="W17" s="123">
        <f t="shared" ref="W17" si="16">V17/U17*100</f>
        <v>0</v>
      </c>
      <c r="X17" s="123">
        <f t="shared" si="15"/>
        <v>7190.9</v>
      </c>
      <c r="Y17" s="123">
        <f t="shared" si="15"/>
        <v>0</v>
      </c>
      <c r="Z17" s="123">
        <f>Y17/X17*100</f>
        <v>0</v>
      </c>
      <c r="AA17" s="104">
        <f t="shared" si="15"/>
        <v>7431.5</v>
      </c>
      <c r="AB17" s="123">
        <f t="shared" si="15"/>
        <v>0</v>
      </c>
      <c r="AC17" s="123">
        <f>SUM(AC18:AC20)</f>
        <v>0</v>
      </c>
      <c r="AD17" s="104">
        <f t="shared" ref="AD17:AR17" si="17">SUM(AD18:AD20)</f>
        <v>6016.2</v>
      </c>
      <c r="AE17" s="104">
        <f t="shared" si="17"/>
        <v>0</v>
      </c>
      <c r="AF17" s="104">
        <f t="shared" si="6"/>
        <v>0</v>
      </c>
      <c r="AG17" s="104">
        <f t="shared" si="17"/>
        <v>5470</v>
      </c>
      <c r="AH17" s="123">
        <f t="shared" si="17"/>
        <v>0</v>
      </c>
      <c r="AI17" s="123">
        <f t="shared" si="17"/>
        <v>0</v>
      </c>
      <c r="AJ17" s="123">
        <f t="shared" si="17"/>
        <v>5540.8</v>
      </c>
      <c r="AK17" s="123">
        <f t="shared" si="17"/>
        <v>0</v>
      </c>
      <c r="AL17" s="123">
        <f t="shared" si="17"/>
        <v>0</v>
      </c>
      <c r="AM17" s="104">
        <f t="shared" si="17"/>
        <v>5036.7</v>
      </c>
      <c r="AN17" s="123">
        <f t="shared" si="17"/>
        <v>0</v>
      </c>
      <c r="AO17" s="123">
        <f t="shared" si="17"/>
        <v>0</v>
      </c>
      <c r="AP17" s="104">
        <f t="shared" si="17"/>
        <v>6371.1</v>
      </c>
      <c r="AQ17" s="123">
        <f t="shared" si="17"/>
        <v>0</v>
      </c>
      <c r="AR17" s="123">
        <f t="shared" si="17"/>
        <v>0</v>
      </c>
      <c r="AS17" s="340" t="s">
        <v>299</v>
      </c>
      <c r="AT17" s="385" t="s">
        <v>296</v>
      </c>
      <c r="AU17" s="121"/>
      <c r="AV17" s="121"/>
      <c r="AW17" s="155"/>
    </row>
    <row r="18" spans="1:49" s="31" customFormat="1" ht="36">
      <c r="A18" s="368"/>
      <c r="B18" s="332"/>
      <c r="C18" s="335"/>
      <c r="D18" s="338"/>
      <c r="E18" s="108" t="s">
        <v>3</v>
      </c>
      <c r="F18" s="123">
        <f>I18+L18+O18+R18+U18+X18+AA18+AD18+AG18+AJ18+AM18+AP18</f>
        <v>0</v>
      </c>
      <c r="G18" s="123">
        <f>J18+M18+P18+S18+V18+Y18+AB18+AE18+AH18+AK18+AN18+AQ18</f>
        <v>0</v>
      </c>
      <c r="H18" s="123">
        <v>0</v>
      </c>
      <c r="I18" s="104">
        <v>0</v>
      </c>
      <c r="J18" s="104">
        <v>0</v>
      </c>
      <c r="K18" s="123">
        <v>0</v>
      </c>
      <c r="L18" s="126">
        <v>0</v>
      </c>
      <c r="M18" s="104">
        <v>0</v>
      </c>
      <c r="N18" s="123">
        <v>0</v>
      </c>
      <c r="O18" s="104">
        <v>0</v>
      </c>
      <c r="P18" s="104">
        <v>0</v>
      </c>
      <c r="Q18" s="123">
        <v>0</v>
      </c>
      <c r="R18" s="104">
        <v>0</v>
      </c>
      <c r="S18" s="104">
        <v>0</v>
      </c>
      <c r="T18" s="123">
        <v>0</v>
      </c>
      <c r="U18" s="105">
        <v>0</v>
      </c>
      <c r="V18" s="105">
        <v>0</v>
      </c>
      <c r="W18" s="123">
        <v>0</v>
      </c>
      <c r="X18" s="105">
        <v>0</v>
      </c>
      <c r="Y18" s="105">
        <v>0</v>
      </c>
      <c r="Z18" s="105">
        <v>0</v>
      </c>
      <c r="AA18" s="105">
        <v>0</v>
      </c>
      <c r="AB18" s="105">
        <v>0</v>
      </c>
      <c r="AC18" s="117">
        <v>0</v>
      </c>
      <c r="AD18" s="105">
        <v>0</v>
      </c>
      <c r="AE18" s="105">
        <v>0</v>
      </c>
      <c r="AF18" s="117">
        <v>0</v>
      </c>
      <c r="AG18" s="105">
        <v>0</v>
      </c>
      <c r="AH18" s="105">
        <v>0</v>
      </c>
      <c r="AI18" s="117">
        <v>0</v>
      </c>
      <c r="AJ18" s="104">
        <v>0</v>
      </c>
      <c r="AK18" s="104">
        <v>0</v>
      </c>
      <c r="AL18" s="104">
        <v>0</v>
      </c>
      <c r="AM18" s="105">
        <v>0</v>
      </c>
      <c r="AN18" s="105">
        <v>0</v>
      </c>
      <c r="AO18" s="105">
        <v>0</v>
      </c>
      <c r="AP18" s="104">
        <v>0</v>
      </c>
      <c r="AQ18" s="104"/>
      <c r="AR18" s="104"/>
      <c r="AS18" s="341"/>
      <c r="AT18" s="386"/>
      <c r="AU18" s="121"/>
      <c r="AV18" s="121"/>
      <c r="AW18" s="155"/>
    </row>
    <row r="19" spans="1:49" s="31" customFormat="1" ht="12.75">
      <c r="A19" s="368"/>
      <c r="B19" s="332"/>
      <c r="C19" s="335"/>
      <c r="D19" s="338"/>
      <c r="E19" s="108" t="s">
        <v>44</v>
      </c>
      <c r="F19" s="123">
        <f t="shared" ref="F19:G20" si="18">I19+L19+O19+R19+U19+X19+AA19+AD19+AG19+AJ19+AM19+AP19</f>
        <v>77800</v>
      </c>
      <c r="G19" s="123">
        <f t="shared" si="18"/>
        <v>6082.4</v>
      </c>
      <c r="H19" s="123">
        <v>0</v>
      </c>
      <c r="I19" s="123">
        <v>7091.6</v>
      </c>
      <c r="J19" s="123">
        <v>6082.4</v>
      </c>
      <c r="K19" s="123">
        <f t="shared" ref="K19" si="19">J19/I19*100</f>
        <v>85.769078910260021</v>
      </c>
      <c r="L19" s="123">
        <v>7886.9</v>
      </c>
      <c r="M19" s="123">
        <v>0</v>
      </c>
      <c r="N19" s="123">
        <v>0</v>
      </c>
      <c r="O19" s="123">
        <v>6038</v>
      </c>
      <c r="P19" s="123">
        <v>0</v>
      </c>
      <c r="Q19" s="123">
        <v>0</v>
      </c>
      <c r="R19" s="123">
        <v>6900</v>
      </c>
      <c r="S19" s="123">
        <v>0</v>
      </c>
      <c r="T19" s="123">
        <v>0</v>
      </c>
      <c r="U19" s="117">
        <v>6826.3</v>
      </c>
      <c r="V19" s="117">
        <v>0</v>
      </c>
      <c r="W19" s="117">
        <v>0</v>
      </c>
      <c r="X19" s="117">
        <v>7190.9</v>
      </c>
      <c r="Y19" s="117">
        <v>0</v>
      </c>
      <c r="Z19" s="117">
        <v>0</v>
      </c>
      <c r="AA19" s="123">
        <v>7431.5</v>
      </c>
      <c r="AB19" s="123">
        <v>0</v>
      </c>
      <c r="AC19" s="123">
        <v>0</v>
      </c>
      <c r="AD19" s="117">
        <v>6016.2</v>
      </c>
      <c r="AE19" s="117">
        <v>0</v>
      </c>
      <c r="AF19" s="117">
        <v>0</v>
      </c>
      <c r="AG19" s="117">
        <v>5470</v>
      </c>
      <c r="AH19" s="117">
        <v>0</v>
      </c>
      <c r="AI19" s="117">
        <v>0</v>
      </c>
      <c r="AJ19" s="123">
        <v>5540.8</v>
      </c>
      <c r="AK19" s="123">
        <v>0</v>
      </c>
      <c r="AL19" s="123">
        <v>0</v>
      </c>
      <c r="AM19" s="117">
        <v>5036.7</v>
      </c>
      <c r="AN19" s="117">
        <v>0</v>
      </c>
      <c r="AO19" s="117">
        <v>0</v>
      </c>
      <c r="AP19" s="117">
        <v>6371.1</v>
      </c>
      <c r="AQ19" s="123"/>
      <c r="AR19" s="123"/>
      <c r="AS19" s="341"/>
      <c r="AT19" s="386"/>
      <c r="AU19" s="121"/>
      <c r="AV19" s="121"/>
      <c r="AW19" s="155"/>
    </row>
    <row r="20" spans="1:49" s="31" customFormat="1" ht="24">
      <c r="A20" s="369"/>
      <c r="B20" s="333"/>
      <c r="C20" s="336"/>
      <c r="D20" s="339"/>
      <c r="E20" s="109" t="s">
        <v>257</v>
      </c>
      <c r="F20" s="123">
        <f t="shared" si="18"/>
        <v>0</v>
      </c>
      <c r="G20" s="123">
        <f t="shared" si="18"/>
        <v>0</v>
      </c>
      <c r="H20" s="123">
        <v>0</v>
      </c>
      <c r="I20" s="104">
        <v>0</v>
      </c>
      <c r="J20" s="104">
        <v>0</v>
      </c>
      <c r="K20" s="123">
        <v>0</v>
      </c>
      <c r="L20" s="126">
        <v>0</v>
      </c>
      <c r="M20" s="104">
        <v>0</v>
      </c>
      <c r="N20" s="123">
        <v>0</v>
      </c>
      <c r="O20" s="104">
        <v>0</v>
      </c>
      <c r="P20" s="104">
        <v>0</v>
      </c>
      <c r="Q20" s="123">
        <v>0</v>
      </c>
      <c r="R20" s="104">
        <v>0</v>
      </c>
      <c r="S20" s="104">
        <v>0</v>
      </c>
      <c r="T20" s="123">
        <v>0</v>
      </c>
      <c r="U20" s="105">
        <v>0</v>
      </c>
      <c r="V20" s="105">
        <v>0</v>
      </c>
      <c r="W20" s="123">
        <v>0</v>
      </c>
      <c r="X20" s="105">
        <v>0</v>
      </c>
      <c r="Y20" s="105">
        <v>0</v>
      </c>
      <c r="Z20" s="105">
        <v>0</v>
      </c>
      <c r="AA20" s="105">
        <v>0</v>
      </c>
      <c r="AB20" s="105">
        <v>0</v>
      </c>
      <c r="AC20" s="117">
        <v>0</v>
      </c>
      <c r="AD20" s="105">
        <v>0</v>
      </c>
      <c r="AE20" s="105">
        <v>0</v>
      </c>
      <c r="AF20" s="117">
        <v>0</v>
      </c>
      <c r="AG20" s="105">
        <v>0</v>
      </c>
      <c r="AH20" s="105">
        <v>0</v>
      </c>
      <c r="AI20" s="117">
        <v>0</v>
      </c>
      <c r="AJ20" s="104">
        <v>0</v>
      </c>
      <c r="AK20" s="104">
        <v>0</v>
      </c>
      <c r="AL20" s="104">
        <v>0</v>
      </c>
      <c r="AM20" s="105">
        <v>0</v>
      </c>
      <c r="AN20" s="105">
        <v>0</v>
      </c>
      <c r="AO20" s="105">
        <v>0</v>
      </c>
      <c r="AP20" s="104">
        <v>0</v>
      </c>
      <c r="AQ20" s="104">
        <v>0</v>
      </c>
      <c r="AR20" s="104">
        <v>0</v>
      </c>
      <c r="AS20" s="342"/>
      <c r="AT20" s="387"/>
      <c r="AU20" s="121"/>
      <c r="AV20" s="121"/>
      <c r="AW20" s="155"/>
    </row>
    <row r="21" spans="1:49" s="31" customFormat="1" ht="409.5">
      <c r="A21" s="176" t="s">
        <v>331</v>
      </c>
      <c r="B21" s="177" t="s">
        <v>332</v>
      </c>
      <c r="C21" s="178" t="s">
        <v>333</v>
      </c>
      <c r="D21" s="180" t="s">
        <v>346</v>
      </c>
      <c r="E21" s="143" t="s">
        <v>275</v>
      </c>
      <c r="F21" s="149" t="s">
        <v>279</v>
      </c>
      <c r="G21" s="149" t="s">
        <v>279</v>
      </c>
      <c r="H21" s="149" t="s">
        <v>279</v>
      </c>
      <c r="I21" s="149" t="s">
        <v>279</v>
      </c>
      <c r="J21" s="149" t="s">
        <v>279</v>
      </c>
      <c r="K21" s="149" t="s">
        <v>279</v>
      </c>
      <c r="L21" s="149" t="s">
        <v>279</v>
      </c>
      <c r="M21" s="149" t="s">
        <v>279</v>
      </c>
      <c r="N21" s="149" t="s">
        <v>279</v>
      </c>
      <c r="O21" s="149" t="s">
        <v>279</v>
      </c>
      <c r="P21" s="149" t="s">
        <v>279</v>
      </c>
      <c r="Q21" s="149" t="s">
        <v>279</v>
      </c>
      <c r="R21" s="149" t="s">
        <v>279</v>
      </c>
      <c r="S21" s="149" t="s">
        <v>279</v>
      </c>
      <c r="T21" s="149" t="s">
        <v>279</v>
      </c>
      <c r="U21" s="149" t="s">
        <v>279</v>
      </c>
      <c r="V21" s="149" t="s">
        <v>279</v>
      </c>
      <c r="W21" s="149" t="s">
        <v>279</v>
      </c>
      <c r="X21" s="149" t="s">
        <v>279</v>
      </c>
      <c r="Y21" s="149" t="s">
        <v>279</v>
      </c>
      <c r="Z21" s="149" t="s">
        <v>279</v>
      </c>
      <c r="AA21" s="149" t="s">
        <v>279</v>
      </c>
      <c r="AB21" s="149" t="s">
        <v>279</v>
      </c>
      <c r="AC21" s="149" t="s">
        <v>279</v>
      </c>
      <c r="AD21" s="149" t="s">
        <v>279</v>
      </c>
      <c r="AE21" s="149" t="s">
        <v>279</v>
      </c>
      <c r="AF21" s="149" t="s">
        <v>279</v>
      </c>
      <c r="AG21" s="149" t="s">
        <v>279</v>
      </c>
      <c r="AH21" s="149" t="s">
        <v>279</v>
      </c>
      <c r="AI21" s="149" t="s">
        <v>279</v>
      </c>
      <c r="AJ21" s="149" t="s">
        <v>279</v>
      </c>
      <c r="AK21" s="149" t="s">
        <v>279</v>
      </c>
      <c r="AL21" s="149" t="s">
        <v>279</v>
      </c>
      <c r="AM21" s="149" t="s">
        <v>279</v>
      </c>
      <c r="AN21" s="149" t="s">
        <v>279</v>
      </c>
      <c r="AO21" s="149" t="s">
        <v>279</v>
      </c>
      <c r="AP21" s="149" t="s">
        <v>279</v>
      </c>
      <c r="AQ21" s="149" t="s">
        <v>279</v>
      </c>
      <c r="AR21" s="149" t="s">
        <v>279</v>
      </c>
      <c r="AS21" s="179" t="s">
        <v>319</v>
      </c>
      <c r="AT21" s="181" t="s">
        <v>297</v>
      </c>
      <c r="AU21" s="121"/>
      <c r="AV21" s="121"/>
      <c r="AW21" s="155"/>
    </row>
    <row r="22" spans="1:49" s="31" customFormat="1" ht="12.75">
      <c r="A22" s="367" t="s">
        <v>334</v>
      </c>
      <c r="B22" s="331" t="s">
        <v>335</v>
      </c>
      <c r="C22" s="334" t="s">
        <v>268</v>
      </c>
      <c r="D22" s="337" t="s">
        <v>336</v>
      </c>
      <c r="E22" s="107" t="s">
        <v>42</v>
      </c>
      <c r="F22" s="123">
        <f>SUM(F23:F24)</f>
        <v>3987.3</v>
      </c>
      <c r="G22" s="123">
        <f>SUM(G23:G24)</f>
        <v>326.39999999999998</v>
      </c>
      <c r="H22" s="123">
        <f>G22/F22*100</f>
        <v>8.1859905199006828</v>
      </c>
      <c r="I22" s="123">
        <f>SUM(I23:I24)</f>
        <v>326</v>
      </c>
      <c r="J22" s="123">
        <f>SUM(J23:J24)</f>
        <v>326.39999999999998</v>
      </c>
      <c r="K22" s="123">
        <f t="shared" ref="K22:K26" si="20">J22/I22*100</f>
        <v>100.12269938650307</v>
      </c>
      <c r="L22" s="123">
        <f>SUM(L23:L24)</f>
        <v>326</v>
      </c>
      <c r="M22" s="123">
        <f>SUM(M23:M24)</f>
        <v>0</v>
      </c>
      <c r="N22" s="123">
        <f t="shared" si="10"/>
        <v>0</v>
      </c>
      <c r="O22" s="123">
        <f>SUM(O23:O24)</f>
        <v>326</v>
      </c>
      <c r="P22" s="123">
        <f>SUM(P23:P24)</f>
        <v>0</v>
      </c>
      <c r="Q22" s="123">
        <f t="shared" si="11"/>
        <v>0</v>
      </c>
      <c r="R22" s="123">
        <f>SUM(R23:R24)</f>
        <v>326</v>
      </c>
      <c r="S22" s="123">
        <f>SUM(S23:S24)</f>
        <v>0</v>
      </c>
      <c r="T22" s="123">
        <f t="shared" si="12"/>
        <v>0</v>
      </c>
      <c r="U22" s="123">
        <f>SUM(U23:U24)</f>
        <v>326</v>
      </c>
      <c r="V22" s="123">
        <f>SUM(V23:V24)</f>
        <v>0</v>
      </c>
      <c r="W22" s="123">
        <f t="shared" ref="W22" si="21">V22/U22*100</f>
        <v>0</v>
      </c>
      <c r="X22" s="123">
        <f t="shared" ref="X22:AE22" si="22">SUM(X23:X24)</f>
        <v>326</v>
      </c>
      <c r="Y22" s="123">
        <f t="shared" si="22"/>
        <v>0</v>
      </c>
      <c r="Z22" s="123">
        <f t="shared" si="22"/>
        <v>0</v>
      </c>
      <c r="AA22" s="104">
        <f t="shared" si="22"/>
        <v>326</v>
      </c>
      <c r="AB22" s="123">
        <f t="shared" si="22"/>
        <v>0</v>
      </c>
      <c r="AC22" s="123">
        <f t="shared" si="22"/>
        <v>0</v>
      </c>
      <c r="AD22" s="104">
        <f t="shared" si="22"/>
        <v>326</v>
      </c>
      <c r="AE22" s="104">
        <f t="shared" si="22"/>
        <v>0</v>
      </c>
      <c r="AF22" s="104">
        <f t="shared" si="6"/>
        <v>0</v>
      </c>
      <c r="AG22" s="104">
        <f t="shared" ref="AG22:AR22" si="23">SUM(AG23:AG24)</f>
        <v>326</v>
      </c>
      <c r="AH22" s="123">
        <f t="shared" si="23"/>
        <v>0</v>
      </c>
      <c r="AI22" s="123">
        <f t="shared" si="23"/>
        <v>0</v>
      </c>
      <c r="AJ22" s="123">
        <f t="shared" si="23"/>
        <v>326</v>
      </c>
      <c r="AK22" s="123">
        <f t="shared" si="23"/>
        <v>0</v>
      </c>
      <c r="AL22" s="123">
        <f t="shared" si="23"/>
        <v>0</v>
      </c>
      <c r="AM22" s="104">
        <f t="shared" si="23"/>
        <v>326</v>
      </c>
      <c r="AN22" s="123">
        <f t="shared" si="23"/>
        <v>0</v>
      </c>
      <c r="AO22" s="123">
        <f t="shared" si="23"/>
        <v>0</v>
      </c>
      <c r="AP22" s="104">
        <f t="shared" si="23"/>
        <v>401.3</v>
      </c>
      <c r="AQ22" s="123">
        <f t="shared" si="23"/>
        <v>0</v>
      </c>
      <c r="AR22" s="123">
        <f t="shared" si="23"/>
        <v>0</v>
      </c>
      <c r="AS22" s="340" t="s">
        <v>319</v>
      </c>
      <c r="AT22" s="343" t="s">
        <v>297</v>
      </c>
      <c r="AU22" s="121"/>
      <c r="AV22" s="121"/>
      <c r="AW22" s="155"/>
    </row>
    <row r="23" spans="1:49" s="31" customFormat="1" ht="36">
      <c r="A23" s="368"/>
      <c r="B23" s="332"/>
      <c r="C23" s="335"/>
      <c r="D23" s="338"/>
      <c r="E23" s="108" t="s">
        <v>3</v>
      </c>
      <c r="F23" s="123">
        <f>I23+L23+O23+R23+U23+X23+AA23+AD23+AG23+AJ23+AM23+AP23</f>
        <v>0</v>
      </c>
      <c r="G23" s="123">
        <f>J23+M23+P23+S23+V23+Y23+AB23+AE23+AH23+AK23+AN23+AQ23</f>
        <v>0</v>
      </c>
      <c r="H23" s="123">
        <v>0</v>
      </c>
      <c r="I23" s="104">
        <v>0</v>
      </c>
      <c r="J23" s="104">
        <v>0</v>
      </c>
      <c r="K23" s="123">
        <v>0</v>
      </c>
      <c r="L23" s="126">
        <v>0</v>
      </c>
      <c r="M23" s="104">
        <v>0</v>
      </c>
      <c r="N23" s="123">
        <v>0</v>
      </c>
      <c r="O23" s="104">
        <v>0</v>
      </c>
      <c r="P23" s="104">
        <v>0</v>
      </c>
      <c r="Q23" s="123">
        <v>0</v>
      </c>
      <c r="R23" s="104">
        <v>0</v>
      </c>
      <c r="S23" s="104">
        <v>0</v>
      </c>
      <c r="T23" s="123">
        <v>0</v>
      </c>
      <c r="U23" s="105">
        <v>0</v>
      </c>
      <c r="V23" s="105">
        <v>0</v>
      </c>
      <c r="W23" s="123">
        <v>0</v>
      </c>
      <c r="X23" s="105">
        <v>0</v>
      </c>
      <c r="Y23" s="105">
        <v>0</v>
      </c>
      <c r="Z23" s="105">
        <v>0</v>
      </c>
      <c r="AA23" s="105">
        <v>0</v>
      </c>
      <c r="AB23" s="105">
        <v>0</v>
      </c>
      <c r="AC23" s="117">
        <v>0</v>
      </c>
      <c r="AD23" s="105">
        <v>0</v>
      </c>
      <c r="AE23" s="105">
        <v>0</v>
      </c>
      <c r="AF23" s="117">
        <v>0</v>
      </c>
      <c r="AG23" s="105">
        <v>0</v>
      </c>
      <c r="AH23" s="105">
        <v>0</v>
      </c>
      <c r="AI23" s="117">
        <v>0</v>
      </c>
      <c r="AJ23" s="104">
        <v>0</v>
      </c>
      <c r="AK23" s="104">
        <v>0</v>
      </c>
      <c r="AL23" s="104">
        <v>0</v>
      </c>
      <c r="AM23" s="105">
        <v>0</v>
      </c>
      <c r="AN23" s="105">
        <v>0</v>
      </c>
      <c r="AO23" s="105">
        <v>0</v>
      </c>
      <c r="AP23" s="104">
        <v>0</v>
      </c>
      <c r="AQ23" s="104"/>
      <c r="AR23" s="104"/>
      <c r="AS23" s="341"/>
      <c r="AT23" s="344"/>
      <c r="AU23" s="121"/>
      <c r="AV23" s="121"/>
      <c r="AW23" s="155"/>
    </row>
    <row r="24" spans="1:49" s="31" customFormat="1" ht="12.75">
      <c r="A24" s="368"/>
      <c r="B24" s="332"/>
      <c r="C24" s="335"/>
      <c r="D24" s="338"/>
      <c r="E24" s="108" t="s">
        <v>44</v>
      </c>
      <c r="F24" s="123">
        <f t="shared" ref="F24:G24" si="24">I24+L24+O24+R24+U24+X24+AA24+AD24+AG24+AJ24+AM24+AP24</f>
        <v>3987.3</v>
      </c>
      <c r="G24" s="123">
        <f t="shared" si="24"/>
        <v>326.39999999999998</v>
      </c>
      <c r="H24" s="123">
        <v>0</v>
      </c>
      <c r="I24" s="123">
        <v>326</v>
      </c>
      <c r="J24" s="123">
        <v>326.39999999999998</v>
      </c>
      <c r="K24" s="123">
        <f t="shared" si="20"/>
        <v>100.12269938650307</v>
      </c>
      <c r="L24" s="123">
        <v>326</v>
      </c>
      <c r="M24" s="123">
        <v>0</v>
      </c>
      <c r="N24" s="123">
        <v>0</v>
      </c>
      <c r="O24" s="123">
        <v>326</v>
      </c>
      <c r="P24" s="123">
        <v>0</v>
      </c>
      <c r="Q24" s="123">
        <v>0</v>
      </c>
      <c r="R24" s="123">
        <v>326</v>
      </c>
      <c r="S24" s="123">
        <v>0</v>
      </c>
      <c r="T24" s="123">
        <v>0</v>
      </c>
      <c r="U24" s="117">
        <v>326</v>
      </c>
      <c r="V24" s="117">
        <v>0</v>
      </c>
      <c r="W24" s="117">
        <v>0</v>
      </c>
      <c r="X24" s="117">
        <v>326</v>
      </c>
      <c r="Y24" s="117">
        <v>0</v>
      </c>
      <c r="Z24" s="117">
        <v>0</v>
      </c>
      <c r="AA24" s="123">
        <v>326</v>
      </c>
      <c r="AB24" s="123">
        <v>0</v>
      </c>
      <c r="AC24" s="123">
        <v>0</v>
      </c>
      <c r="AD24" s="117">
        <v>326</v>
      </c>
      <c r="AE24" s="117">
        <v>0</v>
      </c>
      <c r="AF24" s="117">
        <v>0</v>
      </c>
      <c r="AG24" s="117">
        <v>326</v>
      </c>
      <c r="AH24" s="117">
        <v>0</v>
      </c>
      <c r="AI24" s="117"/>
      <c r="AJ24" s="123">
        <v>326</v>
      </c>
      <c r="AK24" s="123">
        <v>0</v>
      </c>
      <c r="AL24" s="123">
        <v>0</v>
      </c>
      <c r="AM24" s="117">
        <v>326</v>
      </c>
      <c r="AN24" s="117">
        <v>0</v>
      </c>
      <c r="AO24" s="117">
        <v>0</v>
      </c>
      <c r="AP24" s="117">
        <v>401.3</v>
      </c>
      <c r="AQ24" s="123"/>
      <c r="AR24" s="123"/>
      <c r="AS24" s="341"/>
      <c r="AT24" s="344"/>
      <c r="AU24" s="121"/>
      <c r="AV24" s="121"/>
      <c r="AW24" s="155"/>
    </row>
    <row r="25" spans="1:49" s="31" customFormat="1" ht="12.75">
      <c r="A25" s="367" t="s">
        <v>337</v>
      </c>
      <c r="B25" s="331" t="s">
        <v>338</v>
      </c>
      <c r="C25" s="334" t="s">
        <v>339</v>
      </c>
      <c r="D25" s="337" t="s">
        <v>340</v>
      </c>
      <c r="E25" s="107" t="s">
        <v>42</v>
      </c>
      <c r="F25" s="123">
        <f>SUM(F26:F28)</f>
        <v>5215.6000000000004</v>
      </c>
      <c r="G25" s="123">
        <f t="shared" ref="G25:P25" si="25">SUM(G26:G28)</f>
        <v>97.9</v>
      </c>
      <c r="H25" s="123">
        <f>G25/F25*100</f>
        <v>1.8770611243193496</v>
      </c>
      <c r="I25" s="123">
        <f t="shared" si="25"/>
        <v>308.8</v>
      </c>
      <c r="J25" s="123">
        <f t="shared" si="25"/>
        <v>97.9</v>
      </c>
      <c r="K25" s="123">
        <f t="shared" si="20"/>
        <v>31.703367875647672</v>
      </c>
      <c r="L25" s="123">
        <f t="shared" si="25"/>
        <v>384.9</v>
      </c>
      <c r="M25" s="123">
        <f t="shared" si="25"/>
        <v>0</v>
      </c>
      <c r="N25" s="123">
        <v>0</v>
      </c>
      <c r="O25" s="123">
        <f t="shared" si="25"/>
        <v>939.2</v>
      </c>
      <c r="P25" s="123">
        <f t="shared" si="25"/>
        <v>0</v>
      </c>
      <c r="Q25" s="123">
        <v>0</v>
      </c>
      <c r="R25" s="123">
        <f t="shared" ref="R25:Z25" si="26">SUM(R26:R28)</f>
        <v>353</v>
      </c>
      <c r="S25" s="123">
        <f t="shared" si="26"/>
        <v>0</v>
      </c>
      <c r="T25" s="123">
        <v>0</v>
      </c>
      <c r="U25" s="123">
        <f t="shared" si="26"/>
        <v>378</v>
      </c>
      <c r="V25" s="123">
        <f t="shared" si="26"/>
        <v>0</v>
      </c>
      <c r="W25" s="123">
        <f t="shared" si="26"/>
        <v>0</v>
      </c>
      <c r="X25" s="123">
        <f t="shared" si="26"/>
        <v>416.5</v>
      </c>
      <c r="Y25" s="123">
        <f t="shared" si="26"/>
        <v>0</v>
      </c>
      <c r="Z25" s="123">
        <f t="shared" si="26"/>
        <v>0</v>
      </c>
      <c r="AA25" s="104">
        <f t="shared" ref="AA25:AB25" si="27">SUM(AA26:AA28)</f>
        <v>482.40000000000003</v>
      </c>
      <c r="AB25" s="123">
        <f t="shared" si="27"/>
        <v>0</v>
      </c>
      <c r="AC25" s="123">
        <f>SUM(AC26:AC28)</f>
        <v>0</v>
      </c>
      <c r="AD25" s="104">
        <f t="shared" ref="AD25:AR25" si="28">SUM(AD26:AD28)</f>
        <v>451.1</v>
      </c>
      <c r="AE25" s="104">
        <f t="shared" si="28"/>
        <v>0</v>
      </c>
      <c r="AF25" s="104">
        <f t="shared" si="6"/>
        <v>0</v>
      </c>
      <c r="AG25" s="104">
        <f t="shared" si="28"/>
        <v>471.79999999999995</v>
      </c>
      <c r="AH25" s="123">
        <f t="shared" si="28"/>
        <v>0</v>
      </c>
      <c r="AI25" s="104">
        <f t="shared" ref="AI25" si="29">AH25/AG25*100</f>
        <v>0</v>
      </c>
      <c r="AJ25" s="123">
        <f t="shared" si="28"/>
        <v>517.1</v>
      </c>
      <c r="AK25" s="123">
        <f t="shared" si="28"/>
        <v>0</v>
      </c>
      <c r="AL25" s="123">
        <f t="shared" si="28"/>
        <v>0</v>
      </c>
      <c r="AM25" s="104">
        <f t="shared" si="28"/>
        <v>227.5</v>
      </c>
      <c r="AN25" s="123">
        <f t="shared" si="28"/>
        <v>0</v>
      </c>
      <c r="AO25" s="123">
        <f t="shared" si="28"/>
        <v>0</v>
      </c>
      <c r="AP25" s="104">
        <f t="shared" si="28"/>
        <v>285.3</v>
      </c>
      <c r="AQ25" s="123">
        <f t="shared" si="28"/>
        <v>0</v>
      </c>
      <c r="AR25" s="123">
        <f t="shared" si="28"/>
        <v>0</v>
      </c>
      <c r="AS25" s="340" t="s">
        <v>318</v>
      </c>
      <c r="AT25" s="349"/>
      <c r="AU25" s="121"/>
      <c r="AV25" s="121"/>
      <c r="AW25" s="155"/>
    </row>
    <row r="26" spans="1:49" s="31" customFormat="1" ht="36">
      <c r="A26" s="368"/>
      <c r="B26" s="332"/>
      <c r="C26" s="335"/>
      <c r="D26" s="338"/>
      <c r="E26" s="108" t="s">
        <v>3</v>
      </c>
      <c r="F26" s="123">
        <f>I26+L26+O26+R26+U26+X26+AA26+AD26+AG26+AJ26+AM26+AP26</f>
        <v>2547.4</v>
      </c>
      <c r="G26" s="123">
        <f>J26+M26+P26+S26+V26+Y26+AB26+AE26+AH26+AK26+AN26+AQ26</f>
        <v>97.9</v>
      </c>
      <c r="H26" s="123">
        <f>G26/F26*100</f>
        <v>3.8431341760226112</v>
      </c>
      <c r="I26" s="104">
        <v>100</v>
      </c>
      <c r="J26" s="104">
        <v>97.9</v>
      </c>
      <c r="K26" s="123">
        <f t="shared" si="20"/>
        <v>97.9</v>
      </c>
      <c r="L26" s="126">
        <v>124.5</v>
      </c>
      <c r="M26" s="104">
        <v>0</v>
      </c>
      <c r="N26" s="123">
        <v>0</v>
      </c>
      <c r="O26" s="104">
        <f>124.5+697.2-100</f>
        <v>721.7</v>
      </c>
      <c r="P26" s="104">
        <v>0</v>
      </c>
      <c r="Q26" s="123">
        <v>0</v>
      </c>
      <c r="R26" s="104">
        <v>124.5</v>
      </c>
      <c r="S26" s="104">
        <v>0</v>
      </c>
      <c r="T26" s="123">
        <v>0</v>
      </c>
      <c r="U26" s="105">
        <v>141.4</v>
      </c>
      <c r="V26" s="105">
        <v>0</v>
      </c>
      <c r="W26" s="105">
        <v>0</v>
      </c>
      <c r="X26" s="105">
        <v>141.4</v>
      </c>
      <c r="Y26" s="105">
        <v>0</v>
      </c>
      <c r="Z26" s="105">
        <f>Y26/X26*100</f>
        <v>0</v>
      </c>
      <c r="AA26" s="105">
        <v>165.8</v>
      </c>
      <c r="AB26" s="105">
        <v>0</v>
      </c>
      <c r="AC26" s="105">
        <f>AB26/AA26*100</f>
        <v>0</v>
      </c>
      <c r="AD26" s="105">
        <v>165.8</v>
      </c>
      <c r="AE26" s="105">
        <v>0</v>
      </c>
      <c r="AF26" s="105">
        <f>AE26/AD26*100</f>
        <v>0</v>
      </c>
      <c r="AG26" s="105">
        <f>140.5+50+72.7</f>
        <v>263.2</v>
      </c>
      <c r="AH26" s="105">
        <v>0</v>
      </c>
      <c r="AI26" s="105">
        <f>AH26/AG26*100</f>
        <v>0</v>
      </c>
      <c r="AJ26" s="104">
        <v>235.9</v>
      </c>
      <c r="AK26" s="104">
        <v>0</v>
      </c>
      <c r="AL26" s="104">
        <v>0</v>
      </c>
      <c r="AM26" s="105">
        <v>143.19999999999999</v>
      </c>
      <c r="AN26" s="105">
        <v>0</v>
      </c>
      <c r="AO26" s="105">
        <v>0</v>
      </c>
      <c r="AP26" s="104">
        <v>220</v>
      </c>
      <c r="AQ26" s="104"/>
      <c r="AR26" s="104"/>
      <c r="AS26" s="341"/>
      <c r="AT26" s="350"/>
      <c r="AU26" s="121"/>
      <c r="AV26" s="121"/>
      <c r="AW26" s="155"/>
    </row>
    <row r="27" spans="1:49" s="31" customFormat="1" ht="12.75">
      <c r="A27" s="368"/>
      <c r="B27" s="332"/>
      <c r="C27" s="335"/>
      <c r="D27" s="338"/>
      <c r="E27" s="108" t="s">
        <v>44</v>
      </c>
      <c r="F27" s="123">
        <f t="shared" ref="F27:G28" si="30">I27+L27+O27+R27+U27+X27+AA27+AD27+AG27+AJ27+AM27+AP27</f>
        <v>2668.2000000000003</v>
      </c>
      <c r="G27" s="123">
        <f t="shared" si="30"/>
        <v>0</v>
      </c>
      <c r="H27" s="123">
        <v>0</v>
      </c>
      <c r="I27" s="123">
        <v>208.8</v>
      </c>
      <c r="J27" s="123">
        <v>0</v>
      </c>
      <c r="K27" s="123">
        <v>0</v>
      </c>
      <c r="L27" s="123">
        <v>260.39999999999998</v>
      </c>
      <c r="M27" s="123">
        <v>0</v>
      </c>
      <c r="N27" s="123">
        <v>0</v>
      </c>
      <c r="O27" s="123">
        <v>217.5</v>
      </c>
      <c r="P27" s="123">
        <v>0</v>
      </c>
      <c r="Q27" s="123">
        <v>0</v>
      </c>
      <c r="R27" s="123">
        <v>228.5</v>
      </c>
      <c r="S27" s="123">
        <v>0</v>
      </c>
      <c r="T27" s="123">
        <v>0</v>
      </c>
      <c r="U27" s="117">
        <v>236.6</v>
      </c>
      <c r="V27" s="117">
        <v>0</v>
      </c>
      <c r="W27" s="117">
        <v>0</v>
      </c>
      <c r="X27" s="117">
        <v>275.10000000000002</v>
      </c>
      <c r="Y27" s="117">
        <v>0</v>
      </c>
      <c r="Z27" s="117">
        <v>0</v>
      </c>
      <c r="AA27" s="123">
        <v>316.60000000000002</v>
      </c>
      <c r="AB27" s="123">
        <v>0</v>
      </c>
      <c r="AC27" s="123">
        <v>0</v>
      </c>
      <c r="AD27" s="117">
        <v>285.3</v>
      </c>
      <c r="AE27" s="117">
        <v>0</v>
      </c>
      <c r="AF27" s="117">
        <v>0</v>
      </c>
      <c r="AG27" s="117">
        <v>208.6</v>
      </c>
      <c r="AH27" s="117">
        <v>0</v>
      </c>
      <c r="AI27" s="117">
        <v>0</v>
      </c>
      <c r="AJ27" s="123">
        <v>281.2</v>
      </c>
      <c r="AK27" s="123">
        <v>0</v>
      </c>
      <c r="AL27" s="123">
        <v>0</v>
      </c>
      <c r="AM27" s="117">
        <v>84.3</v>
      </c>
      <c r="AN27" s="117">
        <v>0</v>
      </c>
      <c r="AO27" s="117">
        <v>0</v>
      </c>
      <c r="AP27" s="117">
        <v>65.3</v>
      </c>
      <c r="AQ27" s="123"/>
      <c r="AR27" s="123"/>
      <c r="AS27" s="341"/>
      <c r="AT27" s="350"/>
      <c r="AU27" s="121"/>
      <c r="AV27" s="121"/>
      <c r="AW27" s="155"/>
    </row>
    <row r="28" spans="1:49" s="31" customFormat="1" ht="34.5" customHeight="1">
      <c r="A28" s="369"/>
      <c r="B28" s="333"/>
      <c r="C28" s="336"/>
      <c r="D28" s="339"/>
      <c r="E28" s="109" t="s">
        <v>257</v>
      </c>
      <c r="F28" s="123">
        <f t="shared" si="30"/>
        <v>0</v>
      </c>
      <c r="G28" s="123">
        <f t="shared" si="30"/>
        <v>0</v>
      </c>
      <c r="H28" s="123">
        <v>0</v>
      </c>
      <c r="I28" s="123">
        <v>0</v>
      </c>
      <c r="J28" s="123">
        <v>0</v>
      </c>
      <c r="K28" s="123">
        <v>0</v>
      </c>
      <c r="L28" s="123">
        <v>0</v>
      </c>
      <c r="M28" s="123">
        <v>0</v>
      </c>
      <c r="N28" s="123">
        <v>0</v>
      </c>
      <c r="O28" s="123">
        <v>0</v>
      </c>
      <c r="P28" s="123">
        <v>0</v>
      </c>
      <c r="Q28" s="123">
        <v>0</v>
      </c>
      <c r="R28" s="123">
        <v>0</v>
      </c>
      <c r="S28" s="123">
        <v>0</v>
      </c>
      <c r="T28" s="123">
        <v>0</v>
      </c>
      <c r="U28" s="117">
        <v>0</v>
      </c>
      <c r="V28" s="117">
        <v>0</v>
      </c>
      <c r="W28" s="117">
        <v>0</v>
      </c>
      <c r="X28" s="117">
        <v>0</v>
      </c>
      <c r="Y28" s="117">
        <v>0</v>
      </c>
      <c r="Z28" s="117">
        <v>0</v>
      </c>
      <c r="AA28" s="123">
        <v>0</v>
      </c>
      <c r="AB28" s="123">
        <v>0</v>
      </c>
      <c r="AC28" s="123">
        <v>0</v>
      </c>
      <c r="AD28" s="117">
        <v>0</v>
      </c>
      <c r="AE28" s="117">
        <v>0</v>
      </c>
      <c r="AF28" s="117">
        <v>0</v>
      </c>
      <c r="AG28" s="117">
        <v>0</v>
      </c>
      <c r="AH28" s="117">
        <v>0</v>
      </c>
      <c r="AI28" s="117">
        <v>0</v>
      </c>
      <c r="AJ28" s="123">
        <v>0</v>
      </c>
      <c r="AK28" s="123">
        <v>0</v>
      </c>
      <c r="AL28" s="123">
        <v>0</v>
      </c>
      <c r="AM28" s="117">
        <v>0</v>
      </c>
      <c r="AN28" s="117">
        <v>0</v>
      </c>
      <c r="AO28" s="117">
        <v>0</v>
      </c>
      <c r="AP28" s="117">
        <v>0</v>
      </c>
      <c r="AQ28" s="123"/>
      <c r="AR28" s="123"/>
      <c r="AS28" s="342"/>
      <c r="AT28" s="351"/>
      <c r="AU28" s="121"/>
      <c r="AV28" s="121"/>
      <c r="AW28" s="155"/>
    </row>
    <row r="29" spans="1:49" s="31" customFormat="1" ht="12.75">
      <c r="A29" s="367" t="s">
        <v>341</v>
      </c>
      <c r="B29" s="331" t="s">
        <v>342</v>
      </c>
      <c r="C29" s="334" t="s">
        <v>268</v>
      </c>
      <c r="D29" s="337" t="s">
        <v>343</v>
      </c>
      <c r="E29" s="107" t="s">
        <v>42</v>
      </c>
      <c r="F29" s="123">
        <f>SUM(F30:F31)</f>
        <v>150</v>
      </c>
      <c r="G29" s="123">
        <f>SUM(G30:G31)</f>
        <v>0</v>
      </c>
      <c r="H29" s="123">
        <f>G29/F29*100</f>
        <v>0</v>
      </c>
      <c r="I29" s="123">
        <f>SUM(I30:I31)</f>
        <v>0</v>
      </c>
      <c r="J29" s="123">
        <f>SUM(J30:J31)</f>
        <v>0</v>
      </c>
      <c r="K29" s="123">
        <f>SUM(K30:K31)</f>
        <v>0</v>
      </c>
      <c r="L29" s="123">
        <f>SUM(L30:L31)</f>
        <v>0</v>
      </c>
      <c r="M29" s="123">
        <f>SUM(M30:M31)</f>
        <v>0</v>
      </c>
      <c r="N29" s="123">
        <v>0</v>
      </c>
      <c r="O29" s="123">
        <f>SUM(O30:O31)</f>
        <v>150</v>
      </c>
      <c r="P29" s="123">
        <f>SUM(P30:P31)</f>
        <v>0</v>
      </c>
      <c r="Q29" s="123">
        <v>0</v>
      </c>
      <c r="R29" s="123">
        <f>SUM(R30:R31)</f>
        <v>0</v>
      </c>
      <c r="S29" s="123">
        <f>SUM(S30:S31)</f>
        <v>0</v>
      </c>
      <c r="T29" s="123">
        <v>0</v>
      </c>
      <c r="U29" s="123">
        <f t="shared" ref="U29:AH29" si="31">SUM(U30:U31)</f>
        <v>0</v>
      </c>
      <c r="V29" s="123">
        <f t="shared" si="31"/>
        <v>0</v>
      </c>
      <c r="W29" s="123">
        <f t="shared" si="31"/>
        <v>0</v>
      </c>
      <c r="X29" s="123">
        <f t="shared" si="31"/>
        <v>0</v>
      </c>
      <c r="Y29" s="123">
        <f t="shared" si="31"/>
        <v>0</v>
      </c>
      <c r="Z29" s="123">
        <f t="shared" si="31"/>
        <v>0</v>
      </c>
      <c r="AA29" s="104">
        <f t="shared" si="31"/>
        <v>0</v>
      </c>
      <c r="AB29" s="123">
        <f t="shared" si="31"/>
        <v>0</v>
      </c>
      <c r="AC29" s="123">
        <f t="shared" si="31"/>
        <v>0</v>
      </c>
      <c r="AD29" s="104">
        <f t="shared" si="31"/>
        <v>0</v>
      </c>
      <c r="AE29" s="104">
        <f t="shared" si="31"/>
        <v>0</v>
      </c>
      <c r="AF29" s="104">
        <f t="shared" si="31"/>
        <v>0</v>
      </c>
      <c r="AG29" s="104">
        <f t="shared" si="31"/>
        <v>0</v>
      </c>
      <c r="AH29" s="123">
        <f t="shared" si="31"/>
        <v>0</v>
      </c>
      <c r="AI29" s="117">
        <v>0</v>
      </c>
      <c r="AJ29" s="123">
        <f t="shared" ref="AJ29:AR29" si="32">SUM(AJ30:AJ31)</f>
        <v>0</v>
      </c>
      <c r="AK29" s="123">
        <f t="shared" si="32"/>
        <v>0</v>
      </c>
      <c r="AL29" s="123">
        <f t="shared" si="32"/>
        <v>0</v>
      </c>
      <c r="AM29" s="104">
        <f t="shared" si="32"/>
        <v>0</v>
      </c>
      <c r="AN29" s="123">
        <f t="shared" si="32"/>
        <v>0</v>
      </c>
      <c r="AO29" s="123">
        <f t="shared" si="32"/>
        <v>0</v>
      </c>
      <c r="AP29" s="104">
        <f t="shared" si="32"/>
        <v>0</v>
      </c>
      <c r="AQ29" s="123">
        <f t="shared" si="32"/>
        <v>0</v>
      </c>
      <c r="AR29" s="123">
        <f t="shared" si="32"/>
        <v>0</v>
      </c>
      <c r="AS29" s="340" t="s">
        <v>298</v>
      </c>
      <c r="AT29" s="349"/>
      <c r="AU29" s="121"/>
      <c r="AV29" s="121"/>
      <c r="AW29" s="155"/>
    </row>
    <row r="30" spans="1:49" s="31" customFormat="1" ht="36">
      <c r="A30" s="368"/>
      <c r="B30" s="332"/>
      <c r="C30" s="335"/>
      <c r="D30" s="338"/>
      <c r="E30" s="108" t="s">
        <v>3</v>
      </c>
      <c r="F30" s="123">
        <f>I30+L30+O30+R30+U30+X30+AA30+AD30+AG30+AJ30+AM30+AP30</f>
        <v>0</v>
      </c>
      <c r="G30" s="123">
        <f>J30+M30+P30+S30+V30+Y30+AB30+AE30+AH30+AK30+AN30+AQ30</f>
        <v>0</v>
      </c>
      <c r="H30" s="123">
        <v>0</v>
      </c>
      <c r="I30" s="123">
        <v>0</v>
      </c>
      <c r="J30" s="123">
        <v>0</v>
      </c>
      <c r="K30" s="123">
        <v>0</v>
      </c>
      <c r="L30" s="123">
        <v>0</v>
      </c>
      <c r="M30" s="123">
        <v>0</v>
      </c>
      <c r="N30" s="123">
        <v>0</v>
      </c>
      <c r="O30" s="123">
        <v>0</v>
      </c>
      <c r="P30" s="123">
        <v>0</v>
      </c>
      <c r="Q30" s="123">
        <v>0</v>
      </c>
      <c r="R30" s="123">
        <v>0</v>
      </c>
      <c r="S30" s="123">
        <v>0</v>
      </c>
      <c r="T30" s="123">
        <v>0</v>
      </c>
      <c r="U30" s="117">
        <v>0</v>
      </c>
      <c r="V30" s="117">
        <v>0</v>
      </c>
      <c r="W30" s="117">
        <v>0</v>
      </c>
      <c r="X30" s="117">
        <v>0</v>
      </c>
      <c r="Y30" s="117">
        <v>0</v>
      </c>
      <c r="Z30" s="117">
        <v>0</v>
      </c>
      <c r="AA30" s="123">
        <v>0</v>
      </c>
      <c r="AB30" s="123">
        <v>0</v>
      </c>
      <c r="AC30" s="123">
        <v>0</v>
      </c>
      <c r="AD30" s="117">
        <v>0</v>
      </c>
      <c r="AE30" s="117">
        <v>0</v>
      </c>
      <c r="AF30" s="117">
        <v>0</v>
      </c>
      <c r="AG30" s="117">
        <v>0</v>
      </c>
      <c r="AH30" s="117">
        <v>0</v>
      </c>
      <c r="AI30" s="117">
        <v>0</v>
      </c>
      <c r="AJ30" s="123">
        <v>0</v>
      </c>
      <c r="AK30" s="123">
        <v>0</v>
      </c>
      <c r="AL30" s="123">
        <v>0</v>
      </c>
      <c r="AM30" s="117">
        <v>0</v>
      </c>
      <c r="AN30" s="117">
        <v>0</v>
      </c>
      <c r="AO30" s="117">
        <v>0</v>
      </c>
      <c r="AP30" s="117">
        <v>0</v>
      </c>
      <c r="AQ30" s="123"/>
      <c r="AR30" s="123"/>
      <c r="AS30" s="341"/>
      <c r="AT30" s="350"/>
      <c r="AU30" s="121"/>
      <c r="AV30" s="121"/>
      <c r="AW30" s="155"/>
    </row>
    <row r="31" spans="1:49" s="31" customFormat="1" ht="41.25" customHeight="1">
      <c r="A31" s="368"/>
      <c r="B31" s="332"/>
      <c r="C31" s="335"/>
      <c r="D31" s="338"/>
      <c r="E31" s="108" t="s">
        <v>44</v>
      </c>
      <c r="F31" s="123">
        <f t="shared" ref="F31:G31" si="33">I31+L31+O31+R31+U31+X31+AA31+AD31+AG31+AJ31+AM31+AP31</f>
        <v>150</v>
      </c>
      <c r="G31" s="123">
        <f t="shared" si="33"/>
        <v>0</v>
      </c>
      <c r="H31" s="123">
        <v>0</v>
      </c>
      <c r="I31" s="123">
        <v>0</v>
      </c>
      <c r="J31" s="123">
        <v>0</v>
      </c>
      <c r="K31" s="123">
        <v>0</v>
      </c>
      <c r="L31" s="123">
        <v>0</v>
      </c>
      <c r="M31" s="123">
        <v>0</v>
      </c>
      <c r="N31" s="123">
        <v>0</v>
      </c>
      <c r="O31" s="123">
        <v>150</v>
      </c>
      <c r="P31" s="123">
        <v>0</v>
      </c>
      <c r="Q31" s="123">
        <v>0</v>
      </c>
      <c r="R31" s="123">
        <v>0</v>
      </c>
      <c r="S31" s="123">
        <v>0</v>
      </c>
      <c r="T31" s="123">
        <v>0</v>
      </c>
      <c r="U31" s="117">
        <v>0</v>
      </c>
      <c r="V31" s="117">
        <v>0</v>
      </c>
      <c r="W31" s="117">
        <v>0</v>
      </c>
      <c r="X31" s="117">
        <v>0</v>
      </c>
      <c r="Y31" s="117">
        <v>0</v>
      </c>
      <c r="Z31" s="117">
        <v>0</v>
      </c>
      <c r="AA31" s="123">
        <v>0</v>
      </c>
      <c r="AB31" s="123">
        <v>0</v>
      </c>
      <c r="AC31" s="123">
        <v>0</v>
      </c>
      <c r="AD31" s="117">
        <v>0</v>
      </c>
      <c r="AE31" s="117">
        <v>0</v>
      </c>
      <c r="AF31" s="117">
        <v>0</v>
      </c>
      <c r="AG31" s="117">
        <v>0</v>
      </c>
      <c r="AH31" s="117">
        <v>0</v>
      </c>
      <c r="AI31" s="117">
        <v>0</v>
      </c>
      <c r="AJ31" s="123">
        <v>0</v>
      </c>
      <c r="AK31" s="123">
        <v>0</v>
      </c>
      <c r="AL31" s="123">
        <v>0</v>
      </c>
      <c r="AM31" s="117">
        <v>0</v>
      </c>
      <c r="AN31" s="117">
        <v>0</v>
      </c>
      <c r="AO31" s="117">
        <v>0</v>
      </c>
      <c r="AP31" s="117">
        <v>0</v>
      </c>
      <c r="AQ31" s="123"/>
      <c r="AR31" s="123"/>
      <c r="AS31" s="341"/>
      <c r="AT31" s="350"/>
      <c r="AU31" s="121"/>
      <c r="AV31" s="121"/>
      <c r="AW31" s="155"/>
    </row>
    <row r="32" spans="1:49" s="31" customFormat="1" ht="15.75">
      <c r="A32" s="352" t="s">
        <v>344</v>
      </c>
      <c r="B32" s="353"/>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4"/>
    </row>
    <row r="33" spans="1:49" s="100" customFormat="1" ht="12.75">
      <c r="A33" s="355" t="s">
        <v>345</v>
      </c>
      <c r="B33" s="356"/>
      <c r="C33" s="356"/>
      <c r="D33" s="357"/>
      <c r="E33" s="129" t="s">
        <v>42</v>
      </c>
      <c r="F33" s="106">
        <f>F34+F35+F36</f>
        <v>33940.800000000003</v>
      </c>
      <c r="G33" s="106">
        <f t="shared" ref="G33:AR33" si="34">G34+G35+G36</f>
        <v>556</v>
      </c>
      <c r="H33" s="106">
        <f>G33/F33*100</f>
        <v>1.6381464196483286</v>
      </c>
      <c r="I33" s="106">
        <f t="shared" si="34"/>
        <v>556</v>
      </c>
      <c r="J33" s="106">
        <f t="shared" si="34"/>
        <v>556</v>
      </c>
      <c r="K33" s="106">
        <f>J33/I33*100</f>
        <v>100</v>
      </c>
      <c r="L33" s="106">
        <f t="shared" si="34"/>
        <v>2428</v>
      </c>
      <c r="M33" s="106">
        <f t="shared" si="34"/>
        <v>0</v>
      </c>
      <c r="N33" s="106">
        <f>M33/L33*100</f>
        <v>0</v>
      </c>
      <c r="O33" s="106">
        <f t="shared" si="34"/>
        <v>2242</v>
      </c>
      <c r="P33" s="106">
        <f t="shared" si="34"/>
        <v>0</v>
      </c>
      <c r="Q33" s="106">
        <f>P33/O33*100</f>
        <v>0</v>
      </c>
      <c r="R33" s="106">
        <f t="shared" si="34"/>
        <v>3060</v>
      </c>
      <c r="S33" s="106">
        <f t="shared" si="34"/>
        <v>0</v>
      </c>
      <c r="T33" s="106">
        <f>S33/R33*100</f>
        <v>0</v>
      </c>
      <c r="U33" s="106">
        <f t="shared" si="34"/>
        <v>2489</v>
      </c>
      <c r="V33" s="106">
        <f t="shared" si="34"/>
        <v>0</v>
      </c>
      <c r="W33" s="106">
        <f t="shared" si="34"/>
        <v>0</v>
      </c>
      <c r="X33" s="106">
        <f t="shared" si="34"/>
        <v>2628</v>
      </c>
      <c r="Y33" s="106">
        <f t="shared" si="34"/>
        <v>0</v>
      </c>
      <c r="Z33" s="106">
        <f t="shared" si="34"/>
        <v>0</v>
      </c>
      <c r="AA33" s="106">
        <f t="shared" si="34"/>
        <v>3576</v>
      </c>
      <c r="AB33" s="106">
        <f t="shared" si="34"/>
        <v>0</v>
      </c>
      <c r="AC33" s="106">
        <f t="shared" si="34"/>
        <v>0</v>
      </c>
      <c r="AD33" s="106">
        <f t="shared" si="34"/>
        <v>2569</v>
      </c>
      <c r="AE33" s="106">
        <f t="shared" si="34"/>
        <v>0</v>
      </c>
      <c r="AF33" s="106">
        <f t="shared" ref="AF33:AF35" si="35">AE33/AD33*100</f>
        <v>0</v>
      </c>
      <c r="AG33" s="106">
        <f t="shared" si="34"/>
        <v>2544</v>
      </c>
      <c r="AH33" s="106">
        <f t="shared" si="34"/>
        <v>0</v>
      </c>
      <c r="AI33" s="106">
        <f t="shared" si="34"/>
        <v>0</v>
      </c>
      <c r="AJ33" s="106">
        <f t="shared" si="34"/>
        <v>2984</v>
      </c>
      <c r="AK33" s="106">
        <f t="shared" si="34"/>
        <v>0</v>
      </c>
      <c r="AL33" s="106">
        <f t="shared" si="34"/>
        <v>0</v>
      </c>
      <c r="AM33" s="106">
        <f t="shared" si="34"/>
        <v>2265.6</v>
      </c>
      <c r="AN33" s="106">
        <f t="shared" si="34"/>
        <v>0</v>
      </c>
      <c r="AO33" s="106">
        <f t="shared" si="34"/>
        <v>0</v>
      </c>
      <c r="AP33" s="106">
        <f t="shared" si="34"/>
        <v>6599.2</v>
      </c>
      <c r="AQ33" s="106">
        <f t="shared" si="34"/>
        <v>0</v>
      </c>
      <c r="AR33" s="106">
        <f t="shared" si="34"/>
        <v>0</v>
      </c>
      <c r="AS33" s="370"/>
      <c r="AT33" s="364"/>
      <c r="AU33" s="121"/>
      <c r="AV33" s="121"/>
      <c r="AW33" s="155"/>
    </row>
    <row r="34" spans="1:49" s="100" customFormat="1" ht="36">
      <c r="A34" s="358"/>
      <c r="B34" s="359"/>
      <c r="C34" s="359"/>
      <c r="D34" s="360"/>
      <c r="E34" s="111" t="s">
        <v>3</v>
      </c>
      <c r="F34" s="106">
        <f>F43</f>
        <v>30600.9</v>
      </c>
      <c r="G34" s="106">
        <f t="shared" ref="G34:AR36" si="36">G43</f>
        <v>0</v>
      </c>
      <c r="H34" s="106">
        <f>G34/F34*100</f>
        <v>0</v>
      </c>
      <c r="I34" s="106">
        <f t="shared" si="36"/>
        <v>0</v>
      </c>
      <c r="J34" s="106">
        <f t="shared" si="36"/>
        <v>0</v>
      </c>
      <c r="K34" s="106" t="e">
        <f t="shared" ref="K34:K35" si="37">J34/I34*100</f>
        <v>#DIV/0!</v>
      </c>
      <c r="L34" s="106">
        <f t="shared" si="36"/>
        <v>2178</v>
      </c>
      <c r="M34" s="106">
        <f t="shared" si="36"/>
        <v>0</v>
      </c>
      <c r="N34" s="106">
        <f t="shared" ref="N34:N35" si="38">M34/L34*100</f>
        <v>0</v>
      </c>
      <c r="O34" s="106">
        <f t="shared" si="36"/>
        <v>1989</v>
      </c>
      <c r="P34" s="106">
        <f t="shared" si="36"/>
        <v>0</v>
      </c>
      <c r="Q34" s="106">
        <f t="shared" ref="Q34:Q35" si="39">P34/O34*100</f>
        <v>0</v>
      </c>
      <c r="R34" s="106">
        <f t="shared" si="36"/>
        <v>3010</v>
      </c>
      <c r="S34" s="106">
        <f t="shared" si="36"/>
        <v>0</v>
      </c>
      <c r="T34" s="106">
        <f t="shared" ref="T34:T35" si="40">S34/R34*100</f>
        <v>0</v>
      </c>
      <c r="U34" s="106">
        <f t="shared" si="36"/>
        <v>2037</v>
      </c>
      <c r="V34" s="106">
        <f t="shared" si="36"/>
        <v>0</v>
      </c>
      <c r="W34" s="106">
        <f t="shared" si="36"/>
        <v>0</v>
      </c>
      <c r="X34" s="106">
        <f t="shared" si="36"/>
        <v>2578</v>
      </c>
      <c r="Y34" s="106">
        <f t="shared" si="36"/>
        <v>0</v>
      </c>
      <c r="Z34" s="106">
        <f t="shared" si="36"/>
        <v>0</v>
      </c>
      <c r="AA34" s="106">
        <f t="shared" si="36"/>
        <v>3526</v>
      </c>
      <c r="AB34" s="106">
        <f t="shared" si="36"/>
        <v>0</v>
      </c>
      <c r="AC34" s="106">
        <f t="shared" si="36"/>
        <v>0</v>
      </c>
      <c r="AD34" s="106">
        <f t="shared" si="36"/>
        <v>2117</v>
      </c>
      <c r="AE34" s="106">
        <f t="shared" si="36"/>
        <v>0</v>
      </c>
      <c r="AF34" s="106">
        <f t="shared" si="35"/>
        <v>0</v>
      </c>
      <c r="AG34" s="106">
        <f t="shared" si="36"/>
        <v>2494</v>
      </c>
      <c r="AH34" s="106">
        <f t="shared" si="36"/>
        <v>0</v>
      </c>
      <c r="AI34" s="106">
        <f t="shared" si="36"/>
        <v>0</v>
      </c>
      <c r="AJ34" s="106">
        <f t="shared" si="36"/>
        <v>2934</v>
      </c>
      <c r="AK34" s="106">
        <f t="shared" si="36"/>
        <v>0</v>
      </c>
      <c r="AL34" s="106">
        <f t="shared" si="36"/>
        <v>0</v>
      </c>
      <c r="AM34" s="106">
        <f t="shared" si="36"/>
        <v>1812</v>
      </c>
      <c r="AN34" s="106">
        <f t="shared" si="36"/>
        <v>0</v>
      </c>
      <c r="AO34" s="106">
        <f t="shared" si="36"/>
        <v>0</v>
      </c>
      <c r="AP34" s="106">
        <f t="shared" si="36"/>
        <v>5925.9</v>
      </c>
      <c r="AQ34" s="106">
        <f t="shared" si="36"/>
        <v>0</v>
      </c>
      <c r="AR34" s="106">
        <f t="shared" si="36"/>
        <v>0</v>
      </c>
      <c r="AS34" s="371"/>
      <c r="AT34" s="365"/>
      <c r="AU34" s="121"/>
      <c r="AV34" s="121"/>
      <c r="AW34" s="155"/>
    </row>
    <row r="35" spans="1:49" s="100" customFormat="1" ht="24">
      <c r="A35" s="358"/>
      <c r="B35" s="359"/>
      <c r="C35" s="359"/>
      <c r="D35" s="360"/>
      <c r="E35" s="111" t="s">
        <v>44</v>
      </c>
      <c r="F35" s="106">
        <f>F44</f>
        <v>3339.8999999999996</v>
      </c>
      <c r="G35" s="106">
        <f t="shared" si="36"/>
        <v>556</v>
      </c>
      <c r="H35" s="106">
        <f>G35/F35*100</f>
        <v>16.647205006137909</v>
      </c>
      <c r="I35" s="106">
        <f t="shared" si="36"/>
        <v>556</v>
      </c>
      <c r="J35" s="106">
        <f t="shared" si="36"/>
        <v>556</v>
      </c>
      <c r="K35" s="106">
        <f t="shared" si="37"/>
        <v>100</v>
      </c>
      <c r="L35" s="106">
        <f t="shared" si="36"/>
        <v>250</v>
      </c>
      <c r="M35" s="106">
        <f t="shared" si="36"/>
        <v>0</v>
      </c>
      <c r="N35" s="106">
        <f t="shared" si="38"/>
        <v>0</v>
      </c>
      <c r="O35" s="106">
        <f t="shared" si="36"/>
        <v>253</v>
      </c>
      <c r="P35" s="106">
        <f t="shared" si="36"/>
        <v>0</v>
      </c>
      <c r="Q35" s="106">
        <f t="shared" si="39"/>
        <v>0</v>
      </c>
      <c r="R35" s="106">
        <f t="shared" si="36"/>
        <v>50</v>
      </c>
      <c r="S35" s="106">
        <f t="shared" si="36"/>
        <v>0</v>
      </c>
      <c r="T35" s="106">
        <f t="shared" si="40"/>
        <v>0</v>
      </c>
      <c r="U35" s="106">
        <f t="shared" si="36"/>
        <v>452</v>
      </c>
      <c r="V35" s="106">
        <f t="shared" si="36"/>
        <v>0</v>
      </c>
      <c r="W35" s="106">
        <f t="shared" si="36"/>
        <v>0</v>
      </c>
      <c r="X35" s="106">
        <f t="shared" si="36"/>
        <v>50</v>
      </c>
      <c r="Y35" s="106">
        <f t="shared" si="36"/>
        <v>0</v>
      </c>
      <c r="Z35" s="106">
        <f t="shared" si="36"/>
        <v>0</v>
      </c>
      <c r="AA35" s="106">
        <f t="shared" si="36"/>
        <v>50</v>
      </c>
      <c r="AB35" s="106">
        <f t="shared" si="36"/>
        <v>0</v>
      </c>
      <c r="AC35" s="106">
        <f t="shared" si="36"/>
        <v>0</v>
      </c>
      <c r="AD35" s="106">
        <f t="shared" si="36"/>
        <v>452</v>
      </c>
      <c r="AE35" s="106">
        <f t="shared" si="36"/>
        <v>0</v>
      </c>
      <c r="AF35" s="106">
        <f t="shared" si="35"/>
        <v>0</v>
      </c>
      <c r="AG35" s="106">
        <f t="shared" si="36"/>
        <v>50</v>
      </c>
      <c r="AH35" s="106">
        <f t="shared" si="36"/>
        <v>0</v>
      </c>
      <c r="AI35" s="106">
        <f t="shared" si="36"/>
        <v>0</v>
      </c>
      <c r="AJ35" s="106">
        <f t="shared" si="36"/>
        <v>50</v>
      </c>
      <c r="AK35" s="106">
        <f t="shared" si="36"/>
        <v>0</v>
      </c>
      <c r="AL35" s="106">
        <f t="shared" si="36"/>
        <v>0</v>
      </c>
      <c r="AM35" s="106">
        <f t="shared" si="36"/>
        <v>453.6</v>
      </c>
      <c r="AN35" s="106">
        <f t="shared" si="36"/>
        <v>0</v>
      </c>
      <c r="AO35" s="106">
        <f t="shared" si="36"/>
        <v>0</v>
      </c>
      <c r="AP35" s="106">
        <f t="shared" si="36"/>
        <v>673.3</v>
      </c>
      <c r="AQ35" s="106">
        <f t="shared" si="36"/>
        <v>0</v>
      </c>
      <c r="AR35" s="106">
        <f t="shared" si="36"/>
        <v>0</v>
      </c>
      <c r="AS35" s="371"/>
      <c r="AT35" s="365"/>
      <c r="AU35" s="121"/>
      <c r="AV35" s="121"/>
      <c r="AW35" s="155"/>
    </row>
    <row r="36" spans="1:49" s="100" customFormat="1" ht="24">
      <c r="A36" s="361"/>
      <c r="B36" s="362"/>
      <c r="C36" s="362"/>
      <c r="D36" s="363"/>
      <c r="E36" s="110" t="s">
        <v>257</v>
      </c>
      <c r="F36" s="106">
        <f>F45</f>
        <v>0</v>
      </c>
      <c r="G36" s="106">
        <f t="shared" si="36"/>
        <v>0</v>
      </c>
      <c r="H36" s="106">
        <v>0</v>
      </c>
      <c r="I36" s="106">
        <f t="shared" si="36"/>
        <v>0</v>
      </c>
      <c r="J36" s="106">
        <f t="shared" si="36"/>
        <v>0</v>
      </c>
      <c r="K36" s="106">
        <v>0</v>
      </c>
      <c r="L36" s="106">
        <f t="shared" si="36"/>
        <v>0</v>
      </c>
      <c r="M36" s="106">
        <f t="shared" si="36"/>
        <v>0</v>
      </c>
      <c r="N36" s="106">
        <v>0</v>
      </c>
      <c r="O36" s="106">
        <f t="shared" si="36"/>
        <v>0</v>
      </c>
      <c r="P36" s="106">
        <f t="shared" si="36"/>
        <v>0</v>
      </c>
      <c r="Q36" s="106">
        <f t="shared" si="36"/>
        <v>0</v>
      </c>
      <c r="R36" s="106">
        <f t="shared" si="36"/>
        <v>0</v>
      </c>
      <c r="S36" s="106">
        <f t="shared" si="36"/>
        <v>0</v>
      </c>
      <c r="T36" s="106">
        <v>0</v>
      </c>
      <c r="U36" s="106">
        <f t="shared" si="36"/>
        <v>0</v>
      </c>
      <c r="V36" s="106">
        <f t="shared" si="36"/>
        <v>0</v>
      </c>
      <c r="W36" s="106">
        <f t="shared" si="36"/>
        <v>0</v>
      </c>
      <c r="X36" s="106">
        <f t="shared" si="36"/>
        <v>0</v>
      </c>
      <c r="Y36" s="106">
        <f t="shared" si="36"/>
        <v>0</v>
      </c>
      <c r="Z36" s="106">
        <f t="shared" si="36"/>
        <v>0</v>
      </c>
      <c r="AA36" s="106">
        <f t="shared" si="36"/>
        <v>0</v>
      </c>
      <c r="AB36" s="106">
        <f t="shared" si="36"/>
        <v>0</v>
      </c>
      <c r="AC36" s="106">
        <f t="shared" si="36"/>
        <v>0</v>
      </c>
      <c r="AD36" s="106">
        <f t="shared" si="36"/>
        <v>0</v>
      </c>
      <c r="AE36" s="106">
        <f t="shared" si="36"/>
        <v>0</v>
      </c>
      <c r="AF36" s="106">
        <f t="shared" si="36"/>
        <v>0</v>
      </c>
      <c r="AG36" s="106">
        <f t="shared" si="36"/>
        <v>0</v>
      </c>
      <c r="AH36" s="106">
        <f t="shared" si="36"/>
        <v>0</v>
      </c>
      <c r="AI36" s="106">
        <f t="shared" si="36"/>
        <v>0</v>
      </c>
      <c r="AJ36" s="106">
        <f t="shared" si="36"/>
        <v>0</v>
      </c>
      <c r="AK36" s="106">
        <f t="shared" si="36"/>
        <v>0</v>
      </c>
      <c r="AL36" s="106">
        <f t="shared" si="36"/>
        <v>0</v>
      </c>
      <c r="AM36" s="106">
        <f t="shared" si="36"/>
        <v>0</v>
      </c>
      <c r="AN36" s="106">
        <f t="shared" si="36"/>
        <v>0</v>
      </c>
      <c r="AO36" s="106">
        <f t="shared" si="36"/>
        <v>0</v>
      </c>
      <c r="AP36" s="106">
        <f t="shared" si="36"/>
        <v>0</v>
      </c>
      <c r="AQ36" s="106">
        <f t="shared" si="36"/>
        <v>0</v>
      </c>
      <c r="AR36" s="106">
        <f t="shared" si="36"/>
        <v>0</v>
      </c>
      <c r="AS36" s="372"/>
      <c r="AT36" s="366"/>
      <c r="AU36" s="121"/>
      <c r="AV36" s="121"/>
      <c r="AW36" s="155"/>
    </row>
    <row r="37" spans="1:49" s="100" customFormat="1" ht="168">
      <c r="A37" s="182" t="s">
        <v>347</v>
      </c>
      <c r="B37" s="161" t="s">
        <v>348</v>
      </c>
      <c r="C37" s="162" t="s">
        <v>349</v>
      </c>
      <c r="D37" s="170" t="s">
        <v>350</v>
      </c>
      <c r="E37" s="143" t="s">
        <v>275</v>
      </c>
      <c r="F37" s="149" t="s">
        <v>279</v>
      </c>
      <c r="G37" s="149" t="s">
        <v>279</v>
      </c>
      <c r="H37" s="149" t="s">
        <v>279</v>
      </c>
      <c r="I37" s="149" t="s">
        <v>279</v>
      </c>
      <c r="J37" s="149" t="s">
        <v>279</v>
      </c>
      <c r="K37" s="149" t="s">
        <v>279</v>
      </c>
      <c r="L37" s="149" t="s">
        <v>279</v>
      </c>
      <c r="M37" s="149" t="s">
        <v>279</v>
      </c>
      <c r="N37" s="149" t="s">
        <v>279</v>
      </c>
      <c r="O37" s="149" t="s">
        <v>279</v>
      </c>
      <c r="P37" s="149" t="s">
        <v>279</v>
      </c>
      <c r="Q37" s="149" t="s">
        <v>279</v>
      </c>
      <c r="R37" s="149" t="s">
        <v>279</v>
      </c>
      <c r="S37" s="149" t="s">
        <v>279</v>
      </c>
      <c r="T37" s="149" t="s">
        <v>279</v>
      </c>
      <c r="U37" s="149" t="s">
        <v>279</v>
      </c>
      <c r="V37" s="149" t="s">
        <v>279</v>
      </c>
      <c r="W37" s="149" t="s">
        <v>279</v>
      </c>
      <c r="X37" s="149" t="s">
        <v>279</v>
      </c>
      <c r="Y37" s="149" t="s">
        <v>279</v>
      </c>
      <c r="Z37" s="149" t="s">
        <v>279</v>
      </c>
      <c r="AA37" s="149" t="s">
        <v>279</v>
      </c>
      <c r="AB37" s="149" t="s">
        <v>279</v>
      </c>
      <c r="AC37" s="149" t="s">
        <v>279</v>
      </c>
      <c r="AD37" s="149" t="s">
        <v>279</v>
      </c>
      <c r="AE37" s="149" t="s">
        <v>279</v>
      </c>
      <c r="AF37" s="149" t="s">
        <v>279</v>
      </c>
      <c r="AG37" s="149" t="s">
        <v>279</v>
      </c>
      <c r="AH37" s="149" t="s">
        <v>279</v>
      </c>
      <c r="AI37" s="149" t="s">
        <v>279</v>
      </c>
      <c r="AJ37" s="149" t="s">
        <v>279</v>
      </c>
      <c r="AK37" s="149" t="s">
        <v>279</v>
      </c>
      <c r="AL37" s="149" t="s">
        <v>279</v>
      </c>
      <c r="AM37" s="149" t="s">
        <v>279</v>
      </c>
      <c r="AN37" s="149" t="s">
        <v>279</v>
      </c>
      <c r="AO37" s="149" t="s">
        <v>279</v>
      </c>
      <c r="AP37" s="149" t="s">
        <v>279</v>
      </c>
      <c r="AQ37" s="149"/>
      <c r="AR37" s="149"/>
      <c r="AS37" s="141" t="s">
        <v>301</v>
      </c>
      <c r="AT37" s="134"/>
      <c r="AU37" s="121"/>
      <c r="AV37" s="121"/>
      <c r="AW37" s="155"/>
    </row>
    <row r="38" spans="1:49" s="100" customFormat="1" ht="216">
      <c r="A38" s="184" t="s">
        <v>351</v>
      </c>
      <c r="B38" s="183" t="s">
        <v>352</v>
      </c>
      <c r="C38" s="160" t="s">
        <v>353</v>
      </c>
      <c r="D38" s="170" t="s">
        <v>354</v>
      </c>
      <c r="E38" s="143" t="s">
        <v>275</v>
      </c>
      <c r="F38" s="149" t="s">
        <v>279</v>
      </c>
      <c r="G38" s="149" t="s">
        <v>279</v>
      </c>
      <c r="H38" s="149" t="s">
        <v>279</v>
      </c>
      <c r="I38" s="149" t="s">
        <v>279</v>
      </c>
      <c r="J38" s="149" t="s">
        <v>279</v>
      </c>
      <c r="K38" s="149" t="s">
        <v>279</v>
      </c>
      <c r="L38" s="149" t="s">
        <v>279</v>
      </c>
      <c r="M38" s="149" t="s">
        <v>279</v>
      </c>
      <c r="N38" s="149" t="s">
        <v>279</v>
      </c>
      <c r="O38" s="149" t="s">
        <v>279</v>
      </c>
      <c r="P38" s="149" t="s">
        <v>279</v>
      </c>
      <c r="Q38" s="149" t="s">
        <v>279</v>
      </c>
      <c r="R38" s="149" t="s">
        <v>279</v>
      </c>
      <c r="S38" s="149" t="s">
        <v>279</v>
      </c>
      <c r="T38" s="149" t="s">
        <v>279</v>
      </c>
      <c r="U38" s="149" t="s">
        <v>279</v>
      </c>
      <c r="V38" s="149" t="s">
        <v>279</v>
      </c>
      <c r="W38" s="149" t="s">
        <v>279</v>
      </c>
      <c r="X38" s="149" t="s">
        <v>279</v>
      </c>
      <c r="Y38" s="149" t="s">
        <v>279</v>
      </c>
      <c r="Z38" s="149" t="s">
        <v>279</v>
      </c>
      <c r="AA38" s="149" t="s">
        <v>279</v>
      </c>
      <c r="AB38" s="149" t="s">
        <v>279</v>
      </c>
      <c r="AC38" s="149" t="s">
        <v>279</v>
      </c>
      <c r="AD38" s="149" t="s">
        <v>279</v>
      </c>
      <c r="AE38" s="149" t="s">
        <v>279</v>
      </c>
      <c r="AF38" s="149" t="s">
        <v>279</v>
      </c>
      <c r="AG38" s="149" t="s">
        <v>279</v>
      </c>
      <c r="AH38" s="149" t="s">
        <v>279</v>
      </c>
      <c r="AI38" s="149" t="s">
        <v>279</v>
      </c>
      <c r="AJ38" s="149" t="s">
        <v>279</v>
      </c>
      <c r="AK38" s="149" t="s">
        <v>279</v>
      </c>
      <c r="AL38" s="149" t="s">
        <v>279</v>
      </c>
      <c r="AM38" s="149" t="s">
        <v>279</v>
      </c>
      <c r="AN38" s="149" t="s">
        <v>279</v>
      </c>
      <c r="AO38" s="149" t="s">
        <v>279</v>
      </c>
      <c r="AP38" s="149" t="s">
        <v>279</v>
      </c>
      <c r="AQ38" s="149"/>
      <c r="AR38" s="149"/>
      <c r="AS38" s="141" t="s">
        <v>302</v>
      </c>
      <c r="AT38" s="134"/>
      <c r="AU38" s="121"/>
      <c r="AV38" s="121"/>
      <c r="AW38" s="155"/>
    </row>
    <row r="39" spans="1:49" s="100" customFormat="1" ht="60">
      <c r="A39" s="182" t="s">
        <v>355</v>
      </c>
      <c r="B39" s="183" t="s">
        <v>356</v>
      </c>
      <c r="C39" s="160" t="s">
        <v>357</v>
      </c>
      <c r="D39" s="170" t="s">
        <v>358</v>
      </c>
      <c r="E39" s="143" t="s">
        <v>275</v>
      </c>
      <c r="F39" s="149" t="s">
        <v>279</v>
      </c>
      <c r="G39" s="149" t="s">
        <v>279</v>
      </c>
      <c r="H39" s="149" t="s">
        <v>279</v>
      </c>
      <c r="I39" s="149" t="s">
        <v>279</v>
      </c>
      <c r="J39" s="149" t="s">
        <v>279</v>
      </c>
      <c r="K39" s="149" t="s">
        <v>279</v>
      </c>
      <c r="L39" s="149" t="s">
        <v>279</v>
      </c>
      <c r="M39" s="149" t="s">
        <v>279</v>
      </c>
      <c r="N39" s="149" t="s">
        <v>279</v>
      </c>
      <c r="O39" s="149" t="s">
        <v>279</v>
      </c>
      <c r="P39" s="149" t="s">
        <v>279</v>
      </c>
      <c r="Q39" s="149" t="s">
        <v>279</v>
      </c>
      <c r="R39" s="149" t="s">
        <v>279</v>
      </c>
      <c r="S39" s="149" t="s">
        <v>279</v>
      </c>
      <c r="T39" s="149" t="s">
        <v>279</v>
      </c>
      <c r="U39" s="149" t="s">
        <v>279</v>
      </c>
      <c r="V39" s="149" t="s">
        <v>279</v>
      </c>
      <c r="W39" s="149" t="s">
        <v>279</v>
      </c>
      <c r="X39" s="149" t="s">
        <v>279</v>
      </c>
      <c r="Y39" s="149" t="s">
        <v>279</v>
      </c>
      <c r="Z39" s="149" t="s">
        <v>279</v>
      </c>
      <c r="AA39" s="149" t="s">
        <v>279</v>
      </c>
      <c r="AB39" s="149" t="s">
        <v>279</v>
      </c>
      <c r="AC39" s="149" t="s">
        <v>279</v>
      </c>
      <c r="AD39" s="149" t="s">
        <v>279</v>
      </c>
      <c r="AE39" s="149" t="s">
        <v>279</v>
      </c>
      <c r="AF39" s="149" t="s">
        <v>279</v>
      </c>
      <c r="AG39" s="149" t="s">
        <v>279</v>
      </c>
      <c r="AH39" s="149" t="s">
        <v>279</v>
      </c>
      <c r="AI39" s="149" t="s">
        <v>279</v>
      </c>
      <c r="AJ39" s="149" t="s">
        <v>279</v>
      </c>
      <c r="AK39" s="149" t="s">
        <v>279</v>
      </c>
      <c r="AL39" s="149" t="s">
        <v>279</v>
      </c>
      <c r="AM39" s="149" t="s">
        <v>279</v>
      </c>
      <c r="AN39" s="149" t="s">
        <v>279</v>
      </c>
      <c r="AO39" s="149" t="s">
        <v>279</v>
      </c>
      <c r="AP39" s="149" t="s">
        <v>279</v>
      </c>
      <c r="AQ39" s="149"/>
      <c r="AR39" s="149"/>
      <c r="AS39" s="141" t="s">
        <v>303</v>
      </c>
      <c r="AT39" s="134"/>
      <c r="AU39" s="121"/>
      <c r="AV39" s="121"/>
      <c r="AW39" s="155"/>
    </row>
    <row r="40" spans="1:49" s="100" customFormat="1" ht="84">
      <c r="A40" s="182" t="s">
        <v>359</v>
      </c>
      <c r="B40" s="183" t="s">
        <v>360</v>
      </c>
      <c r="C40" s="160" t="s">
        <v>357</v>
      </c>
      <c r="D40" s="170" t="s">
        <v>358</v>
      </c>
      <c r="E40" s="143" t="s">
        <v>275</v>
      </c>
      <c r="F40" s="149" t="s">
        <v>279</v>
      </c>
      <c r="G40" s="149" t="s">
        <v>279</v>
      </c>
      <c r="H40" s="149" t="s">
        <v>279</v>
      </c>
      <c r="I40" s="149" t="s">
        <v>279</v>
      </c>
      <c r="J40" s="149" t="s">
        <v>279</v>
      </c>
      <c r="K40" s="149" t="s">
        <v>279</v>
      </c>
      <c r="L40" s="149" t="s">
        <v>279</v>
      </c>
      <c r="M40" s="149" t="s">
        <v>279</v>
      </c>
      <c r="N40" s="149" t="s">
        <v>279</v>
      </c>
      <c r="O40" s="149" t="s">
        <v>279</v>
      </c>
      <c r="P40" s="149" t="s">
        <v>279</v>
      </c>
      <c r="Q40" s="149" t="s">
        <v>279</v>
      </c>
      <c r="R40" s="149" t="s">
        <v>279</v>
      </c>
      <c r="S40" s="149" t="s">
        <v>279</v>
      </c>
      <c r="T40" s="149" t="s">
        <v>279</v>
      </c>
      <c r="U40" s="149" t="s">
        <v>279</v>
      </c>
      <c r="V40" s="149" t="s">
        <v>279</v>
      </c>
      <c r="W40" s="149" t="s">
        <v>279</v>
      </c>
      <c r="X40" s="149" t="s">
        <v>279</v>
      </c>
      <c r="Y40" s="149" t="s">
        <v>279</v>
      </c>
      <c r="Z40" s="149" t="s">
        <v>279</v>
      </c>
      <c r="AA40" s="149" t="s">
        <v>279</v>
      </c>
      <c r="AB40" s="149" t="s">
        <v>279</v>
      </c>
      <c r="AC40" s="149" t="s">
        <v>279</v>
      </c>
      <c r="AD40" s="149" t="s">
        <v>279</v>
      </c>
      <c r="AE40" s="149" t="s">
        <v>279</v>
      </c>
      <c r="AF40" s="149" t="s">
        <v>279</v>
      </c>
      <c r="AG40" s="149" t="s">
        <v>279</v>
      </c>
      <c r="AH40" s="149" t="s">
        <v>279</v>
      </c>
      <c r="AI40" s="149" t="s">
        <v>279</v>
      </c>
      <c r="AJ40" s="149" t="s">
        <v>279</v>
      </c>
      <c r="AK40" s="149" t="s">
        <v>279</v>
      </c>
      <c r="AL40" s="149" t="s">
        <v>279</v>
      </c>
      <c r="AM40" s="149" t="s">
        <v>279</v>
      </c>
      <c r="AN40" s="149" t="s">
        <v>279</v>
      </c>
      <c r="AO40" s="149" t="s">
        <v>279</v>
      </c>
      <c r="AP40" s="149" t="s">
        <v>279</v>
      </c>
      <c r="AQ40" s="149"/>
      <c r="AR40" s="149"/>
      <c r="AS40" s="141" t="s">
        <v>304</v>
      </c>
      <c r="AT40" s="134"/>
      <c r="AU40" s="121"/>
      <c r="AV40" s="121"/>
      <c r="AW40" s="155"/>
    </row>
    <row r="41" spans="1:49" s="100" customFormat="1" ht="60">
      <c r="A41" s="182" t="s">
        <v>361</v>
      </c>
      <c r="B41" s="183" t="s">
        <v>362</v>
      </c>
      <c r="C41" s="160" t="s">
        <v>363</v>
      </c>
      <c r="D41" s="170" t="s">
        <v>364</v>
      </c>
      <c r="E41" s="143" t="s">
        <v>275</v>
      </c>
      <c r="F41" s="149" t="s">
        <v>279</v>
      </c>
      <c r="G41" s="149" t="s">
        <v>279</v>
      </c>
      <c r="H41" s="149" t="s">
        <v>279</v>
      </c>
      <c r="I41" s="149" t="s">
        <v>279</v>
      </c>
      <c r="J41" s="149" t="s">
        <v>279</v>
      </c>
      <c r="K41" s="149" t="s">
        <v>279</v>
      </c>
      <c r="L41" s="149" t="s">
        <v>279</v>
      </c>
      <c r="M41" s="149" t="s">
        <v>279</v>
      </c>
      <c r="N41" s="149" t="s">
        <v>279</v>
      </c>
      <c r="O41" s="149" t="s">
        <v>279</v>
      </c>
      <c r="P41" s="149" t="s">
        <v>279</v>
      </c>
      <c r="Q41" s="149" t="s">
        <v>279</v>
      </c>
      <c r="R41" s="149" t="s">
        <v>279</v>
      </c>
      <c r="S41" s="149" t="s">
        <v>279</v>
      </c>
      <c r="T41" s="149" t="s">
        <v>279</v>
      </c>
      <c r="U41" s="149" t="s">
        <v>279</v>
      </c>
      <c r="V41" s="149" t="s">
        <v>279</v>
      </c>
      <c r="W41" s="149" t="s">
        <v>279</v>
      </c>
      <c r="X41" s="149" t="s">
        <v>279</v>
      </c>
      <c r="Y41" s="149" t="s">
        <v>279</v>
      </c>
      <c r="Z41" s="149" t="s">
        <v>279</v>
      </c>
      <c r="AA41" s="149" t="s">
        <v>279</v>
      </c>
      <c r="AB41" s="149" t="s">
        <v>279</v>
      </c>
      <c r="AC41" s="149" t="s">
        <v>279</v>
      </c>
      <c r="AD41" s="149" t="s">
        <v>279</v>
      </c>
      <c r="AE41" s="149" t="s">
        <v>279</v>
      </c>
      <c r="AF41" s="149" t="s">
        <v>279</v>
      </c>
      <c r="AG41" s="149" t="s">
        <v>279</v>
      </c>
      <c r="AH41" s="149" t="s">
        <v>279</v>
      </c>
      <c r="AI41" s="149" t="s">
        <v>279</v>
      </c>
      <c r="AJ41" s="149" t="s">
        <v>279</v>
      </c>
      <c r="AK41" s="149" t="s">
        <v>279</v>
      </c>
      <c r="AL41" s="149" t="s">
        <v>279</v>
      </c>
      <c r="AM41" s="149" t="s">
        <v>279</v>
      </c>
      <c r="AN41" s="149" t="s">
        <v>279</v>
      </c>
      <c r="AO41" s="149" t="s">
        <v>279</v>
      </c>
      <c r="AP41" s="149" t="s">
        <v>279</v>
      </c>
      <c r="AQ41" s="149"/>
      <c r="AR41" s="149"/>
      <c r="AS41" s="141" t="s">
        <v>305</v>
      </c>
      <c r="AT41" s="134"/>
      <c r="AU41" s="121"/>
      <c r="AV41" s="121"/>
      <c r="AW41" s="155"/>
    </row>
    <row r="42" spans="1:49" s="31" customFormat="1" ht="12.75">
      <c r="A42" s="373" t="s">
        <v>365</v>
      </c>
      <c r="B42" s="376" t="s">
        <v>366</v>
      </c>
      <c r="C42" s="379" t="s">
        <v>269</v>
      </c>
      <c r="D42" s="337" t="s">
        <v>367</v>
      </c>
      <c r="E42" s="107" t="s">
        <v>42</v>
      </c>
      <c r="F42" s="123">
        <f>SUM(F43:F45)</f>
        <v>33940.800000000003</v>
      </c>
      <c r="G42" s="123">
        <f t="shared" ref="G42" si="41">SUM(G43:G45)</f>
        <v>556</v>
      </c>
      <c r="H42" s="123">
        <f>G42/F42*100</f>
        <v>1.6381464196483286</v>
      </c>
      <c r="I42" s="132">
        <f>I43+I44+I45</f>
        <v>556</v>
      </c>
      <c r="J42" s="132">
        <f>J43+J44+J45</f>
        <v>556</v>
      </c>
      <c r="K42" s="123">
        <f t="shared" ref="K42:K44" si="42">J42/I42*100</f>
        <v>100</v>
      </c>
      <c r="L42" s="132">
        <f>L43+L44+L45</f>
        <v>2428</v>
      </c>
      <c r="M42" s="132">
        <f>M43+M44+M45</f>
        <v>0</v>
      </c>
      <c r="N42" s="132">
        <f>M42/L42*100</f>
        <v>0</v>
      </c>
      <c r="O42" s="132">
        <f>O43+O44+O45</f>
        <v>2242</v>
      </c>
      <c r="P42" s="132">
        <f>P43+P44+P45</f>
        <v>0</v>
      </c>
      <c r="Q42" s="123">
        <f t="shared" ref="Q42:Q44" si="43">P42/O42*100</f>
        <v>0</v>
      </c>
      <c r="R42" s="132">
        <f>R43+R44+R45</f>
        <v>3060</v>
      </c>
      <c r="S42" s="132">
        <f>S43+S44+S45</f>
        <v>0</v>
      </c>
      <c r="T42" s="132">
        <f>S42/R42*100</f>
        <v>0</v>
      </c>
      <c r="U42" s="132">
        <f t="shared" ref="U42:AP42" si="44">U43+U44+U45</f>
        <v>2489</v>
      </c>
      <c r="V42" s="132">
        <f t="shared" si="44"/>
        <v>0</v>
      </c>
      <c r="W42" s="132">
        <f>V42/U42*100</f>
        <v>0</v>
      </c>
      <c r="X42" s="132">
        <f t="shared" si="44"/>
        <v>2628</v>
      </c>
      <c r="Y42" s="132">
        <f t="shared" si="44"/>
        <v>0</v>
      </c>
      <c r="Z42" s="132">
        <f>Y42/X42*100</f>
        <v>0</v>
      </c>
      <c r="AA42" s="132">
        <f t="shared" si="44"/>
        <v>3576</v>
      </c>
      <c r="AB42" s="132">
        <f t="shared" si="44"/>
        <v>0</v>
      </c>
      <c r="AC42" s="132">
        <f>AB42/AA42*100</f>
        <v>0</v>
      </c>
      <c r="AD42" s="132">
        <f t="shared" si="44"/>
        <v>2569</v>
      </c>
      <c r="AE42" s="132">
        <f t="shared" si="44"/>
        <v>0</v>
      </c>
      <c r="AF42" s="132">
        <f>AE42/AD42*100</f>
        <v>0</v>
      </c>
      <c r="AG42" s="132">
        <f t="shared" si="44"/>
        <v>2544</v>
      </c>
      <c r="AH42" s="132">
        <f t="shared" si="44"/>
        <v>0</v>
      </c>
      <c r="AI42" s="117">
        <f>AH42/AG42*100</f>
        <v>0</v>
      </c>
      <c r="AJ42" s="132">
        <f t="shared" si="44"/>
        <v>2984</v>
      </c>
      <c r="AK42" s="132">
        <f t="shared" si="44"/>
        <v>0</v>
      </c>
      <c r="AL42" s="132">
        <f t="shared" si="44"/>
        <v>0</v>
      </c>
      <c r="AM42" s="132">
        <f t="shared" si="44"/>
        <v>2265.6</v>
      </c>
      <c r="AN42" s="132">
        <f t="shared" si="44"/>
        <v>0</v>
      </c>
      <c r="AO42" s="132">
        <f t="shared" si="44"/>
        <v>0</v>
      </c>
      <c r="AP42" s="132">
        <f t="shared" si="44"/>
        <v>6599.2</v>
      </c>
      <c r="AQ42" s="104"/>
      <c r="AR42" s="104"/>
      <c r="AS42" s="340" t="s">
        <v>310</v>
      </c>
      <c r="AT42" s="382"/>
      <c r="AU42" s="121"/>
      <c r="AV42" s="121"/>
      <c r="AW42" s="155"/>
    </row>
    <row r="43" spans="1:49" s="31" customFormat="1" ht="36">
      <c r="A43" s="374"/>
      <c r="B43" s="377"/>
      <c r="C43" s="380"/>
      <c r="D43" s="338"/>
      <c r="E43" s="108" t="s">
        <v>3</v>
      </c>
      <c r="F43" s="123">
        <f>I43+L43+O43+R43+U43+X43+AA43+AD43+AG43+AJ43+AM43+AP43</f>
        <v>30600.9</v>
      </c>
      <c r="G43" s="123">
        <f>J43+M43+P43+S43+V43+Y43+AB43+AE43+AH43+AK43+AN43+AQ43</f>
        <v>0</v>
      </c>
      <c r="H43" s="123">
        <f>G43/F43*100</f>
        <v>0</v>
      </c>
      <c r="I43" s="123">
        <v>0</v>
      </c>
      <c r="J43" s="123">
        <v>0</v>
      </c>
      <c r="K43" s="123" t="e">
        <f t="shared" si="42"/>
        <v>#DIV/0!</v>
      </c>
      <c r="L43" s="150">
        <v>2178</v>
      </c>
      <c r="M43" s="123">
        <v>0</v>
      </c>
      <c r="N43" s="138">
        <f t="shared" ref="N43:N44" si="45">M43/L43*100</f>
        <v>0</v>
      </c>
      <c r="O43" s="123">
        <v>1989</v>
      </c>
      <c r="P43" s="123">
        <v>0</v>
      </c>
      <c r="Q43" s="123">
        <f t="shared" si="43"/>
        <v>0</v>
      </c>
      <c r="R43" s="123">
        <v>3010</v>
      </c>
      <c r="S43" s="123">
        <v>0</v>
      </c>
      <c r="T43" s="132">
        <f t="shared" ref="T43:T44" si="46">S43/R43*100</f>
        <v>0</v>
      </c>
      <c r="U43" s="117">
        <v>2037</v>
      </c>
      <c r="V43" s="117">
        <v>0</v>
      </c>
      <c r="W43" s="132">
        <f t="shared" ref="W43:W44" si="47">V43/U43*100</f>
        <v>0</v>
      </c>
      <c r="X43" s="117">
        <v>2578</v>
      </c>
      <c r="Y43" s="117">
        <v>0</v>
      </c>
      <c r="Z43" s="117">
        <f>Y43/X43*100</f>
        <v>0</v>
      </c>
      <c r="AA43" s="117">
        <v>3526</v>
      </c>
      <c r="AB43" s="117">
        <v>0</v>
      </c>
      <c r="AC43" s="117">
        <f>AB43/AA43*100</f>
        <v>0</v>
      </c>
      <c r="AD43" s="117">
        <v>2117</v>
      </c>
      <c r="AE43" s="117">
        <v>0</v>
      </c>
      <c r="AF43" s="117">
        <f>AE43/AD43*100</f>
        <v>0</v>
      </c>
      <c r="AG43" s="117">
        <v>2494</v>
      </c>
      <c r="AH43" s="117">
        <v>0</v>
      </c>
      <c r="AI43" s="117">
        <f>AH43/AG43*100</f>
        <v>0</v>
      </c>
      <c r="AJ43" s="123">
        <v>2934</v>
      </c>
      <c r="AK43" s="123">
        <v>0</v>
      </c>
      <c r="AL43" s="123">
        <v>0</v>
      </c>
      <c r="AM43" s="117">
        <v>1812</v>
      </c>
      <c r="AN43" s="117">
        <v>0</v>
      </c>
      <c r="AO43" s="117">
        <v>0</v>
      </c>
      <c r="AP43" s="123">
        <v>5925.9</v>
      </c>
      <c r="AQ43" s="104"/>
      <c r="AR43" s="104"/>
      <c r="AS43" s="341"/>
      <c r="AT43" s="383"/>
      <c r="AU43" s="121"/>
      <c r="AV43" s="121"/>
      <c r="AW43" s="155"/>
    </row>
    <row r="44" spans="1:49" s="31" customFormat="1" ht="12.75">
      <c r="A44" s="374"/>
      <c r="B44" s="377"/>
      <c r="C44" s="380"/>
      <c r="D44" s="338"/>
      <c r="E44" s="108" t="s">
        <v>44</v>
      </c>
      <c r="F44" s="123">
        <f t="shared" ref="F44:G45" si="48">I44+L44+O44+R44+U44+X44+AA44+AD44+AG44+AJ44+AM44+AP44</f>
        <v>3339.8999999999996</v>
      </c>
      <c r="G44" s="123">
        <f t="shared" si="48"/>
        <v>556</v>
      </c>
      <c r="H44" s="123">
        <f>G44/F44*100</f>
        <v>16.647205006137909</v>
      </c>
      <c r="I44" s="123">
        <v>556</v>
      </c>
      <c r="J44" s="123">
        <v>556</v>
      </c>
      <c r="K44" s="123">
        <f t="shared" si="42"/>
        <v>100</v>
      </c>
      <c r="L44" s="150">
        <v>250</v>
      </c>
      <c r="M44" s="123">
        <v>0</v>
      </c>
      <c r="N44" s="138">
        <f t="shared" si="45"/>
        <v>0</v>
      </c>
      <c r="O44" s="123">
        <v>253</v>
      </c>
      <c r="P44" s="123">
        <v>0</v>
      </c>
      <c r="Q44" s="123">
        <f t="shared" si="43"/>
        <v>0</v>
      </c>
      <c r="R44" s="123">
        <v>50</v>
      </c>
      <c r="S44" s="123">
        <v>0</v>
      </c>
      <c r="T44" s="132">
        <f t="shared" si="46"/>
        <v>0</v>
      </c>
      <c r="U44" s="117">
        <v>452</v>
      </c>
      <c r="V44" s="117">
        <v>0</v>
      </c>
      <c r="W44" s="132">
        <f t="shared" si="47"/>
        <v>0</v>
      </c>
      <c r="X44" s="117">
        <v>50</v>
      </c>
      <c r="Y44" s="117">
        <v>0</v>
      </c>
      <c r="Z44" s="117">
        <f>Y44/X44*100</f>
        <v>0</v>
      </c>
      <c r="AA44" s="117">
        <v>50</v>
      </c>
      <c r="AB44" s="117">
        <v>0</v>
      </c>
      <c r="AC44" s="117">
        <f>AB44/AA44*100</f>
        <v>0</v>
      </c>
      <c r="AD44" s="117">
        <v>452</v>
      </c>
      <c r="AE44" s="117">
        <v>0</v>
      </c>
      <c r="AF44" s="117">
        <f>AE44/AD44*100</f>
        <v>0</v>
      </c>
      <c r="AG44" s="117">
        <v>50</v>
      </c>
      <c r="AH44" s="117">
        <v>0</v>
      </c>
      <c r="AI44" s="117">
        <f>AH44/AG44*100</f>
        <v>0</v>
      </c>
      <c r="AJ44" s="123">
        <v>50</v>
      </c>
      <c r="AK44" s="123">
        <v>0</v>
      </c>
      <c r="AL44" s="123">
        <v>0</v>
      </c>
      <c r="AM44" s="117">
        <v>453.6</v>
      </c>
      <c r="AN44" s="117">
        <v>0</v>
      </c>
      <c r="AO44" s="117">
        <v>0</v>
      </c>
      <c r="AP44" s="123">
        <v>673.3</v>
      </c>
      <c r="AQ44" s="104"/>
      <c r="AR44" s="104"/>
      <c r="AS44" s="341"/>
      <c r="AT44" s="383"/>
      <c r="AU44" s="121"/>
      <c r="AV44" s="121"/>
      <c r="AW44" s="155"/>
    </row>
    <row r="45" spans="1:49" s="31" customFormat="1" ht="24">
      <c r="A45" s="375"/>
      <c r="B45" s="378"/>
      <c r="C45" s="381"/>
      <c r="D45" s="339"/>
      <c r="E45" s="109" t="s">
        <v>257</v>
      </c>
      <c r="F45" s="123">
        <f t="shared" si="48"/>
        <v>0</v>
      </c>
      <c r="G45" s="123">
        <f t="shared" si="48"/>
        <v>0</v>
      </c>
      <c r="H45" s="123">
        <v>0</v>
      </c>
      <c r="I45" s="123">
        <v>0</v>
      </c>
      <c r="J45" s="123">
        <v>0</v>
      </c>
      <c r="K45" s="123">
        <v>0</v>
      </c>
      <c r="L45" s="150">
        <v>0</v>
      </c>
      <c r="M45" s="123">
        <v>0</v>
      </c>
      <c r="N45" s="123">
        <v>0</v>
      </c>
      <c r="O45" s="123">
        <v>0</v>
      </c>
      <c r="P45" s="123">
        <v>0</v>
      </c>
      <c r="Q45" s="123">
        <v>0</v>
      </c>
      <c r="R45" s="123">
        <v>0</v>
      </c>
      <c r="S45" s="123">
        <v>0</v>
      </c>
      <c r="T45" s="124">
        <v>0</v>
      </c>
      <c r="U45" s="117">
        <v>0</v>
      </c>
      <c r="V45" s="117">
        <v>0</v>
      </c>
      <c r="W45" s="117">
        <v>0</v>
      </c>
      <c r="X45" s="117">
        <v>0</v>
      </c>
      <c r="Y45" s="117">
        <v>0</v>
      </c>
      <c r="Z45" s="117">
        <v>0</v>
      </c>
      <c r="AA45" s="117">
        <v>0</v>
      </c>
      <c r="AB45" s="117">
        <v>0</v>
      </c>
      <c r="AC45" s="117">
        <v>0</v>
      </c>
      <c r="AD45" s="117">
        <v>0</v>
      </c>
      <c r="AE45" s="117">
        <v>0</v>
      </c>
      <c r="AF45" s="117">
        <v>0</v>
      </c>
      <c r="AG45" s="117">
        <v>0</v>
      </c>
      <c r="AH45" s="117">
        <v>0</v>
      </c>
      <c r="AI45" s="117">
        <v>0</v>
      </c>
      <c r="AJ45" s="123">
        <v>0</v>
      </c>
      <c r="AK45" s="123">
        <v>0</v>
      </c>
      <c r="AL45" s="123">
        <v>0</v>
      </c>
      <c r="AM45" s="117">
        <v>0</v>
      </c>
      <c r="AN45" s="117">
        <v>0</v>
      </c>
      <c r="AO45" s="117">
        <v>0</v>
      </c>
      <c r="AP45" s="123">
        <v>0</v>
      </c>
      <c r="AQ45" s="104"/>
      <c r="AR45" s="104"/>
      <c r="AS45" s="342"/>
      <c r="AT45" s="384"/>
      <c r="AU45" s="121"/>
      <c r="AV45" s="121"/>
      <c r="AW45" s="155"/>
    </row>
    <row r="46" spans="1:49" s="31" customFormat="1" ht="15.75">
      <c r="A46" s="352" t="s">
        <v>368</v>
      </c>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4"/>
      <c r="AU46" s="121"/>
      <c r="AV46" s="121"/>
      <c r="AW46" s="155"/>
    </row>
    <row r="47" spans="1:49" s="31" customFormat="1" ht="15.75">
      <c r="A47" s="352" t="s">
        <v>369</v>
      </c>
      <c r="B47" s="353"/>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4"/>
      <c r="AU47" s="121"/>
      <c r="AV47" s="121"/>
      <c r="AW47" s="155"/>
    </row>
    <row r="48" spans="1:49" s="100" customFormat="1" ht="12.75">
      <c r="A48" s="407" t="s">
        <v>270</v>
      </c>
      <c r="B48" s="408"/>
      <c r="C48" s="408"/>
      <c r="D48" s="409"/>
      <c r="E48" s="202" t="s">
        <v>42</v>
      </c>
      <c r="F48" s="203">
        <f>F49+F50+F51</f>
        <v>599.4</v>
      </c>
      <c r="G48" s="203">
        <f t="shared" ref="G48:AR48" si="49">G49+G50+G51</f>
        <v>0</v>
      </c>
      <c r="H48" s="203">
        <f>G48/F48*100</f>
        <v>0</v>
      </c>
      <c r="I48" s="203">
        <f t="shared" si="49"/>
        <v>0</v>
      </c>
      <c r="J48" s="203">
        <f t="shared" si="49"/>
        <v>0</v>
      </c>
      <c r="K48" s="203">
        <v>0</v>
      </c>
      <c r="L48" s="203">
        <f t="shared" si="49"/>
        <v>0</v>
      </c>
      <c r="M48" s="203">
        <f t="shared" si="49"/>
        <v>0</v>
      </c>
      <c r="N48" s="203">
        <v>0</v>
      </c>
      <c r="O48" s="203">
        <f t="shared" si="49"/>
        <v>119.8</v>
      </c>
      <c r="P48" s="203">
        <f t="shared" si="49"/>
        <v>0</v>
      </c>
      <c r="Q48" s="203">
        <f>P48/O48*100</f>
        <v>0</v>
      </c>
      <c r="R48" s="203">
        <f t="shared" si="49"/>
        <v>0</v>
      </c>
      <c r="S48" s="203">
        <f t="shared" si="49"/>
        <v>0</v>
      </c>
      <c r="T48" s="203">
        <v>0</v>
      </c>
      <c r="U48" s="203">
        <f t="shared" si="49"/>
        <v>0</v>
      </c>
      <c r="V48" s="203">
        <f t="shared" si="49"/>
        <v>0</v>
      </c>
      <c r="W48" s="203">
        <f t="shared" si="49"/>
        <v>0</v>
      </c>
      <c r="X48" s="203">
        <f t="shared" si="49"/>
        <v>179.7</v>
      </c>
      <c r="Y48" s="203">
        <f t="shared" si="49"/>
        <v>0</v>
      </c>
      <c r="Z48" s="203">
        <f t="shared" si="49"/>
        <v>0</v>
      </c>
      <c r="AA48" s="203">
        <f t="shared" si="49"/>
        <v>0</v>
      </c>
      <c r="AB48" s="203">
        <f t="shared" si="49"/>
        <v>0</v>
      </c>
      <c r="AC48" s="203">
        <f t="shared" si="49"/>
        <v>0</v>
      </c>
      <c r="AD48" s="203">
        <f t="shared" si="49"/>
        <v>0</v>
      </c>
      <c r="AE48" s="203">
        <f t="shared" si="49"/>
        <v>0</v>
      </c>
      <c r="AF48" s="203">
        <f t="shared" si="49"/>
        <v>0</v>
      </c>
      <c r="AG48" s="203">
        <f t="shared" si="49"/>
        <v>179.7</v>
      </c>
      <c r="AH48" s="203">
        <f t="shared" si="49"/>
        <v>0</v>
      </c>
      <c r="AI48" s="203">
        <f t="shared" si="49"/>
        <v>0</v>
      </c>
      <c r="AJ48" s="203">
        <f t="shared" si="49"/>
        <v>0</v>
      </c>
      <c r="AK48" s="203">
        <f t="shared" si="49"/>
        <v>0</v>
      </c>
      <c r="AL48" s="203">
        <f t="shared" si="49"/>
        <v>0</v>
      </c>
      <c r="AM48" s="203">
        <f t="shared" si="49"/>
        <v>120.2</v>
      </c>
      <c r="AN48" s="203">
        <f t="shared" si="49"/>
        <v>0</v>
      </c>
      <c r="AO48" s="203">
        <f t="shared" si="49"/>
        <v>0</v>
      </c>
      <c r="AP48" s="203">
        <f t="shared" si="49"/>
        <v>0</v>
      </c>
      <c r="AQ48" s="203">
        <f t="shared" si="49"/>
        <v>0</v>
      </c>
      <c r="AR48" s="203">
        <f t="shared" si="49"/>
        <v>0</v>
      </c>
      <c r="AS48" s="319"/>
      <c r="AT48" s="364"/>
      <c r="AU48" s="121"/>
      <c r="AV48" s="121"/>
      <c r="AW48" s="155"/>
    </row>
    <row r="49" spans="1:49" s="100" customFormat="1" ht="36">
      <c r="A49" s="410"/>
      <c r="B49" s="411"/>
      <c r="C49" s="411"/>
      <c r="D49" s="412"/>
      <c r="E49" s="204" t="s">
        <v>3</v>
      </c>
      <c r="F49" s="203">
        <f>F57</f>
        <v>0</v>
      </c>
      <c r="G49" s="203">
        <f t="shared" ref="G49:AR51" si="50">G57</f>
        <v>0</v>
      </c>
      <c r="H49" s="203">
        <v>0</v>
      </c>
      <c r="I49" s="203">
        <f t="shared" si="50"/>
        <v>0</v>
      </c>
      <c r="J49" s="203">
        <f t="shared" si="50"/>
        <v>0</v>
      </c>
      <c r="K49" s="203">
        <v>0</v>
      </c>
      <c r="L49" s="203">
        <f t="shared" si="50"/>
        <v>0</v>
      </c>
      <c r="M49" s="203">
        <f t="shared" si="50"/>
        <v>0</v>
      </c>
      <c r="N49" s="203">
        <v>0</v>
      </c>
      <c r="O49" s="203">
        <f t="shared" si="50"/>
        <v>0</v>
      </c>
      <c r="P49" s="203">
        <f t="shared" si="50"/>
        <v>0</v>
      </c>
      <c r="Q49" s="203">
        <v>0</v>
      </c>
      <c r="R49" s="203">
        <f t="shared" si="50"/>
        <v>0</v>
      </c>
      <c r="S49" s="203">
        <f t="shared" si="50"/>
        <v>0</v>
      </c>
      <c r="T49" s="203">
        <f t="shared" si="50"/>
        <v>0</v>
      </c>
      <c r="U49" s="203">
        <f t="shared" si="50"/>
        <v>0</v>
      </c>
      <c r="V49" s="203">
        <f t="shared" si="50"/>
        <v>0</v>
      </c>
      <c r="W49" s="203">
        <f t="shared" si="50"/>
        <v>0</v>
      </c>
      <c r="X49" s="203">
        <f t="shared" si="50"/>
        <v>0</v>
      </c>
      <c r="Y49" s="203">
        <f t="shared" si="50"/>
        <v>0</v>
      </c>
      <c r="Z49" s="203">
        <f t="shared" si="50"/>
        <v>0</v>
      </c>
      <c r="AA49" s="203">
        <f t="shared" si="50"/>
        <v>0</v>
      </c>
      <c r="AB49" s="203">
        <f t="shared" si="50"/>
        <v>0</v>
      </c>
      <c r="AC49" s="203">
        <f t="shared" si="50"/>
        <v>0</v>
      </c>
      <c r="AD49" s="203">
        <f t="shared" si="50"/>
        <v>0</v>
      </c>
      <c r="AE49" s="203">
        <f t="shared" si="50"/>
        <v>0</v>
      </c>
      <c r="AF49" s="203">
        <f t="shared" si="50"/>
        <v>0</v>
      </c>
      <c r="AG49" s="203">
        <f t="shared" si="50"/>
        <v>0</v>
      </c>
      <c r="AH49" s="203">
        <f t="shared" si="50"/>
        <v>0</v>
      </c>
      <c r="AI49" s="203">
        <f t="shared" si="50"/>
        <v>0</v>
      </c>
      <c r="AJ49" s="203">
        <f t="shared" si="50"/>
        <v>0</v>
      </c>
      <c r="AK49" s="203">
        <f t="shared" si="50"/>
        <v>0</v>
      </c>
      <c r="AL49" s="203">
        <f t="shared" si="50"/>
        <v>0</v>
      </c>
      <c r="AM49" s="203">
        <f t="shared" si="50"/>
        <v>0</v>
      </c>
      <c r="AN49" s="203">
        <f t="shared" si="50"/>
        <v>0</v>
      </c>
      <c r="AO49" s="203">
        <f t="shared" si="50"/>
        <v>0</v>
      </c>
      <c r="AP49" s="203">
        <f t="shared" si="50"/>
        <v>0</v>
      </c>
      <c r="AQ49" s="203">
        <f t="shared" si="50"/>
        <v>0</v>
      </c>
      <c r="AR49" s="203">
        <f t="shared" si="50"/>
        <v>0</v>
      </c>
      <c r="AS49" s="320"/>
      <c r="AT49" s="365"/>
      <c r="AU49" s="121"/>
      <c r="AV49" s="121"/>
      <c r="AW49" s="155"/>
    </row>
    <row r="50" spans="1:49" s="100" customFormat="1" ht="24">
      <c r="A50" s="410"/>
      <c r="B50" s="411"/>
      <c r="C50" s="411"/>
      <c r="D50" s="412"/>
      <c r="E50" s="204" t="s">
        <v>44</v>
      </c>
      <c r="F50" s="203">
        <f>F58</f>
        <v>599.4</v>
      </c>
      <c r="G50" s="203">
        <f t="shared" si="50"/>
        <v>0</v>
      </c>
      <c r="H50" s="203">
        <f>G50/F50*100</f>
        <v>0</v>
      </c>
      <c r="I50" s="203">
        <f t="shared" si="50"/>
        <v>0</v>
      </c>
      <c r="J50" s="203">
        <f t="shared" si="50"/>
        <v>0</v>
      </c>
      <c r="K50" s="203">
        <v>0</v>
      </c>
      <c r="L50" s="203">
        <f t="shared" si="50"/>
        <v>0</v>
      </c>
      <c r="M50" s="203">
        <f t="shared" si="50"/>
        <v>0</v>
      </c>
      <c r="N50" s="203">
        <v>0</v>
      </c>
      <c r="O50" s="203">
        <f t="shared" si="50"/>
        <v>119.8</v>
      </c>
      <c r="P50" s="203">
        <f t="shared" si="50"/>
        <v>0</v>
      </c>
      <c r="Q50" s="203">
        <f t="shared" ref="Q50" si="51">P50/O50*100</f>
        <v>0</v>
      </c>
      <c r="R50" s="203">
        <f t="shared" si="50"/>
        <v>0</v>
      </c>
      <c r="S50" s="203">
        <f t="shared" si="50"/>
        <v>0</v>
      </c>
      <c r="T50" s="203">
        <f t="shared" si="50"/>
        <v>0</v>
      </c>
      <c r="U50" s="203">
        <f t="shared" si="50"/>
        <v>0</v>
      </c>
      <c r="V50" s="203">
        <f t="shared" si="50"/>
        <v>0</v>
      </c>
      <c r="W50" s="203">
        <f t="shared" si="50"/>
        <v>0</v>
      </c>
      <c r="X50" s="203">
        <f t="shared" si="50"/>
        <v>179.7</v>
      </c>
      <c r="Y50" s="203">
        <f t="shared" si="50"/>
        <v>0</v>
      </c>
      <c r="Z50" s="203">
        <f t="shared" si="50"/>
        <v>0</v>
      </c>
      <c r="AA50" s="203">
        <f t="shared" si="50"/>
        <v>0</v>
      </c>
      <c r="AB50" s="203">
        <f t="shared" si="50"/>
        <v>0</v>
      </c>
      <c r="AC50" s="203">
        <f t="shared" si="50"/>
        <v>0</v>
      </c>
      <c r="AD50" s="203">
        <f t="shared" si="50"/>
        <v>0</v>
      </c>
      <c r="AE50" s="203">
        <f t="shared" si="50"/>
        <v>0</v>
      </c>
      <c r="AF50" s="203">
        <f t="shared" si="50"/>
        <v>0</v>
      </c>
      <c r="AG50" s="203">
        <f t="shared" si="50"/>
        <v>179.7</v>
      </c>
      <c r="AH50" s="203">
        <f t="shared" si="50"/>
        <v>0</v>
      </c>
      <c r="AI50" s="203">
        <f t="shared" si="50"/>
        <v>0</v>
      </c>
      <c r="AJ50" s="203">
        <f t="shared" si="50"/>
        <v>0</v>
      </c>
      <c r="AK50" s="203">
        <f t="shared" si="50"/>
        <v>0</v>
      </c>
      <c r="AL50" s="203">
        <f t="shared" si="50"/>
        <v>0</v>
      </c>
      <c r="AM50" s="203">
        <f t="shared" si="50"/>
        <v>120.2</v>
      </c>
      <c r="AN50" s="203">
        <f t="shared" si="50"/>
        <v>0</v>
      </c>
      <c r="AO50" s="203">
        <f t="shared" si="50"/>
        <v>0</v>
      </c>
      <c r="AP50" s="203">
        <f t="shared" si="50"/>
        <v>0</v>
      </c>
      <c r="AQ50" s="203">
        <f t="shared" si="50"/>
        <v>0</v>
      </c>
      <c r="AR50" s="203">
        <f t="shared" si="50"/>
        <v>0</v>
      </c>
      <c r="AS50" s="320"/>
      <c r="AT50" s="365"/>
      <c r="AU50" s="121"/>
      <c r="AV50" s="121"/>
      <c r="AW50" s="155"/>
    </row>
    <row r="51" spans="1:49" s="100" customFormat="1" ht="24">
      <c r="A51" s="413"/>
      <c r="B51" s="414"/>
      <c r="C51" s="414"/>
      <c r="D51" s="415"/>
      <c r="E51" s="205" t="s">
        <v>257</v>
      </c>
      <c r="F51" s="203">
        <f>F59</f>
        <v>0</v>
      </c>
      <c r="G51" s="203">
        <f t="shared" si="50"/>
        <v>0</v>
      </c>
      <c r="H51" s="203">
        <v>0</v>
      </c>
      <c r="I51" s="203">
        <f t="shared" si="50"/>
        <v>0</v>
      </c>
      <c r="J51" s="203">
        <f t="shared" si="50"/>
        <v>0</v>
      </c>
      <c r="K51" s="203">
        <f t="shared" si="50"/>
        <v>0</v>
      </c>
      <c r="L51" s="203">
        <f t="shared" si="50"/>
        <v>0</v>
      </c>
      <c r="M51" s="203">
        <f t="shared" si="50"/>
        <v>0</v>
      </c>
      <c r="N51" s="203">
        <v>0</v>
      </c>
      <c r="O51" s="203">
        <f t="shared" si="50"/>
        <v>0</v>
      </c>
      <c r="P51" s="203">
        <f t="shared" si="50"/>
        <v>0</v>
      </c>
      <c r="Q51" s="203">
        <f t="shared" si="50"/>
        <v>0</v>
      </c>
      <c r="R51" s="203">
        <f t="shared" si="50"/>
        <v>0</v>
      </c>
      <c r="S51" s="203">
        <f t="shared" si="50"/>
        <v>0</v>
      </c>
      <c r="T51" s="203">
        <f t="shared" si="50"/>
        <v>0</v>
      </c>
      <c r="U51" s="203">
        <f t="shared" si="50"/>
        <v>0</v>
      </c>
      <c r="V51" s="203">
        <f t="shared" si="50"/>
        <v>0</v>
      </c>
      <c r="W51" s="203">
        <f t="shared" si="50"/>
        <v>0</v>
      </c>
      <c r="X51" s="203">
        <f t="shared" si="50"/>
        <v>0</v>
      </c>
      <c r="Y51" s="203">
        <f t="shared" si="50"/>
        <v>0</v>
      </c>
      <c r="Z51" s="203">
        <f t="shared" si="50"/>
        <v>0</v>
      </c>
      <c r="AA51" s="203">
        <f t="shared" si="50"/>
        <v>0</v>
      </c>
      <c r="AB51" s="203">
        <f t="shared" si="50"/>
        <v>0</v>
      </c>
      <c r="AC51" s="203">
        <f t="shared" si="50"/>
        <v>0</v>
      </c>
      <c r="AD51" s="203">
        <f t="shared" si="50"/>
        <v>0</v>
      </c>
      <c r="AE51" s="203">
        <f t="shared" si="50"/>
        <v>0</v>
      </c>
      <c r="AF51" s="203">
        <f t="shared" si="50"/>
        <v>0</v>
      </c>
      <c r="AG51" s="203">
        <f t="shared" si="50"/>
        <v>0</v>
      </c>
      <c r="AH51" s="203">
        <f t="shared" si="50"/>
        <v>0</v>
      </c>
      <c r="AI51" s="203">
        <f t="shared" si="50"/>
        <v>0</v>
      </c>
      <c r="AJ51" s="203">
        <f t="shared" si="50"/>
        <v>0</v>
      </c>
      <c r="AK51" s="203">
        <f t="shared" si="50"/>
        <v>0</v>
      </c>
      <c r="AL51" s="203">
        <f t="shared" si="50"/>
        <v>0</v>
      </c>
      <c r="AM51" s="203">
        <f t="shared" si="50"/>
        <v>0</v>
      </c>
      <c r="AN51" s="203">
        <f t="shared" si="50"/>
        <v>0</v>
      </c>
      <c r="AO51" s="203">
        <f t="shared" si="50"/>
        <v>0</v>
      </c>
      <c r="AP51" s="203">
        <f t="shared" si="50"/>
        <v>0</v>
      </c>
      <c r="AQ51" s="203">
        <f t="shared" si="50"/>
        <v>0</v>
      </c>
      <c r="AR51" s="203">
        <f t="shared" si="50"/>
        <v>0</v>
      </c>
      <c r="AS51" s="321"/>
      <c r="AT51" s="366"/>
      <c r="AU51" s="121"/>
      <c r="AV51" s="121"/>
      <c r="AW51" s="155"/>
    </row>
    <row r="52" spans="1:49" s="100" customFormat="1" ht="84">
      <c r="A52" s="133" t="s">
        <v>370</v>
      </c>
      <c r="B52" s="161" t="s">
        <v>371</v>
      </c>
      <c r="C52" s="162" t="s">
        <v>276</v>
      </c>
      <c r="D52" s="172" t="s">
        <v>372</v>
      </c>
      <c r="E52" s="109" t="s">
        <v>275</v>
      </c>
      <c r="F52" s="203" t="s">
        <v>279</v>
      </c>
      <c r="G52" s="203" t="s">
        <v>279</v>
      </c>
      <c r="H52" s="203" t="s">
        <v>279</v>
      </c>
      <c r="I52" s="203" t="s">
        <v>279</v>
      </c>
      <c r="J52" s="203" t="s">
        <v>279</v>
      </c>
      <c r="K52" s="203" t="s">
        <v>279</v>
      </c>
      <c r="L52" s="203" t="s">
        <v>279</v>
      </c>
      <c r="M52" s="203" t="s">
        <v>279</v>
      </c>
      <c r="N52" s="203" t="s">
        <v>279</v>
      </c>
      <c r="O52" s="203" t="s">
        <v>279</v>
      </c>
      <c r="P52" s="203" t="s">
        <v>279</v>
      </c>
      <c r="Q52" s="203" t="s">
        <v>279</v>
      </c>
      <c r="R52" s="203" t="s">
        <v>279</v>
      </c>
      <c r="S52" s="203" t="s">
        <v>279</v>
      </c>
      <c r="T52" s="203" t="s">
        <v>279</v>
      </c>
      <c r="U52" s="203" t="s">
        <v>279</v>
      </c>
      <c r="V52" s="203" t="s">
        <v>279</v>
      </c>
      <c r="W52" s="203" t="s">
        <v>279</v>
      </c>
      <c r="X52" s="203" t="s">
        <v>279</v>
      </c>
      <c r="Y52" s="203" t="s">
        <v>279</v>
      </c>
      <c r="Z52" s="203" t="s">
        <v>279</v>
      </c>
      <c r="AA52" s="203" t="s">
        <v>279</v>
      </c>
      <c r="AB52" s="203" t="s">
        <v>279</v>
      </c>
      <c r="AC52" s="203" t="s">
        <v>279</v>
      </c>
      <c r="AD52" s="203" t="s">
        <v>279</v>
      </c>
      <c r="AE52" s="203" t="s">
        <v>279</v>
      </c>
      <c r="AF52" s="203" t="s">
        <v>279</v>
      </c>
      <c r="AG52" s="203" t="s">
        <v>279</v>
      </c>
      <c r="AH52" s="203" t="s">
        <v>279</v>
      </c>
      <c r="AI52" s="203" t="s">
        <v>279</v>
      </c>
      <c r="AJ52" s="203" t="s">
        <v>279</v>
      </c>
      <c r="AK52" s="203" t="s">
        <v>279</v>
      </c>
      <c r="AL52" s="203" t="s">
        <v>279</v>
      </c>
      <c r="AM52" s="203" t="s">
        <v>279</v>
      </c>
      <c r="AN52" s="203" t="s">
        <v>279</v>
      </c>
      <c r="AO52" s="203" t="s">
        <v>279</v>
      </c>
      <c r="AP52" s="203" t="s">
        <v>279</v>
      </c>
      <c r="AQ52" s="203" t="s">
        <v>279</v>
      </c>
      <c r="AR52" s="203" t="s">
        <v>279</v>
      </c>
      <c r="AS52" s="145" t="s">
        <v>311</v>
      </c>
      <c r="AT52" s="198"/>
      <c r="AU52" s="121"/>
      <c r="AV52" s="121"/>
      <c r="AW52" s="155"/>
    </row>
    <row r="53" spans="1:49" s="100" customFormat="1" ht="264">
      <c r="A53" s="199" t="s">
        <v>373</v>
      </c>
      <c r="B53" s="161" t="s">
        <v>374</v>
      </c>
      <c r="C53" s="162" t="s">
        <v>375</v>
      </c>
      <c r="D53" s="172" t="s">
        <v>376</v>
      </c>
      <c r="E53" s="109" t="s">
        <v>275</v>
      </c>
      <c r="F53" s="203" t="s">
        <v>279</v>
      </c>
      <c r="G53" s="203" t="s">
        <v>279</v>
      </c>
      <c r="H53" s="203" t="s">
        <v>279</v>
      </c>
      <c r="I53" s="203" t="s">
        <v>279</v>
      </c>
      <c r="J53" s="203" t="s">
        <v>279</v>
      </c>
      <c r="K53" s="203" t="s">
        <v>279</v>
      </c>
      <c r="L53" s="203" t="s">
        <v>279</v>
      </c>
      <c r="M53" s="203" t="s">
        <v>279</v>
      </c>
      <c r="N53" s="203" t="s">
        <v>279</v>
      </c>
      <c r="O53" s="203" t="s">
        <v>279</v>
      </c>
      <c r="P53" s="203" t="s">
        <v>279</v>
      </c>
      <c r="Q53" s="203" t="s">
        <v>279</v>
      </c>
      <c r="R53" s="203" t="s">
        <v>279</v>
      </c>
      <c r="S53" s="203" t="s">
        <v>279</v>
      </c>
      <c r="T53" s="203" t="s">
        <v>279</v>
      </c>
      <c r="U53" s="203" t="s">
        <v>279</v>
      </c>
      <c r="V53" s="203" t="s">
        <v>279</v>
      </c>
      <c r="W53" s="203" t="s">
        <v>279</v>
      </c>
      <c r="X53" s="203" t="s">
        <v>279</v>
      </c>
      <c r="Y53" s="203" t="s">
        <v>279</v>
      </c>
      <c r="Z53" s="203" t="s">
        <v>279</v>
      </c>
      <c r="AA53" s="203" t="s">
        <v>279</v>
      </c>
      <c r="AB53" s="203" t="s">
        <v>279</v>
      </c>
      <c r="AC53" s="203" t="s">
        <v>279</v>
      </c>
      <c r="AD53" s="203" t="s">
        <v>279</v>
      </c>
      <c r="AE53" s="203" t="s">
        <v>279</v>
      </c>
      <c r="AF53" s="203" t="s">
        <v>279</v>
      </c>
      <c r="AG53" s="203" t="s">
        <v>279</v>
      </c>
      <c r="AH53" s="203" t="s">
        <v>279</v>
      </c>
      <c r="AI53" s="203" t="s">
        <v>279</v>
      </c>
      <c r="AJ53" s="203" t="s">
        <v>279</v>
      </c>
      <c r="AK53" s="203" t="s">
        <v>279</v>
      </c>
      <c r="AL53" s="203" t="s">
        <v>279</v>
      </c>
      <c r="AM53" s="203" t="s">
        <v>279</v>
      </c>
      <c r="AN53" s="203" t="s">
        <v>279</v>
      </c>
      <c r="AO53" s="203" t="s">
        <v>279</v>
      </c>
      <c r="AP53" s="203" t="s">
        <v>279</v>
      </c>
      <c r="AQ53" s="203" t="s">
        <v>279</v>
      </c>
      <c r="AR53" s="203" t="s">
        <v>279</v>
      </c>
      <c r="AS53" s="201" t="s">
        <v>306</v>
      </c>
      <c r="AT53" s="134"/>
      <c r="AU53" s="121"/>
      <c r="AV53" s="121"/>
      <c r="AW53" s="155"/>
    </row>
    <row r="54" spans="1:49" s="100" customFormat="1" ht="72">
      <c r="A54" s="133" t="s">
        <v>377</v>
      </c>
      <c r="B54" s="200" t="s">
        <v>378</v>
      </c>
      <c r="C54" s="162" t="s">
        <v>276</v>
      </c>
      <c r="D54" s="172" t="s">
        <v>379</v>
      </c>
      <c r="E54" s="109" t="s">
        <v>275</v>
      </c>
      <c r="F54" s="203" t="s">
        <v>279</v>
      </c>
      <c r="G54" s="203" t="s">
        <v>279</v>
      </c>
      <c r="H54" s="203" t="s">
        <v>279</v>
      </c>
      <c r="I54" s="203" t="s">
        <v>279</v>
      </c>
      <c r="J54" s="203" t="s">
        <v>279</v>
      </c>
      <c r="K54" s="203" t="s">
        <v>279</v>
      </c>
      <c r="L54" s="203" t="s">
        <v>279</v>
      </c>
      <c r="M54" s="203" t="s">
        <v>279</v>
      </c>
      <c r="N54" s="203" t="s">
        <v>279</v>
      </c>
      <c r="O54" s="203" t="s">
        <v>279</v>
      </c>
      <c r="P54" s="203" t="s">
        <v>279</v>
      </c>
      <c r="Q54" s="203" t="s">
        <v>279</v>
      </c>
      <c r="R54" s="203" t="s">
        <v>279</v>
      </c>
      <c r="S54" s="203" t="s">
        <v>279</v>
      </c>
      <c r="T54" s="203" t="s">
        <v>279</v>
      </c>
      <c r="U54" s="203" t="s">
        <v>279</v>
      </c>
      <c r="V54" s="203" t="s">
        <v>279</v>
      </c>
      <c r="W54" s="203" t="s">
        <v>279</v>
      </c>
      <c r="X54" s="203" t="s">
        <v>279</v>
      </c>
      <c r="Y54" s="203" t="s">
        <v>279</v>
      </c>
      <c r="Z54" s="203" t="s">
        <v>279</v>
      </c>
      <c r="AA54" s="203" t="s">
        <v>279</v>
      </c>
      <c r="AB54" s="203" t="s">
        <v>279</v>
      </c>
      <c r="AC54" s="203" t="s">
        <v>279</v>
      </c>
      <c r="AD54" s="203" t="s">
        <v>279</v>
      </c>
      <c r="AE54" s="203" t="s">
        <v>279</v>
      </c>
      <c r="AF54" s="203" t="s">
        <v>279</v>
      </c>
      <c r="AG54" s="203" t="s">
        <v>279</v>
      </c>
      <c r="AH54" s="203" t="s">
        <v>279</v>
      </c>
      <c r="AI54" s="203" t="s">
        <v>279</v>
      </c>
      <c r="AJ54" s="203" t="s">
        <v>279</v>
      </c>
      <c r="AK54" s="203" t="s">
        <v>279</v>
      </c>
      <c r="AL54" s="203" t="s">
        <v>279</v>
      </c>
      <c r="AM54" s="203" t="s">
        <v>279</v>
      </c>
      <c r="AN54" s="203" t="s">
        <v>279</v>
      </c>
      <c r="AO54" s="203" t="s">
        <v>279</v>
      </c>
      <c r="AP54" s="203" t="s">
        <v>279</v>
      </c>
      <c r="AQ54" s="203"/>
      <c r="AR54" s="203"/>
      <c r="AS54" s="145" t="s">
        <v>312</v>
      </c>
      <c r="AT54" s="134"/>
      <c r="AU54" s="121"/>
      <c r="AV54" s="121"/>
      <c r="AW54" s="155"/>
    </row>
    <row r="55" spans="1:49" s="100" customFormat="1" ht="84">
      <c r="A55" s="136" t="s">
        <v>380</v>
      </c>
      <c r="B55" s="206" t="s">
        <v>278</v>
      </c>
      <c r="C55" s="135" t="s">
        <v>276</v>
      </c>
      <c r="D55" s="172" t="s">
        <v>381</v>
      </c>
      <c r="E55" s="109" t="s">
        <v>275</v>
      </c>
      <c r="F55" s="203" t="s">
        <v>279</v>
      </c>
      <c r="G55" s="203" t="s">
        <v>279</v>
      </c>
      <c r="H55" s="203" t="s">
        <v>279</v>
      </c>
      <c r="I55" s="203" t="s">
        <v>279</v>
      </c>
      <c r="J55" s="203" t="s">
        <v>279</v>
      </c>
      <c r="K55" s="203" t="s">
        <v>279</v>
      </c>
      <c r="L55" s="203" t="s">
        <v>279</v>
      </c>
      <c r="M55" s="203" t="s">
        <v>279</v>
      </c>
      <c r="N55" s="203" t="s">
        <v>279</v>
      </c>
      <c r="O55" s="203" t="s">
        <v>279</v>
      </c>
      <c r="P55" s="203" t="s">
        <v>279</v>
      </c>
      <c r="Q55" s="203" t="s">
        <v>279</v>
      </c>
      <c r="R55" s="203" t="s">
        <v>279</v>
      </c>
      <c r="S55" s="203" t="s">
        <v>279</v>
      </c>
      <c r="T55" s="203" t="s">
        <v>279</v>
      </c>
      <c r="U55" s="203" t="s">
        <v>279</v>
      </c>
      <c r="V55" s="203" t="s">
        <v>279</v>
      </c>
      <c r="W55" s="203" t="s">
        <v>279</v>
      </c>
      <c r="X55" s="203" t="s">
        <v>279</v>
      </c>
      <c r="Y55" s="203" t="s">
        <v>279</v>
      </c>
      <c r="Z55" s="203" t="s">
        <v>279</v>
      </c>
      <c r="AA55" s="203" t="s">
        <v>279</v>
      </c>
      <c r="AB55" s="203" t="s">
        <v>279</v>
      </c>
      <c r="AC55" s="203" t="s">
        <v>279</v>
      </c>
      <c r="AD55" s="203" t="s">
        <v>279</v>
      </c>
      <c r="AE55" s="203" t="s">
        <v>279</v>
      </c>
      <c r="AF55" s="203" t="s">
        <v>279</v>
      </c>
      <c r="AG55" s="203" t="s">
        <v>279</v>
      </c>
      <c r="AH55" s="203" t="s">
        <v>279</v>
      </c>
      <c r="AI55" s="203" t="s">
        <v>279</v>
      </c>
      <c r="AJ55" s="203" t="s">
        <v>279</v>
      </c>
      <c r="AK55" s="203" t="s">
        <v>279</v>
      </c>
      <c r="AL55" s="203" t="s">
        <v>279</v>
      </c>
      <c r="AM55" s="203" t="s">
        <v>279</v>
      </c>
      <c r="AN55" s="203" t="s">
        <v>279</v>
      </c>
      <c r="AO55" s="203" t="s">
        <v>279</v>
      </c>
      <c r="AP55" s="203" t="s">
        <v>279</v>
      </c>
      <c r="AQ55" s="203"/>
      <c r="AR55" s="203"/>
      <c r="AS55" s="145" t="s">
        <v>313</v>
      </c>
      <c r="AT55" s="134"/>
      <c r="AU55" s="121"/>
      <c r="AV55" s="121"/>
      <c r="AW55" s="155"/>
    </row>
    <row r="56" spans="1:49" s="31" customFormat="1" ht="12.75">
      <c r="A56" s="367" t="s">
        <v>382</v>
      </c>
      <c r="B56" s="376" t="s">
        <v>259</v>
      </c>
      <c r="C56" s="416" t="s">
        <v>271</v>
      </c>
      <c r="D56" s="419" t="s">
        <v>383</v>
      </c>
      <c r="E56" s="107" t="s">
        <v>42</v>
      </c>
      <c r="F56" s="104">
        <f>SUM(F57:F59)</f>
        <v>599.4</v>
      </c>
      <c r="G56" s="104">
        <f t="shared" ref="G56" si="52">SUM(G57:G59)</f>
        <v>0</v>
      </c>
      <c r="H56" s="104">
        <f>G56/F56*100</f>
        <v>0</v>
      </c>
      <c r="I56" s="207">
        <f t="shared" ref="I56:AP56" si="53">I57+I58+I59</f>
        <v>0</v>
      </c>
      <c r="J56" s="207">
        <f t="shared" si="53"/>
        <v>0</v>
      </c>
      <c r="K56" s="104">
        <v>0</v>
      </c>
      <c r="L56" s="207">
        <f t="shared" si="53"/>
        <v>0</v>
      </c>
      <c r="M56" s="207">
        <f t="shared" si="53"/>
        <v>0</v>
      </c>
      <c r="N56" s="207">
        <v>0</v>
      </c>
      <c r="O56" s="207">
        <f t="shared" si="53"/>
        <v>119.8</v>
      </c>
      <c r="P56" s="207">
        <f t="shared" si="53"/>
        <v>0</v>
      </c>
      <c r="Q56" s="104">
        <f t="shared" ref="Q56:Q58" si="54">P56/O56*100</f>
        <v>0</v>
      </c>
      <c r="R56" s="207">
        <f t="shared" si="53"/>
        <v>0</v>
      </c>
      <c r="S56" s="207">
        <f t="shared" si="53"/>
        <v>0</v>
      </c>
      <c r="T56" s="207">
        <f t="shared" si="53"/>
        <v>0</v>
      </c>
      <c r="U56" s="207">
        <f t="shared" si="53"/>
        <v>0</v>
      </c>
      <c r="V56" s="207">
        <f t="shared" si="53"/>
        <v>0</v>
      </c>
      <c r="W56" s="104">
        <v>0</v>
      </c>
      <c r="X56" s="207">
        <f t="shared" si="53"/>
        <v>179.7</v>
      </c>
      <c r="Y56" s="207">
        <f t="shared" si="53"/>
        <v>0</v>
      </c>
      <c r="Z56" s="207">
        <f t="shared" si="53"/>
        <v>0</v>
      </c>
      <c r="AA56" s="207">
        <f t="shared" si="53"/>
        <v>0</v>
      </c>
      <c r="AB56" s="207">
        <f t="shared" si="53"/>
        <v>0</v>
      </c>
      <c r="AC56" s="207">
        <f t="shared" si="53"/>
        <v>0</v>
      </c>
      <c r="AD56" s="207">
        <f t="shared" si="53"/>
        <v>0</v>
      </c>
      <c r="AE56" s="207">
        <f t="shared" si="53"/>
        <v>0</v>
      </c>
      <c r="AF56" s="207">
        <f t="shared" si="53"/>
        <v>0</v>
      </c>
      <c r="AG56" s="207">
        <f t="shared" si="53"/>
        <v>179.7</v>
      </c>
      <c r="AH56" s="207">
        <f t="shared" si="53"/>
        <v>0</v>
      </c>
      <c r="AI56" s="105">
        <f>AH56/AG56*100</f>
        <v>0</v>
      </c>
      <c r="AJ56" s="207">
        <f t="shared" si="53"/>
        <v>0</v>
      </c>
      <c r="AK56" s="207">
        <f t="shared" si="53"/>
        <v>0</v>
      </c>
      <c r="AL56" s="207">
        <f t="shared" si="53"/>
        <v>0</v>
      </c>
      <c r="AM56" s="207">
        <f t="shared" si="53"/>
        <v>120.2</v>
      </c>
      <c r="AN56" s="207">
        <f t="shared" si="53"/>
        <v>0</v>
      </c>
      <c r="AO56" s="207">
        <f t="shared" si="53"/>
        <v>0</v>
      </c>
      <c r="AP56" s="207">
        <f t="shared" si="53"/>
        <v>0</v>
      </c>
      <c r="AQ56" s="104"/>
      <c r="AR56" s="104"/>
      <c r="AS56" s="346" t="s">
        <v>314</v>
      </c>
      <c r="AT56" s="422"/>
      <c r="AU56" s="121"/>
      <c r="AV56" s="121"/>
      <c r="AW56" s="155"/>
    </row>
    <row r="57" spans="1:49" s="31" customFormat="1" ht="36">
      <c r="A57" s="368"/>
      <c r="B57" s="377"/>
      <c r="C57" s="417"/>
      <c r="D57" s="420"/>
      <c r="E57" s="108" t="s">
        <v>3</v>
      </c>
      <c r="F57" s="104">
        <f>I57+L57+O57+R57+U57+X57+AA57+AD57+AG57+AJ57+AM57+AP57</f>
        <v>0</v>
      </c>
      <c r="G57" s="104">
        <f>J57+M57+P57+S57+V57+Y57+AB57+AE57+AH57+AK57+AN57+AQ57</f>
        <v>0</v>
      </c>
      <c r="H57" s="104">
        <v>0</v>
      </c>
      <c r="I57" s="104">
        <v>0</v>
      </c>
      <c r="J57" s="104">
        <v>0</v>
      </c>
      <c r="K57" s="104">
        <v>0</v>
      </c>
      <c r="L57" s="126">
        <v>0</v>
      </c>
      <c r="M57" s="104">
        <v>0</v>
      </c>
      <c r="N57" s="208">
        <v>0</v>
      </c>
      <c r="O57" s="104">
        <v>0</v>
      </c>
      <c r="P57" s="104">
        <v>0</v>
      </c>
      <c r="Q57" s="104">
        <v>0</v>
      </c>
      <c r="R57" s="104">
        <v>0</v>
      </c>
      <c r="S57" s="104">
        <v>0</v>
      </c>
      <c r="T57" s="104">
        <v>0</v>
      </c>
      <c r="U57" s="105">
        <v>0</v>
      </c>
      <c r="V57" s="105">
        <v>0</v>
      </c>
      <c r="W57" s="105">
        <v>0</v>
      </c>
      <c r="X57" s="105">
        <v>0</v>
      </c>
      <c r="Y57" s="105">
        <v>0</v>
      </c>
      <c r="Z57" s="105">
        <v>0</v>
      </c>
      <c r="AA57" s="105">
        <v>0</v>
      </c>
      <c r="AB57" s="105">
        <v>0</v>
      </c>
      <c r="AC57" s="105">
        <v>0</v>
      </c>
      <c r="AD57" s="105">
        <v>0</v>
      </c>
      <c r="AE57" s="105">
        <v>0</v>
      </c>
      <c r="AF57" s="105">
        <v>0</v>
      </c>
      <c r="AG57" s="105">
        <v>0</v>
      </c>
      <c r="AH57" s="105">
        <v>0</v>
      </c>
      <c r="AI57" s="105">
        <v>0</v>
      </c>
      <c r="AJ57" s="104">
        <v>0</v>
      </c>
      <c r="AK57" s="104">
        <v>0</v>
      </c>
      <c r="AL57" s="104">
        <v>0</v>
      </c>
      <c r="AM57" s="105">
        <v>0</v>
      </c>
      <c r="AN57" s="105">
        <v>0</v>
      </c>
      <c r="AO57" s="105">
        <v>0</v>
      </c>
      <c r="AP57" s="104">
        <v>0</v>
      </c>
      <c r="AQ57" s="104"/>
      <c r="AR57" s="104"/>
      <c r="AS57" s="347"/>
      <c r="AT57" s="423"/>
      <c r="AU57" s="121"/>
      <c r="AV57" s="121"/>
      <c r="AW57" s="155"/>
    </row>
    <row r="58" spans="1:49" s="31" customFormat="1" ht="12.75">
      <c r="A58" s="368"/>
      <c r="B58" s="377"/>
      <c r="C58" s="417"/>
      <c r="D58" s="420"/>
      <c r="E58" s="108" t="s">
        <v>44</v>
      </c>
      <c r="F58" s="104">
        <f t="shared" ref="F58:G59" si="55">I58+L58+O58+R58+U58+X58+AA58+AD58+AG58+AJ58+AM58+AP58</f>
        <v>599.4</v>
      </c>
      <c r="G58" s="104">
        <f t="shared" si="55"/>
        <v>0</v>
      </c>
      <c r="H58" s="104">
        <f>G58/F58*100</f>
        <v>0</v>
      </c>
      <c r="I58" s="104">
        <v>0</v>
      </c>
      <c r="J58" s="104">
        <v>0</v>
      </c>
      <c r="K58" s="104">
        <v>0</v>
      </c>
      <c r="L58" s="126">
        <v>0</v>
      </c>
      <c r="M58" s="104">
        <v>0</v>
      </c>
      <c r="N58" s="208">
        <v>0</v>
      </c>
      <c r="O58" s="104">
        <v>119.8</v>
      </c>
      <c r="P58" s="104">
        <v>0</v>
      </c>
      <c r="Q58" s="104">
        <f t="shared" si="54"/>
        <v>0</v>
      </c>
      <c r="R58" s="104">
        <v>0</v>
      </c>
      <c r="S58" s="104">
        <v>0</v>
      </c>
      <c r="T58" s="104">
        <v>0</v>
      </c>
      <c r="U58" s="105">
        <v>0</v>
      </c>
      <c r="V58" s="105">
        <v>0</v>
      </c>
      <c r="W58" s="104">
        <v>0</v>
      </c>
      <c r="X58" s="105">
        <v>179.7</v>
      </c>
      <c r="Y58" s="105">
        <v>0</v>
      </c>
      <c r="Z58" s="105">
        <f>Y58/X58*100</f>
        <v>0</v>
      </c>
      <c r="AA58" s="105">
        <v>0</v>
      </c>
      <c r="AB58" s="105">
        <v>0</v>
      </c>
      <c r="AC58" s="105">
        <v>0</v>
      </c>
      <c r="AD58" s="105">
        <v>0</v>
      </c>
      <c r="AE58" s="105">
        <v>0</v>
      </c>
      <c r="AF58" s="105">
        <v>0</v>
      </c>
      <c r="AG58" s="105">
        <v>179.7</v>
      </c>
      <c r="AH58" s="105">
        <v>0</v>
      </c>
      <c r="AI58" s="105">
        <f>AH58/AG58*100</f>
        <v>0</v>
      </c>
      <c r="AJ58" s="104">
        <v>0</v>
      </c>
      <c r="AK58" s="104">
        <v>0</v>
      </c>
      <c r="AL58" s="104">
        <v>0</v>
      </c>
      <c r="AM58" s="105">
        <v>120.2</v>
      </c>
      <c r="AN58" s="105">
        <v>0</v>
      </c>
      <c r="AO58" s="105">
        <v>0</v>
      </c>
      <c r="AP58" s="104">
        <v>0</v>
      </c>
      <c r="AQ58" s="104"/>
      <c r="AR58" s="104"/>
      <c r="AS58" s="347"/>
      <c r="AT58" s="423"/>
      <c r="AU58" s="121"/>
      <c r="AV58" s="121"/>
      <c r="AW58" s="155"/>
    </row>
    <row r="59" spans="1:49" s="31" customFormat="1" ht="24">
      <c r="A59" s="369"/>
      <c r="B59" s="378"/>
      <c r="C59" s="418"/>
      <c r="D59" s="421"/>
      <c r="E59" s="109" t="s">
        <v>257</v>
      </c>
      <c r="F59" s="104">
        <f t="shared" si="55"/>
        <v>0</v>
      </c>
      <c r="G59" s="104">
        <f t="shared" si="55"/>
        <v>0</v>
      </c>
      <c r="H59" s="104">
        <v>0</v>
      </c>
      <c r="I59" s="104">
        <v>0</v>
      </c>
      <c r="J59" s="104">
        <v>0</v>
      </c>
      <c r="K59" s="104">
        <v>0</v>
      </c>
      <c r="L59" s="126">
        <v>0</v>
      </c>
      <c r="M59" s="104">
        <v>0</v>
      </c>
      <c r="N59" s="104">
        <v>0</v>
      </c>
      <c r="O59" s="104">
        <v>0</v>
      </c>
      <c r="P59" s="104">
        <v>0</v>
      </c>
      <c r="Q59" s="104">
        <v>0</v>
      </c>
      <c r="R59" s="104">
        <v>0</v>
      </c>
      <c r="S59" s="104">
        <v>0</v>
      </c>
      <c r="T59" s="104">
        <v>0</v>
      </c>
      <c r="U59" s="105">
        <v>0</v>
      </c>
      <c r="V59" s="105">
        <v>0</v>
      </c>
      <c r="W59" s="105">
        <v>0</v>
      </c>
      <c r="X59" s="105">
        <v>0</v>
      </c>
      <c r="Y59" s="105">
        <v>0</v>
      </c>
      <c r="Z59" s="105">
        <v>0</v>
      </c>
      <c r="AA59" s="105">
        <v>0</v>
      </c>
      <c r="AB59" s="105">
        <v>0</v>
      </c>
      <c r="AC59" s="105">
        <v>0</v>
      </c>
      <c r="AD59" s="105">
        <v>0</v>
      </c>
      <c r="AE59" s="105">
        <v>0</v>
      </c>
      <c r="AF59" s="105">
        <v>0</v>
      </c>
      <c r="AG59" s="105">
        <v>0</v>
      </c>
      <c r="AH59" s="105">
        <v>0</v>
      </c>
      <c r="AI59" s="105">
        <v>0</v>
      </c>
      <c r="AJ59" s="104">
        <v>0</v>
      </c>
      <c r="AK59" s="104">
        <v>0</v>
      </c>
      <c r="AL59" s="104">
        <v>0</v>
      </c>
      <c r="AM59" s="105">
        <v>0</v>
      </c>
      <c r="AN59" s="105">
        <v>0</v>
      </c>
      <c r="AO59" s="105">
        <v>0</v>
      </c>
      <c r="AP59" s="104">
        <v>0</v>
      </c>
      <c r="AQ59" s="104"/>
      <c r="AR59" s="104"/>
      <c r="AS59" s="348"/>
      <c r="AT59" s="424"/>
      <c r="AU59" s="121"/>
      <c r="AV59" s="121"/>
      <c r="AW59" s="155"/>
    </row>
    <row r="60" spans="1:49" s="31" customFormat="1" ht="15.75">
      <c r="A60" s="352" t="s">
        <v>384</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4"/>
      <c r="AU60" s="121"/>
      <c r="AV60" s="121"/>
      <c r="AW60" s="155"/>
    </row>
    <row r="61" spans="1:49" s="31" customFormat="1" ht="15.75">
      <c r="A61" s="352" t="s">
        <v>385</v>
      </c>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4"/>
      <c r="AU61" s="121"/>
      <c r="AV61" s="121"/>
      <c r="AW61" s="155"/>
    </row>
    <row r="62" spans="1:49" s="100" customFormat="1" ht="12.75">
      <c r="A62" s="355" t="s">
        <v>272</v>
      </c>
      <c r="B62" s="356"/>
      <c r="C62" s="356"/>
      <c r="D62" s="357"/>
      <c r="E62" s="129" t="s">
        <v>42</v>
      </c>
      <c r="F62" s="106">
        <f>F63+F64+F65</f>
        <v>10628.100000000002</v>
      </c>
      <c r="G62" s="106">
        <f t="shared" ref="G62:AP62" si="56">G63+G64+G65</f>
        <v>0</v>
      </c>
      <c r="H62" s="106">
        <f>G62/F62*100</f>
        <v>0</v>
      </c>
      <c r="I62" s="106">
        <f t="shared" si="56"/>
        <v>0</v>
      </c>
      <c r="J62" s="106">
        <f t="shared" si="56"/>
        <v>0</v>
      </c>
      <c r="K62" s="106">
        <v>0</v>
      </c>
      <c r="L62" s="106">
        <f t="shared" si="56"/>
        <v>2337.5</v>
      </c>
      <c r="M62" s="106">
        <f t="shared" si="56"/>
        <v>0</v>
      </c>
      <c r="N62" s="106">
        <f t="shared" si="56"/>
        <v>0</v>
      </c>
      <c r="O62" s="106">
        <f t="shared" si="56"/>
        <v>2141.4</v>
      </c>
      <c r="P62" s="106">
        <f t="shared" si="56"/>
        <v>0</v>
      </c>
      <c r="Q62" s="106">
        <f>P62/O62*100</f>
        <v>0</v>
      </c>
      <c r="R62" s="106">
        <f t="shared" si="56"/>
        <v>328.59999999999997</v>
      </c>
      <c r="S62" s="106">
        <f t="shared" si="56"/>
        <v>0</v>
      </c>
      <c r="T62" s="106">
        <f>S62/R62*100</f>
        <v>0</v>
      </c>
      <c r="U62" s="106">
        <f t="shared" si="56"/>
        <v>1220.6000000000001</v>
      </c>
      <c r="V62" s="106">
        <f t="shared" si="56"/>
        <v>0</v>
      </c>
      <c r="W62" s="106">
        <f t="shared" si="56"/>
        <v>0</v>
      </c>
      <c r="X62" s="106">
        <f t="shared" si="56"/>
        <v>1288.6000000000001</v>
      </c>
      <c r="Y62" s="106">
        <f t="shared" si="56"/>
        <v>0</v>
      </c>
      <c r="Z62" s="106">
        <f t="shared" si="56"/>
        <v>0</v>
      </c>
      <c r="AA62" s="106">
        <f t="shared" si="56"/>
        <v>1075.6000000000001</v>
      </c>
      <c r="AB62" s="106">
        <f t="shared" si="56"/>
        <v>0</v>
      </c>
      <c r="AC62" s="106">
        <f t="shared" si="56"/>
        <v>0</v>
      </c>
      <c r="AD62" s="106">
        <f t="shared" si="56"/>
        <v>150.6</v>
      </c>
      <c r="AE62" s="106">
        <f t="shared" si="56"/>
        <v>0</v>
      </c>
      <c r="AF62" s="106">
        <f t="shared" ref="AF62" si="57">AE62/AD62*100</f>
        <v>0</v>
      </c>
      <c r="AG62" s="106">
        <f t="shared" si="56"/>
        <v>200.6</v>
      </c>
      <c r="AH62" s="106">
        <f t="shared" si="56"/>
        <v>0</v>
      </c>
      <c r="AI62" s="106">
        <f t="shared" si="56"/>
        <v>0</v>
      </c>
      <c r="AJ62" s="106">
        <f t="shared" si="56"/>
        <v>162.6</v>
      </c>
      <c r="AK62" s="106">
        <f t="shared" si="56"/>
        <v>0</v>
      </c>
      <c r="AL62" s="106">
        <f t="shared" si="56"/>
        <v>0</v>
      </c>
      <c r="AM62" s="106">
        <f t="shared" si="56"/>
        <v>1350.0000000000002</v>
      </c>
      <c r="AN62" s="106">
        <f t="shared" si="56"/>
        <v>0</v>
      </c>
      <c r="AO62" s="106">
        <f t="shared" si="56"/>
        <v>0</v>
      </c>
      <c r="AP62" s="106">
        <f t="shared" si="56"/>
        <v>372</v>
      </c>
      <c r="AQ62" s="106">
        <f>AQ92+AQ100</f>
        <v>0</v>
      </c>
      <c r="AR62" s="106">
        <f>AR92+AR100</f>
        <v>0</v>
      </c>
      <c r="AS62" s="319"/>
      <c r="AT62" s="364"/>
      <c r="AU62" s="121"/>
      <c r="AV62" s="121"/>
      <c r="AW62" s="155"/>
    </row>
    <row r="63" spans="1:49" s="100" customFormat="1" ht="36">
      <c r="A63" s="358"/>
      <c r="B63" s="359"/>
      <c r="C63" s="359"/>
      <c r="D63" s="360"/>
      <c r="E63" s="111" t="s">
        <v>3</v>
      </c>
      <c r="F63" s="106">
        <f>F70+F74+F78</f>
        <v>0</v>
      </c>
      <c r="G63" s="106">
        <f t="shared" ref="G63:AR65" si="58">G70+G74+G78</f>
        <v>0</v>
      </c>
      <c r="H63" s="106">
        <v>0</v>
      </c>
      <c r="I63" s="106">
        <f t="shared" si="58"/>
        <v>0</v>
      </c>
      <c r="J63" s="106">
        <f t="shared" si="58"/>
        <v>0</v>
      </c>
      <c r="K63" s="106">
        <v>0</v>
      </c>
      <c r="L63" s="106">
        <f t="shared" si="58"/>
        <v>0</v>
      </c>
      <c r="M63" s="106">
        <f t="shared" si="58"/>
        <v>0</v>
      </c>
      <c r="N63" s="106">
        <f t="shared" si="58"/>
        <v>0</v>
      </c>
      <c r="O63" s="106">
        <f t="shared" si="58"/>
        <v>0</v>
      </c>
      <c r="P63" s="106">
        <f t="shared" si="58"/>
        <v>0</v>
      </c>
      <c r="Q63" s="106">
        <v>0</v>
      </c>
      <c r="R63" s="106">
        <f t="shared" si="58"/>
        <v>0</v>
      </c>
      <c r="S63" s="106">
        <f t="shared" si="58"/>
        <v>0</v>
      </c>
      <c r="T63" s="106">
        <v>0</v>
      </c>
      <c r="U63" s="106">
        <f t="shared" si="58"/>
        <v>0</v>
      </c>
      <c r="V63" s="106">
        <f t="shared" si="58"/>
        <v>0</v>
      </c>
      <c r="W63" s="106">
        <f t="shared" si="58"/>
        <v>0</v>
      </c>
      <c r="X63" s="106">
        <f t="shared" si="58"/>
        <v>0</v>
      </c>
      <c r="Y63" s="106">
        <f t="shared" si="58"/>
        <v>0</v>
      </c>
      <c r="Z63" s="106">
        <f t="shared" si="58"/>
        <v>0</v>
      </c>
      <c r="AA63" s="106">
        <f t="shared" si="58"/>
        <v>0</v>
      </c>
      <c r="AB63" s="106">
        <f t="shared" si="58"/>
        <v>0</v>
      </c>
      <c r="AC63" s="106">
        <f t="shared" si="58"/>
        <v>0</v>
      </c>
      <c r="AD63" s="106">
        <f t="shared" si="58"/>
        <v>0</v>
      </c>
      <c r="AE63" s="106">
        <f t="shared" si="58"/>
        <v>0</v>
      </c>
      <c r="AF63" s="106">
        <f t="shared" si="58"/>
        <v>0</v>
      </c>
      <c r="AG63" s="106">
        <f t="shared" si="58"/>
        <v>0</v>
      </c>
      <c r="AH63" s="106">
        <f t="shared" si="58"/>
        <v>0</v>
      </c>
      <c r="AI63" s="106">
        <f t="shared" si="58"/>
        <v>0</v>
      </c>
      <c r="AJ63" s="106">
        <f t="shared" si="58"/>
        <v>0</v>
      </c>
      <c r="AK63" s="106">
        <f t="shared" si="58"/>
        <v>0</v>
      </c>
      <c r="AL63" s="106">
        <f t="shared" si="58"/>
        <v>0</v>
      </c>
      <c r="AM63" s="106">
        <f t="shared" si="58"/>
        <v>0</v>
      </c>
      <c r="AN63" s="106">
        <f t="shared" si="58"/>
        <v>0</v>
      </c>
      <c r="AO63" s="106">
        <f t="shared" si="58"/>
        <v>0</v>
      </c>
      <c r="AP63" s="106">
        <f t="shared" si="58"/>
        <v>0</v>
      </c>
      <c r="AQ63" s="106">
        <f t="shared" si="58"/>
        <v>0</v>
      </c>
      <c r="AR63" s="106">
        <f t="shared" si="58"/>
        <v>0</v>
      </c>
      <c r="AS63" s="320"/>
      <c r="AT63" s="365"/>
      <c r="AU63" s="121"/>
      <c r="AV63" s="121"/>
      <c r="AW63" s="155"/>
    </row>
    <row r="64" spans="1:49" s="100" customFormat="1" ht="24">
      <c r="A64" s="358"/>
      <c r="B64" s="359"/>
      <c r="C64" s="359"/>
      <c r="D64" s="360"/>
      <c r="E64" s="111" t="s">
        <v>44</v>
      </c>
      <c r="F64" s="106">
        <f>F71+F75+F79</f>
        <v>10628.100000000002</v>
      </c>
      <c r="G64" s="106">
        <f t="shared" si="58"/>
        <v>0</v>
      </c>
      <c r="H64" s="106">
        <f>G64/F64*100</f>
        <v>0</v>
      </c>
      <c r="I64" s="106">
        <f t="shared" si="58"/>
        <v>0</v>
      </c>
      <c r="J64" s="106">
        <f t="shared" si="58"/>
        <v>0</v>
      </c>
      <c r="K64" s="106">
        <v>0</v>
      </c>
      <c r="L64" s="106">
        <f t="shared" si="58"/>
        <v>2337.5</v>
      </c>
      <c r="M64" s="106">
        <f t="shared" si="58"/>
        <v>0</v>
      </c>
      <c r="N64" s="106">
        <f t="shared" si="58"/>
        <v>0</v>
      </c>
      <c r="O64" s="106">
        <f t="shared" si="58"/>
        <v>2141.4</v>
      </c>
      <c r="P64" s="106">
        <f t="shared" si="58"/>
        <v>0</v>
      </c>
      <c r="Q64" s="106">
        <f t="shared" ref="Q64" si="59">P64/O64*100</f>
        <v>0</v>
      </c>
      <c r="R64" s="106">
        <f t="shared" si="58"/>
        <v>328.59999999999997</v>
      </c>
      <c r="S64" s="106">
        <f t="shared" si="58"/>
        <v>0</v>
      </c>
      <c r="T64" s="106">
        <f t="shared" ref="T64" si="60">S64/R64*100</f>
        <v>0</v>
      </c>
      <c r="U64" s="106">
        <f t="shared" si="58"/>
        <v>1220.6000000000001</v>
      </c>
      <c r="V64" s="106">
        <f t="shared" si="58"/>
        <v>0</v>
      </c>
      <c r="W64" s="106">
        <f t="shared" si="58"/>
        <v>0</v>
      </c>
      <c r="X64" s="106">
        <f t="shared" si="58"/>
        <v>1288.6000000000001</v>
      </c>
      <c r="Y64" s="106">
        <f t="shared" si="58"/>
        <v>0</v>
      </c>
      <c r="Z64" s="106">
        <f t="shared" si="58"/>
        <v>0</v>
      </c>
      <c r="AA64" s="106">
        <f t="shared" si="58"/>
        <v>1075.6000000000001</v>
      </c>
      <c r="AB64" s="106">
        <f t="shared" si="58"/>
        <v>0</v>
      </c>
      <c r="AC64" s="106">
        <f t="shared" si="58"/>
        <v>0</v>
      </c>
      <c r="AD64" s="106">
        <f t="shared" si="58"/>
        <v>150.6</v>
      </c>
      <c r="AE64" s="106">
        <f t="shared" si="58"/>
        <v>0</v>
      </c>
      <c r="AF64" s="106">
        <f t="shared" ref="AF64" si="61">AE64/AD64*100</f>
        <v>0</v>
      </c>
      <c r="AG64" s="106">
        <f t="shared" si="58"/>
        <v>200.6</v>
      </c>
      <c r="AH64" s="106">
        <f t="shared" si="58"/>
        <v>0</v>
      </c>
      <c r="AI64" s="106">
        <f t="shared" si="58"/>
        <v>0</v>
      </c>
      <c r="AJ64" s="106">
        <f t="shared" si="58"/>
        <v>162.6</v>
      </c>
      <c r="AK64" s="106">
        <f t="shared" si="58"/>
        <v>0</v>
      </c>
      <c r="AL64" s="106">
        <f t="shared" si="58"/>
        <v>0</v>
      </c>
      <c r="AM64" s="106">
        <f t="shared" si="58"/>
        <v>1350.0000000000002</v>
      </c>
      <c r="AN64" s="106">
        <f t="shared" si="58"/>
        <v>0</v>
      </c>
      <c r="AO64" s="106">
        <f t="shared" si="58"/>
        <v>0</v>
      </c>
      <c r="AP64" s="106">
        <f t="shared" si="58"/>
        <v>372</v>
      </c>
      <c r="AQ64" s="106">
        <f t="shared" si="58"/>
        <v>0</v>
      </c>
      <c r="AR64" s="106">
        <f t="shared" si="58"/>
        <v>0</v>
      </c>
      <c r="AS64" s="320"/>
      <c r="AT64" s="365"/>
      <c r="AU64" s="121"/>
      <c r="AV64" s="121"/>
      <c r="AW64" s="155"/>
    </row>
    <row r="65" spans="1:49" s="100" customFormat="1" ht="24">
      <c r="A65" s="361"/>
      <c r="B65" s="362"/>
      <c r="C65" s="362"/>
      <c r="D65" s="363"/>
      <c r="E65" s="110" t="s">
        <v>257</v>
      </c>
      <c r="F65" s="106">
        <f>F72+F76+F80</f>
        <v>0</v>
      </c>
      <c r="G65" s="106">
        <f t="shared" si="58"/>
        <v>0</v>
      </c>
      <c r="H65" s="106">
        <v>0</v>
      </c>
      <c r="I65" s="106">
        <f t="shared" si="58"/>
        <v>0</v>
      </c>
      <c r="J65" s="106">
        <f t="shared" si="58"/>
        <v>0</v>
      </c>
      <c r="K65" s="106">
        <v>0</v>
      </c>
      <c r="L65" s="106">
        <f t="shared" si="58"/>
        <v>0</v>
      </c>
      <c r="M65" s="106">
        <f t="shared" si="58"/>
        <v>0</v>
      </c>
      <c r="N65" s="106">
        <f t="shared" si="58"/>
        <v>0</v>
      </c>
      <c r="O65" s="106">
        <f t="shared" si="58"/>
        <v>0</v>
      </c>
      <c r="P65" s="106">
        <f t="shared" si="58"/>
        <v>0</v>
      </c>
      <c r="Q65" s="106">
        <v>0</v>
      </c>
      <c r="R65" s="106">
        <f t="shared" si="58"/>
        <v>0</v>
      </c>
      <c r="S65" s="106">
        <f t="shared" si="58"/>
        <v>0</v>
      </c>
      <c r="T65" s="106">
        <v>0</v>
      </c>
      <c r="U65" s="106">
        <f t="shared" si="58"/>
        <v>0</v>
      </c>
      <c r="V65" s="106">
        <f t="shared" si="58"/>
        <v>0</v>
      </c>
      <c r="W65" s="106">
        <f t="shared" si="58"/>
        <v>0</v>
      </c>
      <c r="X65" s="106">
        <f t="shared" si="58"/>
        <v>0</v>
      </c>
      <c r="Y65" s="106">
        <f t="shared" si="58"/>
        <v>0</v>
      </c>
      <c r="Z65" s="106">
        <f t="shared" si="58"/>
        <v>0</v>
      </c>
      <c r="AA65" s="106">
        <f t="shared" si="58"/>
        <v>0</v>
      </c>
      <c r="AB65" s="106">
        <f t="shared" si="58"/>
        <v>0</v>
      </c>
      <c r="AC65" s="106">
        <f t="shared" si="58"/>
        <v>0</v>
      </c>
      <c r="AD65" s="106">
        <f t="shared" si="58"/>
        <v>0</v>
      </c>
      <c r="AE65" s="106">
        <f t="shared" si="58"/>
        <v>0</v>
      </c>
      <c r="AF65" s="106">
        <f t="shared" si="58"/>
        <v>0</v>
      </c>
      <c r="AG65" s="106">
        <f t="shared" si="58"/>
        <v>0</v>
      </c>
      <c r="AH65" s="106">
        <f t="shared" si="58"/>
        <v>0</v>
      </c>
      <c r="AI65" s="106">
        <f t="shared" si="58"/>
        <v>0</v>
      </c>
      <c r="AJ65" s="106">
        <f t="shared" si="58"/>
        <v>0</v>
      </c>
      <c r="AK65" s="106">
        <f t="shared" si="58"/>
        <v>0</v>
      </c>
      <c r="AL65" s="106">
        <f t="shared" si="58"/>
        <v>0</v>
      </c>
      <c r="AM65" s="106">
        <f t="shared" si="58"/>
        <v>0</v>
      </c>
      <c r="AN65" s="106">
        <f t="shared" si="58"/>
        <v>0</v>
      </c>
      <c r="AO65" s="106">
        <f t="shared" si="58"/>
        <v>0</v>
      </c>
      <c r="AP65" s="106">
        <f t="shared" si="58"/>
        <v>0</v>
      </c>
      <c r="AQ65" s="106">
        <f t="shared" si="58"/>
        <v>0</v>
      </c>
      <c r="AR65" s="106">
        <f t="shared" si="58"/>
        <v>0</v>
      </c>
      <c r="AS65" s="321"/>
      <c r="AT65" s="366"/>
      <c r="AU65" s="121"/>
      <c r="AV65" s="121"/>
      <c r="AW65" s="155"/>
    </row>
    <row r="66" spans="1:49" s="100" customFormat="1" ht="144">
      <c r="A66" s="133" t="s">
        <v>386</v>
      </c>
      <c r="B66" s="161" t="s">
        <v>280</v>
      </c>
      <c r="C66" s="162" t="s">
        <v>387</v>
      </c>
      <c r="D66" s="172" t="s">
        <v>388</v>
      </c>
      <c r="E66" s="143" t="s">
        <v>275</v>
      </c>
      <c r="F66" s="149" t="s">
        <v>279</v>
      </c>
      <c r="G66" s="149" t="s">
        <v>279</v>
      </c>
      <c r="H66" s="149" t="s">
        <v>279</v>
      </c>
      <c r="I66" s="149" t="s">
        <v>279</v>
      </c>
      <c r="J66" s="149" t="s">
        <v>279</v>
      </c>
      <c r="K66" s="149" t="s">
        <v>279</v>
      </c>
      <c r="L66" s="149" t="s">
        <v>279</v>
      </c>
      <c r="M66" s="149" t="s">
        <v>279</v>
      </c>
      <c r="N66" s="149" t="s">
        <v>279</v>
      </c>
      <c r="O66" s="149" t="s">
        <v>279</v>
      </c>
      <c r="P66" s="149" t="s">
        <v>279</v>
      </c>
      <c r="Q66" s="149" t="s">
        <v>279</v>
      </c>
      <c r="R66" s="149" t="s">
        <v>279</v>
      </c>
      <c r="S66" s="149" t="s">
        <v>279</v>
      </c>
      <c r="T66" s="149" t="s">
        <v>279</v>
      </c>
      <c r="U66" s="149" t="s">
        <v>279</v>
      </c>
      <c r="V66" s="149" t="s">
        <v>279</v>
      </c>
      <c r="W66" s="149" t="s">
        <v>279</v>
      </c>
      <c r="X66" s="149" t="s">
        <v>279</v>
      </c>
      <c r="Y66" s="149" t="s">
        <v>279</v>
      </c>
      <c r="Z66" s="149" t="s">
        <v>279</v>
      </c>
      <c r="AA66" s="149" t="s">
        <v>279</v>
      </c>
      <c r="AB66" s="149" t="s">
        <v>279</v>
      </c>
      <c r="AC66" s="149" t="s">
        <v>279</v>
      </c>
      <c r="AD66" s="149" t="s">
        <v>279</v>
      </c>
      <c r="AE66" s="149" t="s">
        <v>279</v>
      </c>
      <c r="AF66" s="149" t="s">
        <v>279</v>
      </c>
      <c r="AG66" s="149" t="s">
        <v>279</v>
      </c>
      <c r="AH66" s="149" t="s">
        <v>279</v>
      </c>
      <c r="AI66" s="149" t="s">
        <v>279</v>
      </c>
      <c r="AJ66" s="149" t="s">
        <v>279</v>
      </c>
      <c r="AK66" s="149" t="s">
        <v>279</v>
      </c>
      <c r="AL66" s="149" t="s">
        <v>279</v>
      </c>
      <c r="AM66" s="149" t="s">
        <v>279</v>
      </c>
      <c r="AN66" s="149" t="s">
        <v>279</v>
      </c>
      <c r="AO66" s="149" t="s">
        <v>279</v>
      </c>
      <c r="AP66" s="149" t="s">
        <v>279</v>
      </c>
      <c r="AQ66" s="149" t="s">
        <v>279</v>
      </c>
      <c r="AR66" s="149" t="s">
        <v>279</v>
      </c>
      <c r="AS66" s="145" t="s">
        <v>315</v>
      </c>
      <c r="AT66" s="134"/>
      <c r="AU66" s="121"/>
      <c r="AV66" s="121"/>
      <c r="AW66" s="155"/>
    </row>
    <row r="67" spans="1:49" s="100" customFormat="1" ht="72">
      <c r="A67" s="133" t="s">
        <v>389</v>
      </c>
      <c r="B67" s="161" t="s">
        <v>390</v>
      </c>
      <c r="C67" s="162" t="s">
        <v>387</v>
      </c>
      <c r="D67" s="171" t="s">
        <v>391</v>
      </c>
      <c r="E67" s="143" t="s">
        <v>275</v>
      </c>
      <c r="F67" s="149" t="s">
        <v>279</v>
      </c>
      <c r="G67" s="149" t="s">
        <v>279</v>
      </c>
      <c r="H67" s="149" t="s">
        <v>279</v>
      </c>
      <c r="I67" s="149" t="s">
        <v>279</v>
      </c>
      <c r="J67" s="149" t="s">
        <v>279</v>
      </c>
      <c r="K67" s="149" t="s">
        <v>279</v>
      </c>
      <c r="L67" s="149" t="s">
        <v>279</v>
      </c>
      <c r="M67" s="149" t="s">
        <v>279</v>
      </c>
      <c r="N67" s="149" t="s">
        <v>279</v>
      </c>
      <c r="O67" s="149" t="s">
        <v>279</v>
      </c>
      <c r="P67" s="149" t="s">
        <v>279</v>
      </c>
      <c r="Q67" s="149" t="s">
        <v>279</v>
      </c>
      <c r="R67" s="149" t="s">
        <v>279</v>
      </c>
      <c r="S67" s="149" t="s">
        <v>279</v>
      </c>
      <c r="T67" s="149" t="s">
        <v>279</v>
      </c>
      <c r="U67" s="149" t="s">
        <v>279</v>
      </c>
      <c r="V67" s="149" t="s">
        <v>279</v>
      </c>
      <c r="W67" s="149" t="s">
        <v>279</v>
      </c>
      <c r="X67" s="149" t="s">
        <v>279</v>
      </c>
      <c r="Y67" s="149" t="s">
        <v>279</v>
      </c>
      <c r="Z67" s="149" t="s">
        <v>279</v>
      </c>
      <c r="AA67" s="149" t="s">
        <v>279</v>
      </c>
      <c r="AB67" s="149" t="s">
        <v>279</v>
      </c>
      <c r="AC67" s="149" t="s">
        <v>279</v>
      </c>
      <c r="AD67" s="149" t="s">
        <v>279</v>
      </c>
      <c r="AE67" s="149" t="s">
        <v>279</v>
      </c>
      <c r="AF67" s="149" t="s">
        <v>279</v>
      </c>
      <c r="AG67" s="149" t="s">
        <v>279</v>
      </c>
      <c r="AH67" s="149" t="s">
        <v>279</v>
      </c>
      <c r="AI67" s="149" t="s">
        <v>279</v>
      </c>
      <c r="AJ67" s="149" t="s">
        <v>279</v>
      </c>
      <c r="AK67" s="149" t="s">
        <v>279</v>
      </c>
      <c r="AL67" s="149" t="s">
        <v>279</v>
      </c>
      <c r="AM67" s="149" t="s">
        <v>279</v>
      </c>
      <c r="AN67" s="149" t="s">
        <v>279</v>
      </c>
      <c r="AO67" s="149" t="s">
        <v>279</v>
      </c>
      <c r="AP67" s="149" t="s">
        <v>279</v>
      </c>
      <c r="AQ67" s="149" t="s">
        <v>279</v>
      </c>
      <c r="AR67" s="149" t="s">
        <v>279</v>
      </c>
      <c r="AS67" s="145" t="s">
        <v>307</v>
      </c>
      <c r="AT67" s="134"/>
      <c r="AU67" s="121"/>
      <c r="AV67" s="121"/>
      <c r="AW67" s="155"/>
    </row>
    <row r="68" spans="1:49" s="100" customFormat="1" ht="132">
      <c r="A68" s="133" t="s">
        <v>392</v>
      </c>
      <c r="B68" s="161" t="s">
        <v>393</v>
      </c>
      <c r="C68" s="162" t="s">
        <v>387</v>
      </c>
      <c r="D68" s="171" t="s">
        <v>394</v>
      </c>
      <c r="E68" s="143" t="s">
        <v>275</v>
      </c>
      <c r="F68" s="149" t="s">
        <v>279</v>
      </c>
      <c r="G68" s="149" t="s">
        <v>279</v>
      </c>
      <c r="H68" s="149" t="s">
        <v>279</v>
      </c>
      <c r="I68" s="149" t="s">
        <v>279</v>
      </c>
      <c r="J68" s="149" t="s">
        <v>279</v>
      </c>
      <c r="K68" s="149" t="s">
        <v>279</v>
      </c>
      <c r="L68" s="149" t="s">
        <v>279</v>
      </c>
      <c r="M68" s="149" t="s">
        <v>279</v>
      </c>
      <c r="N68" s="149" t="s">
        <v>279</v>
      </c>
      <c r="O68" s="149" t="s">
        <v>279</v>
      </c>
      <c r="P68" s="149" t="s">
        <v>279</v>
      </c>
      <c r="Q68" s="149" t="s">
        <v>279</v>
      </c>
      <c r="R68" s="149" t="s">
        <v>279</v>
      </c>
      <c r="S68" s="149" t="s">
        <v>279</v>
      </c>
      <c r="T68" s="149" t="s">
        <v>279</v>
      </c>
      <c r="U68" s="149" t="s">
        <v>279</v>
      </c>
      <c r="V68" s="149" t="s">
        <v>279</v>
      </c>
      <c r="W68" s="149" t="s">
        <v>279</v>
      </c>
      <c r="X68" s="149" t="s">
        <v>279</v>
      </c>
      <c r="Y68" s="149" t="s">
        <v>279</v>
      </c>
      <c r="Z68" s="149" t="s">
        <v>279</v>
      </c>
      <c r="AA68" s="149" t="s">
        <v>279</v>
      </c>
      <c r="AB68" s="149" t="s">
        <v>279</v>
      </c>
      <c r="AC68" s="149" t="s">
        <v>279</v>
      </c>
      <c r="AD68" s="149" t="s">
        <v>279</v>
      </c>
      <c r="AE68" s="149" t="s">
        <v>279</v>
      </c>
      <c r="AF68" s="149" t="s">
        <v>279</v>
      </c>
      <c r="AG68" s="149" t="s">
        <v>279</v>
      </c>
      <c r="AH68" s="149" t="s">
        <v>279</v>
      </c>
      <c r="AI68" s="149" t="s">
        <v>279</v>
      </c>
      <c r="AJ68" s="149" t="s">
        <v>279</v>
      </c>
      <c r="AK68" s="149" t="s">
        <v>279</v>
      </c>
      <c r="AL68" s="149" t="s">
        <v>279</v>
      </c>
      <c r="AM68" s="149" t="s">
        <v>279</v>
      </c>
      <c r="AN68" s="149" t="s">
        <v>279</v>
      </c>
      <c r="AO68" s="149" t="s">
        <v>279</v>
      </c>
      <c r="AP68" s="149" t="s">
        <v>279</v>
      </c>
      <c r="AQ68" s="149" t="s">
        <v>279</v>
      </c>
      <c r="AR68" s="149" t="s">
        <v>279</v>
      </c>
      <c r="AS68" s="145" t="s">
        <v>316</v>
      </c>
      <c r="AT68" s="134"/>
      <c r="AU68" s="121"/>
      <c r="AV68" s="121"/>
      <c r="AW68" s="155"/>
    </row>
    <row r="69" spans="1:49" s="31" customFormat="1" ht="12.75">
      <c r="A69" s="328" t="s">
        <v>395</v>
      </c>
      <c r="B69" s="331" t="s">
        <v>396</v>
      </c>
      <c r="C69" s="334" t="s">
        <v>277</v>
      </c>
      <c r="D69" s="337" t="s">
        <v>397</v>
      </c>
      <c r="E69" s="107" t="s">
        <v>42</v>
      </c>
      <c r="F69" s="123">
        <f>SUM(F70:F72)</f>
        <v>1612.1</v>
      </c>
      <c r="G69" s="123">
        <f t="shared" ref="G69" si="62">SUM(G70:G72)</f>
        <v>0</v>
      </c>
      <c r="H69" s="123">
        <f>G69/F69*100</f>
        <v>0</v>
      </c>
      <c r="I69" s="138">
        <f t="shared" ref="I69:AP69" si="63">I70+I71+I72</f>
        <v>0</v>
      </c>
      <c r="J69" s="138">
        <f t="shared" si="63"/>
        <v>0</v>
      </c>
      <c r="K69" s="123">
        <v>0</v>
      </c>
      <c r="L69" s="138">
        <f t="shared" si="63"/>
        <v>61.4</v>
      </c>
      <c r="M69" s="132">
        <f t="shared" si="63"/>
        <v>0</v>
      </c>
      <c r="N69" s="132">
        <f>M69/L69*100</f>
        <v>0</v>
      </c>
      <c r="O69" s="132">
        <f t="shared" si="63"/>
        <v>207.4</v>
      </c>
      <c r="P69" s="132">
        <f t="shared" si="63"/>
        <v>0</v>
      </c>
      <c r="Q69" s="123">
        <f t="shared" ref="Q69:Q79" si="64">P69/O69*100</f>
        <v>0</v>
      </c>
      <c r="R69" s="132">
        <f t="shared" si="63"/>
        <v>61.4</v>
      </c>
      <c r="S69" s="132">
        <f t="shared" si="63"/>
        <v>0</v>
      </c>
      <c r="T69" s="132">
        <f>S69/R69*100</f>
        <v>0</v>
      </c>
      <c r="U69" s="138">
        <f t="shared" si="63"/>
        <v>61.4</v>
      </c>
      <c r="V69" s="138">
        <f t="shared" si="63"/>
        <v>0</v>
      </c>
      <c r="W69" s="132">
        <f t="shared" ref="W69" si="65">V69/U69*100</f>
        <v>0</v>
      </c>
      <c r="X69" s="132">
        <f t="shared" si="63"/>
        <v>61.4</v>
      </c>
      <c r="Y69" s="132">
        <f t="shared" si="63"/>
        <v>0</v>
      </c>
      <c r="Z69" s="132">
        <f t="shared" ref="Z69" si="66">Y69/X69*100</f>
        <v>0</v>
      </c>
      <c r="AA69" s="132">
        <f t="shared" si="63"/>
        <v>61.4</v>
      </c>
      <c r="AB69" s="132">
        <f t="shared" si="63"/>
        <v>0</v>
      </c>
      <c r="AC69" s="132">
        <f t="shared" ref="AC69" si="67">AB69/AA69*100</f>
        <v>0</v>
      </c>
      <c r="AD69" s="132">
        <f t="shared" si="63"/>
        <v>61.4</v>
      </c>
      <c r="AE69" s="138">
        <f t="shared" si="63"/>
        <v>0</v>
      </c>
      <c r="AF69" s="104">
        <f t="shared" ref="AF69" si="68">AE69/AD69*100</f>
        <v>0</v>
      </c>
      <c r="AG69" s="138">
        <f t="shared" si="63"/>
        <v>61.4</v>
      </c>
      <c r="AH69" s="138">
        <f t="shared" si="63"/>
        <v>0</v>
      </c>
      <c r="AI69" s="132">
        <f t="shared" ref="AI69" si="69">AH69/AG69*100</f>
        <v>0</v>
      </c>
      <c r="AJ69" s="138">
        <f t="shared" si="63"/>
        <v>61.4</v>
      </c>
      <c r="AK69" s="138">
        <f t="shared" si="63"/>
        <v>0</v>
      </c>
      <c r="AL69" s="138">
        <f t="shared" si="63"/>
        <v>0</v>
      </c>
      <c r="AM69" s="138">
        <f t="shared" si="63"/>
        <v>790.7</v>
      </c>
      <c r="AN69" s="138">
        <f t="shared" si="63"/>
        <v>0</v>
      </c>
      <c r="AO69" s="138">
        <f t="shared" si="63"/>
        <v>0</v>
      </c>
      <c r="AP69" s="138">
        <f t="shared" si="63"/>
        <v>122.8</v>
      </c>
      <c r="AQ69" s="104"/>
      <c r="AR69" s="104"/>
      <c r="AS69" s="340" t="s">
        <v>317</v>
      </c>
      <c r="AT69" s="343"/>
      <c r="AU69" s="121"/>
      <c r="AV69" s="121"/>
      <c r="AW69" s="155"/>
    </row>
    <row r="70" spans="1:49" s="31" customFormat="1" ht="36">
      <c r="A70" s="329"/>
      <c r="B70" s="332"/>
      <c r="C70" s="335"/>
      <c r="D70" s="338"/>
      <c r="E70" s="108" t="s">
        <v>3</v>
      </c>
      <c r="F70" s="123">
        <f>I70+L70+O70+R70+U70+X70+AA70+AD70+AG70+AJ70+AM70+AP70</f>
        <v>0</v>
      </c>
      <c r="G70" s="123">
        <f>J70+M70+P70+S70+V70+Y70+AB70+AE70+AH70+AK70+AN70+AQ70</f>
        <v>0</v>
      </c>
      <c r="H70" s="123">
        <v>0</v>
      </c>
      <c r="I70" s="123">
        <v>0</v>
      </c>
      <c r="J70" s="123">
        <v>0</v>
      </c>
      <c r="K70" s="123">
        <v>0</v>
      </c>
      <c r="L70" s="150">
        <v>0</v>
      </c>
      <c r="M70" s="123">
        <v>0</v>
      </c>
      <c r="N70" s="138">
        <v>0</v>
      </c>
      <c r="O70" s="123">
        <v>0</v>
      </c>
      <c r="P70" s="123">
        <v>0</v>
      </c>
      <c r="Q70" s="123">
        <v>0</v>
      </c>
      <c r="R70" s="123">
        <v>0</v>
      </c>
      <c r="S70" s="123">
        <v>0</v>
      </c>
      <c r="T70" s="132">
        <v>0</v>
      </c>
      <c r="U70" s="117">
        <v>0</v>
      </c>
      <c r="V70" s="117">
        <v>0</v>
      </c>
      <c r="W70" s="117">
        <v>0</v>
      </c>
      <c r="X70" s="117">
        <v>0</v>
      </c>
      <c r="Y70" s="117">
        <v>0</v>
      </c>
      <c r="Z70" s="117">
        <v>0</v>
      </c>
      <c r="AA70" s="117">
        <v>0</v>
      </c>
      <c r="AB70" s="117">
        <v>0</v>
      </c>
      <c r="AC70" s="117">
        <v>0</v>
      </c>
      <c r="AD70" s="117">
        <v>0</v>
      </c>
      <c r="AE70" s="117">
        <v>0</v>
      </c>
      <c r="AF70" s="117">
        <v>0</v>
      </c>
      <c r="AG70" s="117">
        <v>0</v>
      </c>
      <c r="AH70" s="117">
        <v>0</v>
      </c>
      <c r="AI70" s="117">
        <v>0</v>
      </c>
      <c r="AJ70" s="123">
        <v>0</v>
      </c>
      <c r="AK70" s="123">
        <v>0</v>
      </c>
      <c r="AL70" s="123">
        <v>0</v>
      </c>
      <c r="AM70" s="117">
        <v>0</v>
      </c>
      <c r="AN70" s="117">
        <v>0</v>
      </c>
      <c r="AO70" s="117">
        <v>0</v>
      </c>
      <c r="AP70" s="123">
        <v>0</v>
      </c>
      <c r="AQ70" s="104"/>
      <c r="AR70" s="104"/>
      <c r="AS70" s="341"/>
      <c r="AT70" s="344"/>
      <c r="AU70" s="121"/>
      <c r="AV70" s="121"/>
      <c r="AW70" s="155"/>
    </row>
    <row r="71" spans="1:49" s="31" customFormat="1" ht="12.75">
      <c r="A71" s="329"/>
      <c r="B71" s="332"/>
      <c r="C71" s="335"/>
      <c r="D71" s="338"/>
      <c r="E71" s="108" t="s">
        <v>44</v>
      </c>
      <c r="F71" s="123">
        <f t="shared" ref="F71:G72" si="70">I71+L71+O71+R71+U71+X71+AA71+AD71+AG71+AJ71+AM71+AP71</f>
        <v>1612.1</v>
      </c>
      <c r="G71" s="123">
        <f t="shared" si="70"/>
        <v>0</v>
      </c>
      <c r="H71" s="123">
        <f>G71/F71*100</f>
        <v>0</v>
      </c>
      <c r="I71" s="123">
        <v>0</v>
      </c>
      <c r="J71" s="123">
        <v>0</v>
      </c>
      <c r="K71" s="123">
        <v>0</v>
      </c>
      <c r="L71" s="150">
        <v>61.4</v>
      </c>
      <c r="M71" s="123">
        <v>0</v>
      </c>
      <c r="N71" s="138">
        <f t="shared" ref="N71" si="71">M71/L71*100</f>
        <v>0</v>
      </c>
      <c r="O71" s="123">
        <v>207.4</v>
      </c>
      <c r="P71" s="123">
        <v>0</v>
      </c>
      <c r="Q71" s="123">
        <f t="shared" si="64"/>
        <v>0</v>
      </c>
      <c r="R71" s="123">
        <v>61.4</v>
      </c>
      <c r="S71" s="123">
        <v>0</v>
      </c>
      <c r="T71" s="132">
        <f t="shared" ref="T71:T79" si="72">S71/R71*100</f>
        <v>0</v>
      </c>
      <c r="U71" s="117">
        <v>61.4</v>
      </c>
      <c r="V71" s="117">
        <v>0</v>
      </c>
      <c r="W71" s="132">
        <f t="shared" ref="W71" si="73">V71/U71*100</f>
        <v>0</v>
      </c>
      <c r="X71" s="117">
        <v>61.4</v>
      </c>
      <c r="Y71" s="117">
        <v>0</v>
      </c>
      <c r="Z71" s="132">
        <f t="shared" ref="Z71" si="74">Y71/X71*100</f>
        <v>0</v>
      </c>
      <c r="AA71" s="117">
        <v>61.4</v>
      </c>
      <c r="AB71" s="117">
        <v>0</v>
      </c>
      <c r="AC71" s="132">
        <f t="shared" ref="AC71" si="75">AB71/AA71*100</f>
        <v>0</v>
      </c>
      <c r="AD71" s="117">
        <v>61.4</v>
      </c>
      <c r="AE71" s="117">
        <v>0</v>
      </c>
      <c r="AF71" s="132">
        <f t="shared" ref="AF71" si="76">AE71/AD71*100</f>
        <v>0</v>
      </c>
      <c r="AG71" s="117">
        <v>61.4</v>
      </c>
      <c r="AH71" s="117">
        <v>0</v>
      </c>
      <c r="AI71" s="132">
        <f t="shared" ref="AI71" si="77">AH71/AG71*100</f>
        <v>0</v>
      </c>
      <c r="AJ71" s="123">
        <v>61.4</v>
      </c>
      <c r="AK71" s="123">
        <v>0</v>
      </c>
      <c r="AL71" s="123">
        <v>0</v>
      </c>
      <c r="AM71" s="117">
        <v>790.7</v>
      </c>
      <c r="AN71" s="117">
        <v>0</v>
      </c>
      <c r="AO71" s="117">
        <v>0</v>
      </c>
      <c r="AP71" s="123">
        <v>122.8</v>
      </c>
      <c r="AQ71" s="104"/>
      <c r="AR71" s="104"/>
      <c r="AS71" s="341"/>
      <c r="AT71" s="344"/>
      <c r="AU71" s="121"/>
      <c r="AV71" s="121"/>
      <c r="AW71" s="155"/>
    </row>
    <row r="72" spans="1:49" s="31" customFormat="1" ht="24">
      <c r="A72" s="330"/>
      <c r="B72" s="333"/>
      <c r="C72" s="336"/>
      <c r="D72" s="339"/>
      <c r="E72" s="109" t="s">
        <v>257</v>
      </c>
      <c r="F72" s="123">
        <f t="shared" si="70"/>
        <v>0</v>
      </c>
      <c r="G72" s="123">
        <f t="shared" si="70"/>
        <v>0</v>
      </c>
      <c r="H72" s="123">
        <v>0</v>
      </c>
      <c r="I72" s="123">
        <v>0</v>
      </c>
      <c r="J72" s="123">
        <v>0</v>
      </c>
      <c r="K72" s="123">
        <v>0</v>
      </c>
      <c r="L72" s="150">
        <v>0</v>
      </c>
      <c r="M72" s="123">
        <v>0</v>
      </c>
      <c r="N72" s="123">
        <v>0</v>
      </c>
      <c r="O72" s="123">
        <v>0</v>
      </c>
      <c r="P72" s="123">
        <v>0</v>
      </c>
      <c r="Q72" s="123">
        <v>0</v>
      </c>
      <c r="R72" s="123">
        <v>0</v>
      </c>
      <c r="S72" s="123">
        <v>0</v>
      </c>
      <c r="T72" s="132">
        <v>0</v>
      </c>
      <c r="U72" s="117">
        <v>0</v>
      </c>
      <c r="V72" s="117">
        <v>0</v>
      </c>
      <c r="W72" s="117">
        <v>0</v>
      </c>
      <c r="X72" s="117">
        <v>0</v>
      </c>
      <c r="Y72" s="117">
        <v>0</v>
      </c>
      <c r="Z72" s="117">
        <v>0</v>
      </c>
      <c r="AA72" s="117">
        <v>0</v>
      </c>
      <c r="AB72" s="117">
        <v>0</v>
      </c>
      <c r="AC72" s="117">
        <v>0</v>
      </c>
      <c r="AD72" s="117">
        <v>0</v>
      </c>
      <c r="AE72" s="117">
        <v>0</v>
      </c>
      <c r="AF72" s="117">
        <v>0</v>
      </c>
      <c r="AG72" s="117">
        <v>0</v>
      </c>
      <c r="AH72" s="117">
        <v>0</v>
      </c>
      <c r="AI72" s="117">
        <v>0</v>
      </c>
      <c r="AJ72" s="123">
        <v>0</v>
      </c>
      <c r="AK72" s="123">
        <v>0</v>
      </c>
      <c r="AL72" s="123">
        <v>0</v>
      </c>
      <c r="AM72" s="117">
        <v>0</v>
      </c>
      <c r="AN72" s="117">
        <v>0</v>
      </c>
      <c r="AO72" s="117">
        <v>0</v>
      </c>
      <c r="AP72" s="123">
        <v>0</v>
      </c>
      <c r="AQ72" s="104"/>
      <c r="AR72" s="104"/>
      <c r="AS72" s="342"/>
      <c r="AT72" s="345"/>
      <c r="AU72" s="121"/>
      <c r="AV72" s="121"/>
      <c r="AW72" s="155"/>
    </row>
    <row r="73" spans="1:49" s="31" customFormat="1" ht="12.75">
      <c r="A73" s="328" t="s">
        <v>398</v>
      </c>
      <c r="B73" s="331" t="s">
        <v>258</v>
      </c>
      <c r="C73" s="334" t="s">
        <v>277</v>
      </c>
      <c r="D73" s="337" t="s">
        <v>400</v>
      </c>
      <c r="E73" s="107" t="s">
        <v>42</v>
      </c>
      <c r="F73" s="123">
        <f>SUM(F74:F76)</f>
        <v>455.1</v>
      </c>
      <c r="G73" s="123">
        <f t="shared" ref="G73" si="78">SUM(G74:G76)</f>
        <v>0</v>
      </c>
      <c r="H73" s="123">
        <f>G73/F73*100</f>
        <v>0</v>
      </c>
      <c r="I73" s="138">
        <f t="shared" ref="I73:AP73" si="79">I74+I75+I76</f>
        <v>0</v>
      </c>
      <c r="J73" s="138">
        <f t="shared" si="79"/>
        <v>0</v>
      </c>
      <c r="K73" s="123">
        <v>0</v>
      </c>
      <c r="L73" s="138">
        <f t="shared" si="79"/>
        <v>0</v>
      </c>
      <c r="M73" s="132">
        <f t="shared" si="79"/>
        <v>0</v>
      </c>
      <c r="N73" s="132">
        <v>0</v>
      </c>
      <c r="O73" s="132">
        <f t="shared" si="79"/>
        <v>0</v>
      </c>
      <c r="P73" s="132">
        <f t="shared" si="79"/>
        <v>0</v>
      </c>
      <c r="Q73" s="123">
        <v>0</v>
      </c>
      <c r="R73" s="132">
        <f t="shared" si="79"/>
        <v>0</v>
      </c>
      <c r="S73" s="132">
        <f t="shared" si="79"/>
        <v>0</v>
      </c>
      <c r="T73" s="132">
        <v>0</v>
      </c>
      <c r="U73" s="132">
        <f t="shared" si="79"/>
        <v>0</v>
      </c>
      <c r="V73" s="132">
        <f t="shared" si="79"/>
        <v>0</v>
      </c>
      <c r="W73" s="132">
        <f t="shared" si="79"/>
        <v>0</v>
      </c>
      <c r="X73" s="132">
        <f t="shared" si="79"/>
        <v>0</v>
      </c>
      <c r="Y73" s="132">
        <f t="shared" si="79"/>
        <v>0</v>
      </c>
      <c r="Z73" s="138">
        <f t="shared" si="79"/>
        <v>0</v>
      </c>
      <c r="AA73" s="138">
        <f t="shared" si="79"/>
        <v>0</v>
      </c>
      <c r="AB73" s="138">
        <f t="shared" si="79"/>
        <v>0</v>
      </c>
      <c r="AC73" s="138">
        <f t="shared" si="79"/>
        <v>0</v>
      </c>
      <c r="AD73" s="132">
        <f t="shared" si="79"/>
        <v>0</v>
      </c>
      <c r="AE73" s="132">
        <f t="shared" si="79"/>
        <v>0</v>
      </c>
      <c r="AF73" s="132">
        <f t="shared" si="79"/>
        <v>0</v>
      </c>
      <c r="AG73" s="132">
        <f t="shared" si="79"/>
        <v>0</v>
      </c>
      <c r="AH73" s="132">
        <f t="shared" si="79"/>
        <v>0</v>
      </c>
      <c r="AI73" s="132">
        <f t="shared" si="79"/>
        <v>0</v>
      </c>
      <c r="AJ73" s="132">
        <f t="shared" si="79"/>
        <v>0</v>
      </c>
      <c r="AK73" s="132">
        <f t="shared" si="79"/>
        <v>0</v>
      </c>
      <c r="AL73" s="132">
        <f t="shared" si="79"/>
        <v>0</v>
      </c>
      <c r="AM73" s="132">
        <f t="shared" si="79"/>
        <v>455.1</v>
      </c>
      <c r="AN73" s="132">
        <f t="shared" si="79"/>
        <v>0</v>
      </c>
      <c r="AO73" s="132">
        <f t="shared" si="79"/>
        <v>0</v>
      </c>
      <c r="AP73" s="132">
        <f t="shared" si="79"/>
        <v>0</v>
      </c>
      <c r="AQ73" s="104"/>
      <c r="AR73" s="104"/>
      <c r="AS73" s="346" t="s">
        <v>281</v>
      </c>
      <c r="AT73" s="349" t="s">
        <v>300</v>
      </c>
      <c r="AU73" s="121"/>
      <c r="AV73" s="121"/>
      <c r="AW73" s="155"/>
    </row>
    <row r="74" spans="1:49" s="31" customFormat="1" ht="36">
      <c r="A74" s="329"/>
      <c r="B74" s="332"/>
      <c r="C74" s="335"/>
      <c r="D74" s="338"/>
      <c r="E74" s="108" t="s">
        <v>3</v>
      </c>
      <c r="F74" s="123">
        <f>I74+L74+O74+R74+U74+X74+AA74+AD74+AG74+AJ74+AM74+AP74</f>
        <v>0</v>
      </c>
      <c r="G74" s="123">
        <f>J74+M74+P74+S74+V74+Y74+AB74+AE74+AH74+AK74+AN74+AQ74</f>
        <v>0</v>
      </c>
      <c r="H74" s="123">
        <v>0</v>
      </c>
      <c r="I74" s="123">
        <v>0</v>
      </c>
      <c r="J74" s="123">
        <v>0</v>
      </c>
      <c r="K74" s="123">
        <v>0</v>
      </c>
      <c r="L74" s="150">
        <v>0</v>
      </c>
      <c r="M74" s="123">
        <v>0</v>
      </c>
      <c r="N74" s="138">
        <v>0</v>
      </c>
      <c r="O74" s="123">
        <v>0</v>
      </c>
      <c r="P74" s="123">
        <v>0</v>
      </c>
      <c r="Q74" s="123">
        <v>0</v>
      </c>
      <c r="R74" s="123">
        <v>0</v>
      </c>
      <c r="S74" s="123">
        <v>0</v>
      </c>
      <c r="T74" s="138">
        <v>0</v>
      </c>
      <c r="U74" s="117">
        <v>0</v>
      </c>
      <c r="V74" s="117">
        <v>0</v>
      </c>
      <c r="W74" s="117">
        <v>0</v>
      </c>
      <c r="X74" s="117">
        <v>0</v>
      </c>
      <c r="Y74" s="117">
        <v>0</v>
      </c>
      <c r="Z74" s="117">
        <v>0</v>
      </c>
      <c r="AA74" s="117">
        <v>0</v>
      </c>
      <c r="AB74" s="117">
        <v>0</v>
      </c>
      <c r="AC74" s="117">
        <v>0</v>
      </c>
      <c r="AD74" s="117">
        <v>0</v>
      </c>
      <c r="AE74" s="117">
        <v>0</v>
      </c>
      <c r="AF74" s="117">
        <v>0</v>
      </c>
      <c r="AG74" s="117">
        <v>0</v>
      </c>
      <c r="AH74" s="117">
        <v>0</v>
      </c>
      <c r="AI74" s="117">
        <v>0</v>
      </c>
      <c r="AJ74" s="123">
        <v>0</v>
      </c>
      <c r="AK74" s="123">
        <v>0</v>
      </c>
      <c r="AL74" s="123">
        <v>0</v>
      </c>
      <c r="AM74" s="117">
        <v>0</v>
      </c>
      <c r="AN74" s="117">
        <v>0</v>
      </c>
      <c r="AO74" s="117">
        <v>0</v>
      </c>
      <c r="AP74" s="123">
        <v>0</v>
      </c>
      <c r="AQ74" s="104"/>
      <c r="AR74" s="104"/>
      <c r="AS74" s="347"/>
      <c r="AT74" s="350"/>
      <c r="AU74" s="121"/>
      <c r="AV74" s="121"/>
      <c r="AW74" s="155"/>
    </row>
    <row r="75" spans="1:49" s="31" customFormat="1" ht="12.75">
      <c r="A75" s="329"/>
      <c r="B75" s="332"/>
      <c r="C75" s="335"/>
      <c r="D75" s="338"/>
      <c r="E75" s="108" t="s">
        <v>44</v>
      </c>
      <c r="F75" s="123">
        <f t="shared" ref="F75:G76" si="80">I75+L75+O75+R75+U75+X75+AA75+AD75+AG75+AJ75+AM75+AP75</f>
        <v>455.1</v>
      </c>
      <c r="G75" s="123">
        <f t="shared" si="80"/>
        <v>0</v>
      </c>
      <c r="H75" s="123">
        <f>G75/F75*100</f>
        <v>0</v>
      </c>
      <c r="I75" s="123">
        <v>0</v>
      </c>
      <c r="J75" s="123">
        <v>0</v>
      </c>
      <c r="K75" s="123">
        <v>0</v>
      </c>
      <c r="L75" s="150">
        <v>0</v>
      </c>
      <c r="M75" s="123">
        <v>0</v>
      </c>
      <c r="N75" s="138">
        <v>0</v>
      </c>
      <c r="O75" s="123">
        <v>0</v>
      </c>
      <c r="P75" s="123">
        <v>0</v>
      </c>
      <c r="Q75" s="123">
        <v>0</v>
      </c>
      <c r="R75" s="123">
        <v>0</v>
      </c>
      <c r="S75" s="123">
        <v>0</v>
      </c>
      <c r="T75" s="138">
        <v>0</v>
      </c>
      <c r="U75" s="117">
        <v>0</v>
      </c>
      <c r="V75" s="117">
        <v>0</v>
      </c>
      <c r="W75" s="117">
        <v>0</v>
      </c>
      <c r="X75" s="117">
        <v>0</v>
      </c>
      <c r="Y75" s="117">
        <v>0</v>
      </c>
      <c r="Z75" s="117">
        <v>0</v>
      </c>
      <c r="AA75" s="117">
        <v>0</v>
      </c>
      <c r="AB75" s="117">
        <v>0</v>
      </c>
      <c r="AC75" s="117">
        <v>0</v>
      </c>
      <c r="AD75" s="117">
        <v>0</v>
      </c>
      <c r="AE75" s="117">
        <v>0</v>
      </c>
      <c r="AF75" s="117">
        <v>0</v>
      </c>
      <c r="AG75" s="117">
        <v>0</v>
      </c>
      <c r="AH75" s="117">
        <v>0</v>
      </c>
      <c r="AI75" s="117">
        <v>0</v>
      </c>
      <c r="AJ75" s="123">
        <v>0</v>
      </c>
      <c r="AK75" s="123">
        <v>0</v>
      </c>
      <c r="AL75" s="123">
        <v>0</v>
      </c>
      <c r="AM75" s="117">
        <v>455.1</v>
      </c>
      <c r="AN75" s="117">
        <v>0</v>
      </c>
      <c r="AO75" s="117">
        <v>0</v>
      </c>
      <c r="AP75" s="123">
        <v>0</v>
      </c>
      <c r="AQ75" s="104"/>
      <c r="AR75" s="104"/>
      <c r="AS75" s="347"/>
      <c r="AT75" s="350"/>
      <c r="AU75" s="121"/>
      <c r="AV75" s="121"/>
      <c r="AW75" s="155"/>
    </row>
    <row r="76" spans="1:49" s="31" customFormat="1" ht="24">
      <c r="A76" s="330"/>
      <c r="B76" s="333"/>
      <c r="C76" s="336"/>
      <c r="D76" s="339"/>
      <c r="E76" s="109" t="s">
        <v>257</v>
      </c>
      <c r="F76" s="123">
        <f t="shared" si="80"/>
        <v>0</v>
      </c>
      <c r="G76" s="123">
        <f t="shared" si="80"/>
        <v>0</v>
      </c>
      <c r="H76" s="123">
        <v>0</v>
      </c>
      <c r="I76" s="123">
        <v>0</v>
      </c>
      <c r="J76" s="123">
        <v>0</v>
      </c>
      <c r="K76" s="123">
        <v>0</v>
      </c>
      <c r="L76" s="150">
        <v>0</v>
      </c>
      <c r="M76" s="123">
        <v>0</v>
      </c>
      <c r="N76" s="123">
        <v>0</v>
      </c>
      <c r="O76" s="123">
        <v>0</v>
      </c>
      <c r="P76" s="123">
        <v>0</v>
      </c>
      <c r="Q76" s="123">
        <v>0</v>
      </c>
      <c r="R76" s="123">
        <v>0</v>
      </c>
      <c r="S76" s="123">
        <v>0</v>
      </c>
      <c r="T76" s="138">
        <v>0</v>
      </c>
      <c r="U76" s="117">
        <v>0</v>
      </c>
      <c r="V76" s="117">
        <v>0</v>
      </c>
      <c r="W76" s="117">
        <v>0</v>
      </c>
      <c r="X76" s="117">
        <v>0</v>
      </c>
      <c r="Y76" s="117">
        <v>0</v>
      </c>
      <c r="Z76" s="117">
        <v>0</v>
      </c>
      <c r="AA76" s="117">
        <v>0</v>
      </c>
      <c r="AB76" s="117">
        <v>0</v>
      </c>
      <c r="AC76" s="117">
        <v>0</v>
      </c>
      <c r="AD76" s="117">
        <v>0</v>
      </c>
      <c r="AE76" s="117">
        <v>0</v>
      </c>
      <c r="AF76" s="117">
        <v>0</v>
      </c>
      <c r="AG76" s="117">
        <v>0</v>
      </c>
      <c r="AH76" s="117">
        <v>0</v>
      </c>
      <c r="AI76" s="117">
        <v>0</v>
      </c>
      <c r="AJ76" s="123">
        <v>0</v>
      </c>
      <c r="AK76" s="123">
        <v>0</v>
      </c>
      <c r="AL76" s="123">
        <v>0</v>
      </c>
      <c r="AM76" s="117">
        <v>0</v>
      </c>
      <c r="AN76" s="117">
        <v>0</v>
      </c>
      <c r="AO76" s="117">
        <v>0</v>
      </c>
      <c r="AP76" s="123">
        <v>0</v>
      </c>
      <c r="AQ76" s="104"/>
      <c r="AR76" s="104"/>
      <c r="AS76" s="348"/>
      <c r="AT76" s="351"/>
      <c r="AU76" s="121"/>
      <c r="AV76" s="121"/>
      <c r="AW76" s="155"/>
    </row>
    <row r="77" spans="1:49" s="31" customFormat="1" ht="12.75">
      <c r="A77" s="328" t="s">
        <v>399</v>
      </c>
      <c r="B77" s="331" t="s">
        <v>295</v>
      </c>
      <c r="C77" s="334" t="s">
        <v>401</v>
      </c>
      <c r="D77" s="337" t="s">
        <v>402</v>
      </c>
      <c r="E77" s="107" t="s">
        <v>42</v>
      </c>
      <c r="F77" s="123">
        <f>SUM(F78:F80)</f>
        <v>8560.9000000000015</v>
      </c>
      <c r="G77" s="123">
        <f t="shared" ref="G77" si="81">SUM(G78:G80)</f>
        <v>0</v>
      </c>
      <c r="H77" s="123">
        <f>G77/F77*100</f>
        <v>0</v>
      </c>
      <c r="I77" s="132">
        <f t="shared" ref="I77:AP77" si="82">I78+I79+I80</f>
        <v>0</v>
      </c>
      <c r="J77" s="132">
        <f t="shared" si="82"/>
        <v>0</v>
      </c>
      <c r="K77" s="123">
        <v>0</v>
      </c>
      <c r="L77" s="132">
        <f t="shared" si="82"/>
        <v>2276.1</v>
      </c>
      <c r="M77" s="132">
        <f t="shared" si="82"/>
        <v>0</v>
      </c>
      <c r="N77" s="132">
        <f>M77/L77*100</f>
        <v>0</v>
      </c>
      <c r="O77" s="132">
        <f t="shared" si="82"/>
        <v>1934</v>
      </c>
      <c r="P77" s="132">
        <f t="shared" si="82"/>
        <v>0</v>
      </c>
      <c r="Q77" s="123">
        <f t="shared" si="64"/>
        <v>0</v>
      </c>
      <c r="R77" s="132">
        <f t="shared" si="82"/>
        <v>267.2</v>
      </c>
      <c r="S77" s="132">
        <f t="shared" si="82"/>
        <v>0</v>
      </c>
      <c r="T77" s="132">
        <f t="shared" si="72"/>
        <v>0</v>
      </c>
      <c r="U77" s="132">
        <f t="shared" si="82"/>
        <v>1159.2</v>
      </c>
      <c r="V77" s="132">
        <f t="shared" si="82"/>
        <v>0</v>
      </c>
      <c r="W77" s="138">
        <f t="shared" ref="W77" si="83">V77/U77*100</f>
        <v>0</v>
      </c>
      <c r="X77" s="132">
        <f t="shared" si="82"/>
        <v>1227.2</v>
      </c>
      <c r="Y77" s="132">
        <f t="shared" si="82"/>
        <v>0</v>
      </c>
      <c r="Z77" s="132">
        <f t="shared" si="82"/>
        <v>0</v>
      </c>
      <c r="AA77" s="132">
        <f t="shared" si="82"/>
        <v>1014.2</v>
      </c>
      <c r="AB77" s="132">
        <f t="shared" si="82"/>
        <v>0</v>
      </c>
      <c r="AC77" s="117">
        <f>AB77/AA77*100</f>
        <v>0</v>
      </c>
      <c r="AD77" s="132">
        <f t="shared" si="82"/>
        <v>89.2</v>
      </c>
      <c r="AE77" s="132">
        <f t="shared" si="82"/>
        <v>0</v>
      </c>
      <c r="AF77" s="104">
        <f t="shared" ref="AF77" si="84">AE77/AD77*100</f>
        <v>0</v>
      </c>
      <c r="AG77" s="132">
        <f t="shared" si="82"/>
        <v>139.19999999999999</v>
      </c>
      <c r="AH77" s="132">
        <f t="shared" si="82"/>
        <v>0</v>
      </c>
      <c r="AI77" s="104">
        <f t="shared" ref="AI77" si="85">AH77/AG77*100</f>
        <v>0</v>
      </c>
      <c r="AJ77" s="132">
        <f t="shared" si="82"/>
        <v>101.2</v>
      </c>
      <c r="AK77" s="132">
        <f t="shared" si="82"/>
        <v>0</v>
      </c>
      <c r="AL77" s="132">
        <f t="shared" si="82"/>
        <v>0</v>
      </c>
      <c r="AM77" s="132">
        <f t="shared" si="82"/>
        <v>104.2</v>
      </c>
      <c r="AN77" s="132">
        <f t="shared" si="82"/>
        <v>0</v>
      </c>
      <c r="AO77" s="132">
        <f t="shared" si="82"/>
        <v>0</v>
      </c>
      <c r="AP77" s="132">
        <f t="shared" si="82"/>
        <v>249.20000000000002</v>
      </c>
      <c r="AQ77" s="104"/>
      <c r="AR77" s="104"/>
      <c r="AS77" s="340" t="s">
        <v>320</v>
      </c>
      <c r="AT77" s="343"/>
      <c r="AU77" s="121"/>
      <c r="AV77" s="121"/>
      <c r="AW77" s="155"/>
    </row>
    <row r="78" spans="1:49" s="31" customFormat="1" ht="36">
      <c r="A78" s="329"/>
      <c r="B78" s="332"/>
      <c r="C78" s="335"/>
      <c r="D78" s="338"/>
      <c r="E78" s="108" t="s">
        <v>3</v>
      </c>
      <c r="F78" s="123">
        <f>I78+L78+O78+R78+U78+X78+AA78+AD78+AG78+AJ78+AM78+AP78</f>
        <v>0</v>
      </c>
      <c r="G78" s="123">
        <f>J78+M78+P78+S78+V78+Y78+AB78+AE78+AH78+AK78+AN78+AQ78</f>
        <v>0</v>
      </c>
      <c r="H78" s="123">
        <v>0</v>
      </c>
      <c r="I78" s="123">
        <v>0</v>
      </c>
      <c r="J78" s="123">
        <v>0</v>
      </c>
      <c r="K78" s="123">
        <v>0</v>
      </c>
      <c r="L78" s="150">
        <v>0</v>
      </c>
      <c r="M78" s="123">
        <v>0</v>
      </c>
      <c r="N78" s="138">
        <v>0</v>
      </c>
      <c r="O78" s="123">
        <v>0</v>
      </c>
      <c r="P78" s="123">
        <v>0</v>
      </c>
      <c r="Q78" s="123">
        <v>0</v>
      </c>
      <c r="R78" s="123">
        <v>0</v>
      </c>
      <c r="S78" s="123">
        <v>0</v>
      </c>
      <c r="T78" s="138">
        <v>0</v>
      </c>
      <c r="U78" s="117">
        <v>0</v>
      </c>
      <c r="V78" s="117">
        <v>0</v>
      </c>
      <c r="W78" s="117">
        <v>0</v>
      </c>
      <c r="X78" s="117">
        <v>0</v>
      </c>
      <c r="Y78" s="117">
        <v>0</v>
      </c>
      <c r="Z78" s="117">
        <v>0</v>
      </c>
      <c r="AA78" s="117">
        <v>0</v>
      </c>
      <c r="AB78" s="117">
        <v>0</v>
      </c>
      <c r="AC78" s="117">
        <v>0</v>
      </c>
      <c r="AD78" s="117">
        <v>0</v>
      </c>
      <c r="AE78" s="117">
        <v>0</v>
      </c>
      <c r="AF78" s="117">
        <v>0</v>
      </c>
      <c r="AG78" s="117">
        <v>0</v>
      </c>
      <c r="AH78" s="117">
        <v>0</v>
      </c>
      <c r="AI78" s="117">
        <v>0</v>
      </c>
      <c r="AJ78" s="123">
        <v>0</v>
      </c>
      <c r="AK78" s="123">
        <v>0</v>
      </c>
      <c r="AL78" s="123">
        <v>0</v>
      </c>
      <c r="AM78" s="117">
        <v>0</v>
      </c>
      <c r="AN78" s="117">
        <v>0</v>
      </c>
      <c r="AO78" s="117">
        <v>0</v>
      </c>
      <c r="AP78" s="123">
        <v>0</v>
      </c>
      <c r="AQ78" s="104"/>
      <c r="AR78" s="104"/>
      <c r="AS78" s="341"/>
      <c r="AT78" s="344"/>
      <c r="AU78" s="121"/>
      <c r="AV78" s="121"/>
      <c r="AW78" s="155"/>
    </row>
    <row r="79" spans="1:49" s="31" customFormat="1" ht="12.75">
      <c r="A79" s="329"/>
      <c r="B79" s="332"/>
      <c r="C79" s="335"/>
      <c r="D79" s="338"/>
      <c r="E79" s="108" t="s">
        <v>44</v>
      </c>
      <c r="F79" s="123">
        <f t="shared" ref="F79:G80" si="86">I79+L79+O79+R79+U79+X79+AA79+AD79+AG79+AJ79+AM79+AP79</f>
        <v>8560.9000000000015</v>
      </c>
      <c r="G79" s="123">
        <f t="shared" si="86"/>
        <v>0</v>
      </c>
      <c r="H79" s="123">
        <f>G79/F79*100</f>
        <v>0</v>
      </c>
      <c r="I79" s="123">
        <v>0</v>
      </c>
      <c r="J79" s="123">
        <v>0</v>
      </c>
      <c r="K79" s="123">
        <v>0</v>
      </c>
      <c r="L79" s="150">
        <f>2231.1+45</f>
        <v>2276.1</v>
      </c>
      <c r="M79" s="123">
        <v>0</v>
      </c>
      <c r="N79" s="138">
        <f t="shared" ref="N79" si="87">M79/L79*100</f>
        <v>0</v>
      </c>
      <c r="O79" s="123">
        <f>1844+40+50</f>
        <v>1934</v>
      </c>
      <c r="P79" s="123">
        <v>0</v>
      </c>
      <c r="Q79" s="123">
        <f t="shared" si="64"/>
        <v>0</v>
      </c>
      <c r="R79" s="123">
        <f>229.2+38</f>
        <v>267.2</v>
      </c>
      <c r="S79" s="123">
        <v>0</v>
      </c>
      <c r="T79" s="138">
        <f t="shared" si="72"/>
        <v>0</v>
      </c>
      <c r="U79" s="117">
        <f>1129.2+30</f>
        <v>1159.2</v>
      </c>
      <c r="V79" s="117">
        <v>0</v>
      </c>
      <c r="W79" s="138">
        <f t="shared" ref="W79" si="88">V79/U79*100</f>
        <v>0</v>
      </c>
      <c r="X79" s="117">
        <f>1149.2+28+50</f>
        <v>1227.2</v>
      </c>
      <c r="Y79" s="117">
        <v>0</v>
      </c>
      <c r="Z79" s="117">
        <f>Y79/X79*100</f>
        <v>0</v>
      </c>
      <c r="AA79" s="117">
        <f>994.2+20</f>
        <v>1014.2</v>
      </c>
      <c r="AB79" s="117">
        <v>0</v>
      </c>
      <c r="AC79" s="117">
        <f>AB79/AA79*100</f>
        <v>0</v>
      </c>
      <c r="AD79" s="117">
        <f>69.2+20</f>
        <v>89.2</v>
      </c>
      <c r="AE79" s="117">
        <v>0</v>
      </c>
      <c r="AF79" s="117">
        <f>AE79/AD79*100</f>
        <v>0</v>
      </c>
      <c r="AG79" s="117">
        <f>69.2+20+50</f>
        <v>139.19999999999999</v>
      </c>
      <c r="AH79" s="117">
        <v>0</v>
      </c>
      <c r="AI79" s="104">
        <f t="shared" ref="AI79" si="89">AH79/AG79*100</f>
        <v>0</v>
      </c>
      <c r="AJ79" s="123">
        <f>69.2+32</f>
        <v>101.2</v>
      </c>
      <c r="AK79" s="123">
        <v>0</v>
      </c>
      <c r="AL79" s="123">
        <v>0</v>
      </c>
      <c r="AM79" s="117">
        <f>69.2+35</f>
        <v>104.2</v>
      </c>
      <c r="AN79" s="117">
        <v>0</v>
      </c>
      <c r="AO79" s="117">
        <v>0</v>
      </c>
      <c r="AP79" s="123">
        <f>187.8+61.4+24.7*2-49.4</f>
        <v>249.20000000000002</v>
      </c>
      <c r="AQ79" s="104"/>
      <c r="AR79" s="104"/>
      <c r="AS79" s="341"/>
      <c r="AT79" s="344"/>
      <c r="AU79" s="121"/>
      <c r="AV79" s="121"/>
      <c r="AW79" s="155"/>
    </row>
    <row r="80" spans="1:49" s="31" customFormat="1" ht="24">
      <c r="A80" s="330"/>
      <c r="B80" s="333"/>
      <c r="C80" s="336"/>
      <c r="D80" s="339"/>
      <c r="E80" s="109" t="s">
        <v>257</v>
      </c>
      <c r="F80" s="123">
        <f t="shared" si="86"/>
        <v>0</v>
      </c>
      <c r="G80" s="123">
        <f t="shared" si="86"/>
        <v>0</v>
      </c>
      <c r="H80" s="123">
        <v>0</v>
      </c>
      <c r="I80" s="123">
        <v>0</v>
      </c>
      <c r="J80" s="123">
        <v>0</v>
      </c>
      <c r="K80" s="123">
        <v>0</v>
      </c>
      <c r="L80" s="150">
        <v>0</v>
      </c>
      <c r="M80" s="123">
        <v>0</v>
      </c>
      <c r="N80" s="123">
        <v>0</v>
      </c>
      <c r="O80" s="123">
        <v>0</v>
      </c>
      <c r="P80" s="123">
        <v>0</v>
      </c>
      <c r="Q80" s="123">
        <v>0</v>
      </c>
      <c r="R80" s="123">
        <v>0</v>
      </c>
      <c r="S80" s="123">
        <v>0</v>
      </c>
      <c r="T80" s="138">
        <v>0</v>
      </c>
      <c r="U80" s="117">
        <v>0</v>
      </c>
      <c r="V80" s="117">
        <v>0</v>
      </c>
      <c r="W80" s="117">
        <v>0</v>
      </c>
      <c r="X80" s="117">
        <v>0</v>
      </c>
      <c r="Y80" s="117">
        <v>0</v>
      </c>
      <c r="Z80" s="117">
        <v>0</v>
      </c>
      <c r="AA80" s="117">
        <v>0</v>
      </c>
      <c r="AB80" s="117">
        <v>0</v>
      </c>
      <c r="AC80" s="117">
        <v>0</v>
      </c>
      <c r="AD80" s="117">
        <v>0</v>
      </c>
      <c r="AE80" s="117">
        <v>0</v>
      </c>
      <c r="AF80" s="117">
        <v>0</v>
      </c>
      <c r="AG80" s="117">
        <v>0</v>
      </c>
      <c r="AH80" s="117">
        <v>0</v>
      </c>
      <c r="AI80" s="117">
        <v>0</v>
      </c>
      <c r="AJ80" s="123">
        <v>0</v>
      </c>
      <c r="AK80" s="123">
        <v>0</v>
      </c>
      <c r="AL80" s="123">
        <v>0</v>
      </c>
      <c r="AM80" s="117">
        <v>0</v>
      </c>
      <c r="AN80" s="117">
        <v>0</v>
      </c>
      <c r="AO80" s="117">
        <v>0</v>
      </c>
      <c r="AP80" s="123">
        <v>0</v>
      </c>
      <c r="AQ80" s="104"/>
      <c r="AR80" s="104"/>
      <c r="AS80" s="342"/>
      <c r="AT80" s="345"/>
      <c r="AU80" s="121"/>
      <c r="AV80" s="121"/>
      <c r="AW80" s="155"/>
    </row>
    <row r="81" spans="1:48" s="100" customFormat="1" ht="12.75">
      <c r="A81" s="310" t="s">
        <v>256</v>
      </c>
      <c r="B81" s="311"/>
      <c r="C81" s="311"/>
      <c r="D81" s="312"/>
      <c r="E81" s="110" t="s">
        <v>42</v>
      </c>
      <c r="F81" s="106">
        <f>F82+F83+F84</f>
        <v>433024.19999999995</v>
      </c>
      <c r="G81" s="106">
        <f t="shared" ref="G81:AP81" si="90">G82+G83+G84</f>
        <v>25267</v>
      </c>
      <c r="H81" s="106">
        <f>G81/F81*100</f>
        <v>5.8350087593256914</v>
      </c>
      <c r="I81" s="106">
        <f t="shared" si="90"/>
        <v>14942.5</v>
      </c>
      <c r="J81" s="106">
        <f t="shared" si="90"/>
        <v>25267</v>
      </c>
      <c r="K81" s="106">
        <f>J81/I81*100</f>
        <v>169.09486364396855</v>
      </c>
      <c r="L81" s="106">
        <f t="shared" si="90"/>
        <v>45743.000000000007</v>
      </c>
      <c r="M81" s="106">
        <f t="shared" si="90"/>
        <v>0</v>
      </c>
      <c r="N81" s="106">
        <f>M81/L81*100</f>
        <v>0</v>
      </c>
      <c r="O81" s="106">
        <f t="shared" si="90"/>
        <v>37993.800000000003</v>
      </c>
      <c r="P81" s="106">
        <f t="shared" si="90"/>
        <v>0</v>
      </c>
      <c r="Q81" s="106">
        <f>P81/O81*100</f>
        <v>0</v>
      </c>
      <c r="R81" s="106">
        <f t="shared" si="90"/>
        <v>43738.3</v>
      </c>
      <c r="S81" s="106">
        <f t="shared" si="90"/>
        <v>0</v>
      </c>
      <c r="T81" s="106">
        <f>S81/R81*100</f>
        <v>0</v>
      </c>
      <c r="U81" s="106">
        <f t="shared" si="90"/>
        <v>35345.399999999994</v>
      </c>
      <c r="V81" s="106">
        <f t="shared" si="90"/>
        <v>0</v>
      </c>
      <c r="W81" s="106">
        <f t="shared" si="90"/>
        <v>0</v>
      </c>
      <c r="X81" s="106">
        <f t="shared" si="90"/>
        <v>38567</v>
      </c>
      <c r="Y81" s="106">
        <f t="shared" si="90"/>
        <v>0</v>
      </c>
      <c r="Z81" s="106" t="e">
        <f t="shared" si="90"/>
        <v>#REF!</v>
      </c>
      <c r="AA81" s="106">
        <f t="shared" si="90"/>
        <v>50633.4</v>
      </c>
      <c r="AB81" s="106">
        <f t="shared" si="90"/>
        <v>0</v>
      </c>
      <c r="AC81" s="106" t="e">
        <f t="shared" si="90"/>
        <v>#REF!</v>
      </c>
      <c r="AD81" s="106">
        <f t="shared" si="90"/>
        <v>36461.199999999997</v>
      </c>
      <c r="AE81" s="106">
        <f t="shared" si="90"/>
        <v>0</v>
      </c>
      <c r="AF81" s="103">
        <f t="shared" ref="AF81:AF84" si="91">AE81/AD81*100</f>
        <v>0</v>
      </c>
      <c r="AG81" s="106">
        <f t="shared" si="90"/>
        <v>28451.69999999999</v>
      </c>
      <c r="AH81" s="106">
        <f t="shared" si="90"/>
        <v>0</v>
      </c>
      <c r="AI81" s="106" t="e">
        <f t="shared" si="90"/>
        <v>#REF!</v>
      </c>
      <c r="AJ81" s="106">
        <f t="shared" si="90"/>
        <v>24958.799999999999</v>
      </c>
      <c r="AK81" s="106">
        <f t="shared" si="90"/>
        <v>0</v>
      </c>
      <c r="AL81" s="106" t="e">
        <f t="shared" si="90"/>
        <v>#REF!</v>
      </c>
      <c r="AM81" s="106">
        <f t="shared" si="90"/>
        <v>25565.599999999995</v>
      </c>
      <c r="AN81" s="106">
        <f t="shared" si="90"/>
        <v>0</v>
      </c>
      <c r="AO81" s="106" t="e">
        <f t="shared" si="90"/>
        <v>#REF!</v>
      </c>
      <c r="AP81" s="106">
        <f t="shared" si="90"/>
        <v>50623.5</v>
      </c>
      <c r="AQ81" s="103">
        <f t="shared" ref="AQ81:AR81" si="92">SUM(AQ82:AQ84)</f>
        <v>0</v>
      </c>
      <c r="AR81" s="103" t="e">
        <f t="shared" si="92"/>
        <v>#REF!</v>
      </c>
      <c r="AS81" s="319"/>
      <c r="AT81" s="322"/>
      <c r="AU81" s="121"/>
      <c r="AV81" s="127"/>
    </row>
    <row r="82" spans="1:48" s="100" customFormat="1" ht="36">
      <c r="A82" s="313"/>
      <c r="B82" s="314"/>
      <c r="C82" s="314"/>
      <c r="D82" s="315"/>
      <c r="E82" s="111" t="s">
        <v>3</v>
      </c>
      <c r="F82" s="106">
        <f t="shared" ref="F82:G84" si="93">F10+F34+F49+F63</f>
        <v>124591.59999999998</v>
      </c>
      <c r="G82" s="106">
        <f t="shared" si="93"/>
        <v>924.5</v>
      </c>
      <c r="H82" s="106">
        <f>G82/F82*100</f>
        <v>0.7420243419299537</v>
      </c>
      <c r="I82" s="106">
        <f t="shared" ref="I82:J84" si="94">I10+I34+I49+I63</f>
        <v>949.99999999999989</v>
      </c>
      <c r="J82" s="106">
        <f t="shared" si="94"/>
        <v>924.5</v>
      </c>
      <c r="K82" s="106">
        <f t="shared" ref="K82:K84" si="95">J82/I82*100</f>
        <v>97.31578947368422</v>
      </c>
      <c r="L82" s="106">
        <f t="shared" ref="L82:M84" si="96">L10+L34+L49+L63</f>
        <v>8876.4</v>
      </c>
      <c r="M82" s="106">
        <f t="shared" si="96"/>
        <v>0</v>
      </c>
      <c r="N82" s="106">
        <f t="shared" ref="N82:N84" si="97">M82/L82*100</f>
        <v>0</v>
      </c>
      <c r="O82" s="106">
        <f t="shared" ref="O82:P84" si="98">O10+O34+O49+O63</f>
        <v>9433.7999999999993</v>
      </c>
      <c r="P82" s="106">
        <f t="shared" si="98"/>
        <v>0</v>
      </c>
      <c r="Q82" s="106">
        <f t="shared" ref="Q82:Q84" si="99">P82/O82*100</f>
        <v>0</v>
      </c>
      <c r="R82" s="106">
        <f t="shared" ref="R82:S84" si="100">R10+R34+R49+R63</f>
        <v>10145.4</v>
      </c>
      <c r="S82" s="106">
        <f t="shared" si="100"/>
        <v>0</v>
      </c>
      <c r="T82" s="106">
        <f t="shared" ref="T82:T84" si="101">S82/R82*100</f>
        <v>0</v>
      </c>
      <c r="U82" s="106">
        <f t="shared" ref="U82:AE84" si="102">U10+U34+U49+U63</f>
        <v>8496.3999999999978</v>
      </c>
      <c r="V82" s="106">
        <f t="shared" si="102"/>
        <v>0</v>
      </c>
      <c r="W82" s="106">
        <f t="shared" si="102"/>
        <v>0</v>
      </c>
      <c r="X82" s="106">
        <f t="shared" si="102"/>
        <v>10177.699999999999</v>
      </c>
      <c r="Y82" s="106">
        <f t="shared" si="102"/>
        <v>0</v>
      </c>
      <c r="Z82" s="106" t="e">
        <f t="shared" si="102"/>
        <v>#REF!</v>
      </c>
      <c r="AA82" s="106">
        <f t="shared" si="102"/>
        <v>11495.900000000001</v>
      </c>
      <c r="AB82" s="106">
        <f t="shared" si="102"/>
        <v>0</v>
      </c>
      <c r="AC82" s="106" t="e">
        <f t="shared" si="102"/>
        <v>#REF!</v>
      </c>
      <c r="AD82" s="106">
        <f t="shared" si="102"/>
        <v>11156.3</v>
      </c>
      <c r="AE82" s="106">
        <f t="shared" si="102"/>
        <v>0</v>
      </c>
      <c r="AF82" s="103">
        <f t="shared" si="91"/>
        <v>0</v>
      </c>
      <c r="AG82" s="106">
        <f t="shared" ref="AG82:AR84" si="103">AG10+AG34+AG49+AG63</f>
        <v>9422.9</v>
      </c>
      <c r="AH82" s="106">
        <f t="shared" si="103"/>
        <v>0</v>
      </c>
      <c r="AI82" s="106" t="e">
        <f t="shared" si="103"/>
        <v>#REF!</v>
      </c>
      <c r="AJ82" s="106">
        <f t="shared" si="103"/>
        <v>9978.1999999999989</v>
      </c>
      <c r="AK82" s="106">
        <f t="shared" si="103"/>
        <v>0</v>
      </c>
      <c r="AL82" s="106" t="e">
        <f t="shared" si="103"/>
        <v>#REF!</v>
      </c>
      <c r="AM82" s="106">
        <f t="shared" si="103"/>
        <v>8872.0999999999985</v>
      </c>
      <c r="AN82" s="106">
        <f t="shared" si="103"/>
        <v>0</v>
      </c>
      <c r="AO82" s="106" t="e">
        <f t="shared" si="103"/>
        <v>#REF!</v>
      </c>
      <c r="AP82" s="106">
        <f t="shared" si="103"/>
        <v>25586.5</v>
      </c>
      <c r="AQ82" s="106">
        <f t="shared" si="103"/>
        <v>0</v>
      </c>
      <c r="AR82" s="106" t="e">
        <f t="shared" si="103"/>
        <v>#REF!</v>
      </c>
      <c r="AS82" s="320"/>
      <c r="AT82" s="323"/>
      <c r="AU82" s="121"/>
      <c r="AV82" s="127"/>
    </row>
    <row r="83" spans="1:48" s="100" customFormat="1" ht="24">
      <c r="A83" s="313"/>
      <c r="B83" s="314"/>
      <c r="C83" s="314"/>
      <c r="D83" s="315"/>
      <c r="E83" s="111" t="s">
        <v>44</v>
      </c>
      <c r="F83" s="106">
        <f t="shared" si="93"/>
        <v>302600.5</v>
      </c>
      <c r="G83" s="106">
        <f t="shared" si="93"/>
        <v>24342.5</v>
      </c>
      <c r="H83" s="106">
        <f>G83/F83*100</f>
        <v>8.044434824132809</v>
      </c>
      <c r="I83" s="106">
        <f t="shared" si="94"/>
        <v>13730.7</v>
      </c>
      <c r="J83" s="106">
        <f t="shared" si="94"/>
        <v>24342.5</v>
      </c>
      <c r="K83" s="106">
        <f t="shared" si="95"/>
        <v>177.2852076004865</v>
      </c>
      <c r="L83" s="106">
        <f t="shared" si="96"/>
        <v>36530.100000000006</v>
      </c>
      <c r="M83" s="106">
        <f t="shared" si="96"/>
        <v>0</v>
      </c>
      <c r="N83" s="106">
        <f t="shared" si="97"/>
        <v>0</v>
      </c>
      <c r="O83" s="106">
        <f t="shared" si="98"/>
        <v>27748.7</v>
      </c>
      <c r="P83" s="106">
        <f t="shared" si="98"/>
        <v>0</v>
      </c>
      <c r="Q83" s="106">
        <f t="shared" si="99"/>
        <v>0</v>
      </c>
      <c r="R83" s="106">
        <f t="shared" si="100"/>
        <v>32852.300000000003</v>
      </c>
      <c r="S83" s="106">
        <f t="shared" si="100"/>
        <v>0</v>
      </c>
      <c r="T83" s="106">
        <f t="shared" si="101"/>
        <v>0</v>
      </c>
      <c r="U83" s="106">
        <f t="shared" si="102"/>
        <v>26369.299999999996</v>
      </c>
      <c r="V83" s="106">
        <f t="shared" si="102"/>
        <v>0</v>
      </c>
      <c r="W83" s="106">
        <f t="shared" si="102"/>
        <v>0</v>
      </c>
      <c r="X83" s="106">
        <f t="shared" si="102"/>
        <v>28036.499999999996</v>
      </c>
      <c r="Y83" s="106">
        <f t="shared" si="102"/>
        <v>0</v>
      </c>
      <c r="Z83" s="106" t="e">
        <f t="shared" si="102"/>
        <v>#REF!</v>
      </c>
      <c r="AA83" s="106">
        <f t="shared" si="102"/>
        <v>38312</v>
      </c>
      <c r="AB83" s="106">
        <f t="shared" si="102"/>
        <v>0</v>
      </c>
      <c r="AC83" s="106" t="e">
        <f t="shared" si="102"/>
        <v>#REF!</v>
      </c>
      <c r="AD83" s="106">
        <f t="shared" si="102"/>
        <v>24785.899999999998</v>
      </c>
      <c r="AE83" s="106">
        <f t="shared" si="102"/>
        <v>0</v>
      </c>
      <c r="AF83" s="106">
        <f t="shared" si="91"/>
        <v>0</v>
      </c>
      <c r="AG83" s="106">
        <f t="shared" si="103"/>
        <v>18727.199999999993</v>
      </c>
      <c r="AH83" s="106">
        <f t="shared" si="103"/>
        <v>0</v>
      </c>
      <c r="AI83" s="106" t="e">
        <f t="shared" si="103"/>
        <v>#REF!</v>
      </c>
      <c r="AJ83" s="106">
        <f t="shared" si="103"/>
        <v>14416.000000000002</v>
      </c>
      <c r="AK83" s="106">
        <f t="shared" si="103"/>
        <v>0</v>
      </c>
      <c r="AL83" s="106" t="e">
        <f t="shared" si="103"/>
        <v>#REF!</v>
      </c>
      <c r="AM83" s="106">
        <f t="shared" si="103"/>
        <v>16251.799999999997</v>
      </c>
      <c r="AN83" s="106">
        <f t="shared" si="103"/>
        <v>0</v>
      </c>
      <c r="AO83" s="106" t="e">
        <f t="shared" si="103"/>
        <v>#REF!</v>
      </c>
      <c r="AP83" s="106">
        <f t="shared" si="103"/>
        <v>24839.999999999996</v>
      </c>
      <c r="AQ83" s="106">
        <f t="shared" si="103"/>
        <v>0</v>
      </c>
      <c r="AR83" s="106" t="e">
        <f t="shared" si="103"/>
        <v>#REF!</v>
      </c>
      <c r="AS83" s="320"/>
      <c r="AT83" s="323"/>
      <c r="AU83" s="121"/>
      <c r="AV83" s="127"/>
    </row>
    <row r="84" spans="1:48" s="100" customFormat="1" ht="24">
      <c r="A84" s="316"/>
      <c r="B84" s="317"/>
      <c r="C84" s="317"/>
      <c r="D84" s="318"/>
      <c r="E84" s="110" t="s">
        <v>257</v>
      </c>
      <c r="F84" s="106">
        <f t="shared" si="93"/>
        <v>5832.1</v>
      </c>
      <c r="G84" s="106">
        <f t="shared" si="93"/>
        <v>0</v>
      </c>
      <c r="H84" s="106">
        <f>G84/F84*100</f>
        <v>0</v>
      </c>
      <c r="I84" s="106">
        <f t="shared" si="94"/>
        <v>261.8</v>
      </c>
      <c r="J84" s="106">
        <f t="shared" si="94"/>
        <v>0</v>
      </c>
      <c r="K84" s="106">
        <f t="shared" si="95"/>
        <v>0</v>
      </c>
      <c r="L84" s="106">
        <f t="shared" si="96"/>
        <v>336.5</v>
      </c>
      <c r="M84" s="106">
        <f t="shared" si="96"/>
        <v>0</v>
      </c>
      <c r="N84" s="106">
        <f t="shared" si="97"/>
        <v>0</v>
      </c>
      <c r="O84" s="106">
        <f t="shared" si="98"/>
        <v>811.3</v>
      </c>
      <c r="P84" s="106">
        <f t="shared" si="98"/>
        <v>0</v>
      </c>
      <c r="Q84" s="106">
        <f t="shared" si="99"/>
        <v>0</v>
      </c>
      <c r="R84" s="106">
        <f t="shared" si="100"/>
        <v>740.6</v>
      </c>
      <c r="S84" s="106">
        <f t="shared" si="100"/>
        <v>0</v>
      </c>
      <c r="T84" s="106">
        <f t="shared" si="101"/>
        <v>0</v>
      </c>
      <c r="U84" s="106">
        <f t="shared" si="102"/>
        <v>479.7</v>
      </c>
      <c r="V84" s="106">
        <f t="shared" si="102"/>
        <v>0</v>
      </c>
      <c r="W84" s="106">
        <f t="shared" si="102"/>
        <v>0</v>
      </c>
      <c r="X84" s="106">
        <f t="shared" si="102"/>
        <v>352.8</v>
      </c>
      <c r="Y84" s="106">
        <f t="shared" si="102"/>
        <v>0</v>
      </c>
      <c r="Z84" s="106" t="e">
        <f t="shared" si="102"/>
        <v>#REF!</v>
      </c>
      <c r="AA84" s="106">
        <f t="shared" si="102"/>
        <v>825.5</v>
      </c>
      <c r="AB84" s="106">
        <f t="shared" si="102"/>
        <v>0</v>
      </c>
      <c r="AC84" s="106" t="e">
        <f t="shared" si="102"/>
        <v>#REF!</v>
      </c>
      <c r="AD84" s="106">
        <f t="shared" si="102"/>
        <v>519</v>
      </c>
      <c r="AE84" s="106">
        <f t="shared" si="102"/>
        <v>0</v>
      </c>
      <c r="AF84" s="106">
        <f t="shared" si="91"/>
        <v>0</v>
      </c>
      <c r="AG84" s="106">
        <f t="shared" si="103"/>
        <v>301.60000000000002</v>
      </c>
      <c r="AH84" s="106">
        <f t="shared" si="103"/>
        <v>0</v>
      </c>
      <c r="AI84" s="106" t="e">
        <f t="shared" si="103"/>
        <v>#REF!</v>
      </c>
      <c r="AJ84" s="106">
        <f t="shared" si="103"/>
        <v>564.6</v>
      </c>
      <c r="AK84" s="106">
        <f t="shared" si="103"/>
        <v>0</v>
      </c>
      <c r="AL84" s="106" t="e">
        <f t="shared" si="103"/>
        <v>#REF!</v>
      </c>
      <c r="AM84" s="106">
        <f t="shared" si="103"/>
        <v>441.7</v>
      </c>
      <c r="AN84" s="106">
        <f t="shared" si="103"/>
        <v>0</v>
      </c>
      <c r="AO84" s="106" t="e">
        <f t="shared" si="103"/>
        <v>#REF!</v>
      </c>
      <c r="AP84" s="106">
        <f t="shared" si="103"/>
        <v>197</v>
      </c>
      <c r="AQ84" s="106">
        <f t="shared" si="103"/>
        <v>0</v>
      </c>
      <c r="AR84" s="106" t="e">
        <f t="shared" si="103"/>
        <v>#REF!</v>
      </c>
      <c r="AS84" s="321"/>
      <c r="AT84" s="324"/>
      <c r="AU84" s="121"/>
      <c r="AV84" s="127"/>
    </row>
    <row r="85" spans="1:48" s="31" customFormat="1" ht="12.75">
      <c r="A85" s="32"/>
      <c r="B85" s="151"/>
      <c r="C85" s="151"/>
      <c r="D85" s="151"/>
      <c r="E85" s="29"/>
      <c r="F85" s="101"/>
      <c r="G85" s="101"/>
      <c r="H85" s="41"/>
      <c r="I85" s="151"/>
      <c r="J85" s="151"/>
      <c r="K85" s="151"/>
      <c r="L85" s="151"/>
      <c r="M85" s="151"/>
      <c r="N85" s="151"/>
      <c r="O85" s="151"/>
      <c r="P85" s="151"/>
      <c r="Q85" s="151"/>
      <c r="R85" s="151"/>
      <c r="S85" s="151"/>
      <c r="T85" s="151"/>
      <c r="U85" s="99"/>
      <c r="V85" s="99"/>
      <c r="W85" s="99"/>
      <c r="X85" s="99"/>
      <c r="Y85" s="99"/>
      <c r="Z85" s="99"/>
      <c r="AA85" s="99"/>
      <c r="AB85" s="99"/>
      <c r="AC85" s="99"/>
      <c r="AD85" s="99"/>
      <c r="AE85" s="99"/>
      <c r="AF85" s="99"/>
      <c r="AG85" s="99"/>
      <c r="AH85" s="99"/>
      <c r="AI85" s="99"/>
      <c r="AJ85" s="151"/>
      <c r="AK85" s="151"/>
      <c r="AL85" s="151"/>
      <c r="AM85" s="99"/>
      <c r="AN85" s="99"/>
      <c r="AO85" s="99"/>
      <c r="AS85" s="131"/>
    </row>
    <row r="86" spans="1:48" s="31" customFormat="1">
      <c r="A86" s="32"/>
      <c r="B86" s="325"/>
      <c r="C86" s="325"/>
      <c r="D86" s="325"/>
      <c r="E86" s="326"/>
      <c r="F86" s="327"/>
      <c r="G86" s="142"/>
      <c r="H86" s="41"/>
      <c r="I86" s="151"/>
      <c r="J86" s="151"/>
      <c r="K86" s="151"/>
      <c r="L86" s="151"/>
      <c r="M86" s="151"/>
      <c r="N86" s="151"/>
      <c r="O86" s="151"/>
      <c r="P86" s="151"/>
      <c r="Q86" s="151"/>
      <c r="R86" s="151"/>
      <c r="S86" s="151"/>
      <c r="T86" s="151"/>
      <c r="U86" s="99"/>
      <c r="V86" s="99"/>
      <c r="W86" s="99"/>
      <c r="X86" s="99"/>
      <c r="Y86" s="99"/>
      <c r="Z86" s="99"/>
      <c r="AA86" s="99"/>
      <c r="AB86" s="99"/>
      <c r="AC86" s="99"/>
      <c r="AD86" s="99"/>
      <c r="AE86" s="99"/>
      <c r="AF86" s="99"/>
      <c r="AG86" s="99"/>
      <c r="AH86" s="99"/>
      <c r="AI86" s="99"/>
      <c r="AJ86" s="151"/>
      <c r="AK86" s="151"/>
      <c r="AL86" s="151"/>
      <c r="AM86" s="99"/>
      <c r="AN86" s="99"/>
      <c r="AO86" s="99"/>
      <c r="AS86" s="131"/>
    </row>
    <row r="87" spans="1:48" s="31" customFormat="1" ht="12.75">
      <c r="A87" s="32"/>
      <c r="E87" s="119"/>
      <c r="F87" s="120"/>
      <c r="G87" s="120"/>
      <c r="H87" s="121"/>
      <c r="P87" s="151"/>
      <c r="Q87" s="151"/>
      <c r="R87" s="151"/>
      <c r="S87" s="151"/>
      <c r="T87" s="151"/>
      <c r="U87" s="99"/>
      <c r="V87" s="99"/>
      <c r="W87" s="99"/>
      <c r="X87" s="99"/>
      <c r="Y87" s="99"/>
      <c r="Z87" s="99"/>
      <c r="AA87" s="99"/>
      <c r="AB87" s="99"/>
      <c r="AC87" s="99"/>
      <c r="AD87" s="99"/>
      <c r="AE87" s="99"/>
      <c r="AF87" s="99"/>
      <c r="AG87" s="99"/>
      <c r="AH87" s="99"/>
      <c r="AI87" s="99"/>
      <c r="AJ87" s="151"/>
      <c r="AK87" s="151"/>
      <c r="AL87" s="151"/>
      <c r="AM87" s="99"/>
      <c r="AN87" s="99"/>
      <c r="AO87" s="99"/>
      <c r="AS87" s="131"/>
    </row>
    <row r="88" spans="1:48" s="31" customFormat="1" ht="12.75">
      <c r="A88" s="309" t="s">
        <v>282</v>
      </c>
      <c r="B88" s="309"/>
      <c r="C88" s="309"/>
      <c r="D88" s="151"/>
      <c r="E88" s="29"/>
      <c r="F88" s="101"/>
      <c r="G88" s="101"/>
      <c r="H88" s="41"/>
      <c r="I88" s="151"/>
      <c r="J88" s="146" t="s">
        <v>284</v>
      </c>
      <c r="K88" s="151"/>
      <c r="L88" s="151"/>
      <c r="M88" s="151"/>
      <c r="N88" s="151"/>
      <c r="O88" s="151"/>
      <c r="P88" s="151"/>
      <c r="Q88" s="151"/>
      <c r="R88" s="151"/>
      <c r="S88" s="151"/>
      <c r="T88" s="151"/>
      <c r="U88" s="99"/>
      <c r="V88" s="99"/>
      <c r="W88" s="99"/>
      <c r="X88" s="99"/>
      <c r="Y88" s="99"/>
      <c r="Z88" s="99"/>
      <c r="AA88" s="99"/>
      <c r="AB88" s="99"/>
      <c r="AC88" s="99"/>
      <c r="AD88" s="99"/>
      <c r="AE88" s="99"/>
      <c r="AF88" s="99"/>
      <c r="AG88" s="99"/>
      <c r="AH88" s="99"/>
      <c r="AI88" s="99"/>
      <c r="AJ88" s="151"/>
      <c r="AK88" s="151"/>
      <c r="AL88" s="151"/>
      <c r="AM88" s="99"/>
      <c r="AN88" s="99"/>
      <c r="AO88" s="99"/>
      <c r="AS88" s="131"/>
    </row>
    <row r="89" spans="1:48" s="31" customFormat="1" ht="12.75">
      <c r="A89" s="309" t="s">
        <v>283</v>
      </c>
      <c r="B89" s="309"/>
      <c r="C89" s="309"/>
      <c r="D89" s="309"/>
      <c r="E89" s="309"/>
      <c r="F89" s="309"/>
      <c r="G89" s="101"/>
      <c r="H89" s="41"/>
      <c r="I89" s="151"/>
      <c r="J89" s="146" t="s">
        <v>285</v>
      </c>
      <c r="K89" s="151"/>
      <c r="L89" s="151"/>
      <c r="M89" s="151"/>
      <c r="N89" s="151"/>
      <c r="O89" s="151"/>
      <c r="P89" s="151"/>
      <c r="Q89" s="151"/>
      <c r="R89" s="151"/>
      <c r="S89" s="151"/>
      <c r="T89" s="151"/>
      <c r="U89" s="99"/>
      <c r="V89" s="99"/>
      <c r="W89" s="99"/>
      <c r="X89" s="99"/>
      <c r="Y89" s="99"/>
      <c r="Z89" s="99"/>
      <c r="AA89" s="99"/>
      <c r="AB89" s="99"/>
      <c r="AC89" s="99"/>
      <c r="AD89" s="99"/>
      <c r="AE89" s="99"/>
      <c r="AF89" s="99"/>
      <c r="AG89" s="99"/>
      <c r="AH89" s="99"/>
      <c r="AI89" s="99"/>
      <c r="AJ89" s="151"/>
      <c r="AK89" s="151"/>
      <c r="AL89" s="151"/>
      <c r="AM89" s="99"/>
      <c r="AN89" s="99"/>
      <c r="AO89" s="99"/>
      <c r="AS89" s="131"/>
    </row>
    <row r="90" spans="1:48" s="31" customFormat="1" ht="12.75">
      <c r="A90" s="309"/>
      <c r="B90" s="309"/>
      <c r="C90" s="309"/>
      <c r="D90" s="309"/>
      <c r="E90" s="151"/>
      <c r="F90" s="101"/>
      <c r="G90" s="101"/>
      <c r="H90" s="41"/>
      <c r="I90" s="151"/>
      <c r="J90" s="146" t="s">
        <v>286</v>
      </c>
      <c r="K90" s="151"/>
      <c r="L90" s="115"/>
      <c r="M90" s="151"/>
      <c r="N90" s="151"/>
      <c r="O90" s="151"/>
      <c r="P90" s="151"/>
      <c r="Q90" s="151"/>
      <c r="R90" s="151"/>
      <c r="S90" s="151"/>
      <c r="T90" s="151"/>
      <c r="U90" s="99"/>
      <c r="V90" s="99"/>
      <c r="W90" s="99"/>
      <c r="X90" s="99"/>
      <c r="Y90" s="99"/>
      <c r="Z90" s="99"/>
      <c r="AA90" s="99"/>
      <c r="AB90" s="99"/>
      <c r="AC90" s="99"/>
      <c r="AD90" s="99"/>
      <c r="AE90" s="99"/>
      <c r="AF90" s="99"/>
      <c r="AG90" s="99"/>
      <c r="AH90" s="99"/>
      <c r="AI90" s="99"/>
      <c r="AJ90" s="151"/>
      <c r="AK90" s="151"/>
      <c r="AL90" s="151"/>
      <c r="AM90" s="99"/>
      <c r="AN90" s="99"/>
      <c r="AO90" s="99"/>
      <c r="AS90" s="131"/>
    </row>
    <row r="91" spans="1:48" s="31" customFormat="1" ht="12.75">
      <c r="A91" s="147" t="s">
        <v>288</v>
      </c>
      <c r="B91" s="147"/>
      <c r="C91" s="147"/>
      <c r="D91" s="148"/>
      <c r="E91" s="112" t="s">
        <v>260</v>
      </c>
      <c r="F91" s="113"/>
      <c r="G91" s="113"/>
      <c r="H91" s="114"/>
      <c r="I91" s="115"/>
      <c r="J91" s="146"/>
      <c r="K91" s="115"/>
      <c r="M91" s="115" t="s">
        <v>292</v>
      </c>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6"/>
      <c r="AQ91" s="116"/>
      <c r="AR91" s="116"/>
      <c r="AS91" s="131"/>
    </row>
    <row r="92" spans="1:48">
      <c r="A92" s="309"/>
      <c r="B92" s="309"/>
      <c r="C92" s="309"/>
      <c r="D92" s="309"/>
      <c r="E92" s="131"/>
      <c r="F92" s="131"/>
      <c r="J92" s="146" t="s">
        <v>287</v>
      </c>
      <c r="AS92" s="131"/>
    </row>
    <row r="93" spans="1:48">
      <c r="A93" s="147" t="s">
        <v>289</v>
      </c>
      <c r="B93" s="147"/>
      <c r="C93" s="147"/>
      <c r="D93" s="148"/>
      <c r="E93" s="131" t="s">
        <v>293</v>
      </c>
      <c r="F93" s="131"/>
      <c r="AS93" s="131"/>
    </row>
    <row r="94" spans="1:48">
      <c r="AS94" s="131"/>
    </row>
    <row r="95" spans="1:48">
      <c r="AS95" s="131"/>
    </row>
    <row r="96" spans="1:48">
      <c r="A96" s="309" t="s">
        <v>404</v>
      </c>
      <c r="B96" s="309"/>
      <c r="C96" s="309"/>
      <c r="D96" s="309"/>
      <c r="AS96" s="131"/>
    </row>
    <row r="97" spans="1:45">
      <c r="A97" s="309" t="s">
        <v>291</v>
      </c>
      <c r="B97" s="309"/>
      <c r="C97" s="309"/>
      <c r="AS97" s="131"/>
    </row>
    <row r="98" spans="1:45">
      <c r="AS98" s="131"/>
    </row>
    <row r="99" spans="1:45">
      <c r="AS99" s="131"/>
    </row>
    <row r="100" spans="1:45">
      <c r="AS100" s="131"/>
    </row>
    <row r="101" spans="1:45">
      <c r="AS101" s="131"/>
    </row>
    <row r="102" spans="1:45">
      <c r="AS102" s="131"/>
    </row>
    <row r="103" spans="1:45">
      <c r="AS103" s="131"/>
    </row>
    <row r="104" spans="1:45">
      <c r="AS104" s="131"/>
    </row>
    <row r="105" spans="1:45">
      <c r="AS105" s="131"/>
    </row>
    <row r="106" spans="1:45">
      <c r="AS106" s="131"/>
    </row>
    <row r="107" spans="1:45">
      <c r="AS107" s="131"/>
    </row>
    <row r="108" spans="1:45">
      <c r="AS108" s="131"/>
    </row>
    <row r="109" spans="1:45">
      <c r="AS109" s="131"/>
    </row>
    <row r="110" spans="1:45">
      <c r="AS110" s="131"/>
    </row>
    <row r="111" spans="1:45">
      <c r="AS111" s="131"/>
    </row>
    <row r="112" spans="1:45">
      <c r="AS112" s="131"/>
    </row>
    <row r="113" spans="45:45">
      <c r="AS113" s="131"/>
    </row>
    <row r="114" spans="45:45">
      <c r="AS114" s="131"/>
    </row>
    <row r="115" spans="45:45">
      <c r="AS115" s="131"/>
    </row>
    <row r="116" spans="45:45">
      <c r="AS116" s="131"/>
    </row>
    <row r="117" spans="45:45">
      <c r="AS117" s="131"/>
    </row>
    <row r="118" spans="45:45">
      <c r="AS118" s="131"/>
    </row>
    <row r="119" spans="45:45">
      <c r="AS119" s="131"/>
    </row>
    <row r="120" spans="45:45">
      <c r="AS120" s="131"/>
    </row>
    <row r="121" spans="45:45">
      <c r="AS121" s="131"/>
    </row>
    <row r="122" spans="45:45">
      <c r="AS122" s="131"/>
    </row>
    <row r="123" spans="45:45">
      <c r="AS123" s="131"/>
    </row>
    <row r="124" spans="45:45">
      <c r="AS124" s="131"/>
    </row>
    <row r="125" spans="45:45">
      <c r="AS125" s="131"/>
    </row>
    <row r="126" spans="45:45">
      <c r="AS126" s="131"/>
    </row>
    <row r="127" spans="45:45">
      <c r="AS127" s="131"/>
    </row>
    <row r="128" spans="45:45">
      <c r="AS128" s="131"/>
    </row>
    <row r="129" spans="45:45">
      <c r="AS129" s="131"/>
    </row>
    <row r="130" spans="45:45">
      <c r="AS130" s="131"/>
    </row>
    <row r="131" spans="45:45">
      <c r="AS131" s="131"/>
    </row>
    <row r="132" spans="45:45">
      <c r="AS132" s="131"/>
    </row>
    <row r="133" spans="45:45">
      <c r="AS133" s="131"/>
    </row>
    <row r="134" spans="45:45">
      <c r="AS134" s="131"/>
    </row>
    <row r="135" spans="45:45">
      <c r="AS135" s="131"/>
    </row>
    <row r="136" spans="45:45">
      <c r="AS136" s="131"/>
    </row>
    <row r="137" spans="45:45">
      <c r="AS137" s="131"/>
    </row>
    <row r="138" spans="45:45">
      <c r="AS138" s="131"/>
    </row>
    <row r="139" spans="45:45">
      <c r="AS139" s="131"/>
    </row>
    <row r="140" spans="45:45">
      <c r="AS140" s="131"/>
    </row>
    <row r="141" spans="45:45">
      <c r="AS141" s="131"/>
    </row>
    <row r="142" spans="45:45">
      <c r="AS142" s="131"/>
    </row>
    <row r="143" spans="45:45">
      <c r="AS143" s="131"/>
    </row>
    <row r="144" spans="45:45">
      <c r="AS144" s="131"/>
    </row>
    <row r="145" spans="45:45">
      <c r="AS145" s="131"/>
    </row>
    <row r="146" spans="45:45">
      <c r="AS146" s="131"/>
    </row>
    <row r="147" spans="45:45">
      <c r="AS147" s="131"/>
    </row>
    <row r="148" spans="45:45">
      <c r="AS148" s="131"/>
    </row>
    <row r="149" spans="45:45">
      <c r="AS149" s="131"/>
    </row>
    <row r="150" spans="45:45">
      <c r="AS150" s="131"/>
    </row>
    <row r="151" spans="45:45">
      <c r="AS151" s="131"/>
    </row>
    <row r="152" spans="45:45">
      <c r="AS152" s="131"/>
    </row>
    <row r="153" spans="45:45">
      <c r="AS153" s="131"/>
    </row>
    <row r="154" spans="45:45">
      <c r="AS154" s="131"/>
    </row>
    <row r="155" spans="45:45">
      <c r="AS155" s="131"/>
    </row>
    <row r="156" spans="45:45">
      <c r="AS156" s="131"/>
    </row>
    <row r="157" spans="45:45">
      <c r="AS157" s="131"/>
    </row>
    <row r="158" spans="45:45">
      <c r="AS158" s="131"/>
    </row>
    <row r="159" spans="45:45">
      <c r="AS159" s="131"/>
    </row>
    <row r="160" spans="45:45">
      <c r="AS160" s="131"/>
    </row>
    <row r="161" spans="45:45">
      <c r="AS161" s="131"/>
    </row>
    <row r="162" spans="45:45">
      <c r="AS162" s="131"/>
    </row>
    <row r="163" spans="45:45">
      <c r="AS163" s="131"/>
    </row>
    <row r="164" spans="45:45">
      <c r="AS164" s="131"/>
    </row>
    <row r="165" spans="45:45">
      <c r="AS165" s="131"/>
    </row>
    <row r="166" spans="45:45">
      <c r="AS166" s="131"/>
    </row>
    <row r="167" spans="45:45">
      <c r="AS167" s="131"/>
    </row>
    <row r="168" spans="45:45">
      <c r="AS168" s="131"/>
    </row>
    <row r="169" spans="45:45">
      <c r="AS169" s="131"/>
    </row>
    <row r="170" spans="45:45">
      <c r="AS170" s="131"/>
    </row>
    <row r="171" spans="45:45">
      <c r="AS171" s="131"/>
    </row>
    <row r="172" spans="45:45">
      <c r="AS172" s="131"/>
    </row>
    <row r="173" spans="45:45">
      <c r="AS173" s="131"/>
    </row>
    <row r="174" spans="45:45">
      <c r="AS174" s="131"/>
    </row>
    <row r="175" spans="45:45">
      <c r="AS175" s="131"/>
    </row>
    <row r="176" spans="45:45">
      <c r="AS176" s="131"/>
    </row>
    <row r="177" spans="45:45">
      <c r="AS177" s="131"/>
    </row>
    <row r="178" spans="45:45">
      <c r="AS178" s="131"/>
    </row>
    <row r="179" spans="45:45">
      <c r="AS179" s="131"/>
    </row>
    <row r="180" spans="45:45">
      <c r="AS180" s="131"/>
    </row>
  </sheetData>
  <mergeCells count="111">
    <mergeCell ref="A90:D90"/>
    <mergeCell ref="A92:D92"/>
    <mergeCell ref="A96:D96"/>
    <mergeCell ref="A97:C97"/>
    <mergeCell ref="A81:D84"/>
    <mergeCell ref="AS81:AS84"/>
    <mergeCell ref="AT81:AT84"/>
    <mergeCell ref="B86:F86"/>
    <mergeCell ref="A88:C88"/>
    <mergeCell ref="A89:F89"/>
    <mergeCell ref="A77:A80"/>
    <mergeCell ref="B77:B80"/>
    <mergeCell ref="C77:C80"/>
    <mergeCell ref="D77:D80"/>
    <mergeCell ref="AS77:AS80"/>
    <mergeCell ref="AT77:AT80"/>
    <mergeCell ref="A73:A76"/>
    <mergeCell ref="B73:B76"/>
    <mergeCell ref="C73:C76"/>
    <mergeCell ref="D73:D76"/>
    <mergeCell ref="AS73:AS76"/>
    <mergeCell ref="AT73:AT76"/>
    <mergeCell ref="A69:A72"/>
    <mergeCell ref="B69:B72"/>
    <mergeCell ref="C69:C72"/>
    <mergeCell ref="D69:D72"/>
    <mergeCell ref="AS69:AS72"/>
    <mergeCell ref="AT69:AT72"/>
    <mergeCell ref="AT56:AT59"/>
    <mergeCell ref="A60:AT60"/>
    <mergeCell ref="A61:AT61"/>
    <mergeCell ref="A62:D65"/>
    <mergeCell ref="AS62:AS65"/>
    <mergeCell ref="AT62:AT65"/>
    <mergeCell ref="A46:AT46"/>
    <mergeCell ref="A47:AT47"/>
    <mergeCell ref="A48:D51"/>
    <mergeCell ref="AS48:AS51"/>
    <mergeCell ref="AT48:AT51"/>
    <mergeCell ref="A56:A59"/>
    <mergeCell ref="B56:B59"/>
    <mergeCell ref="C56:C59"/>
    <mergeCell ref="D56:D59"/>
    <mergeCell ref="AS56:AS59"/>
    <mergeCell ref="A32:AT32"/>
    <mergeCell ref="A33:D36"/>
    <mergeCell ref="AS33:AS36"/>
    <mergeCell ref="AT33:AT36"/>
    <mergeCell ref="A42:A45"/>
    <mergeCell ref="B42:B45"/>
    <mergeCell ref="C42:C45"/>
    <mergeCell ref="D42:D45"/>
    <mergeCell ref="AS42:AS45"/>
    <mergeCell ref="AT42:AT45"/>
    <mergeCell ref="A29:A31"/>
    <mergeCell ref="B29:B31"/>
    <mergeCell ref="C29:C31"/>
    <mergeCell ref="D29:D31"/>
    <mergeCell ref="AS29:AS31"/>
    <mergeCell ref="AT29:AT31"/>
    <mergeCell ref="A25:A28"/>
    <mergeCell ref="B25:B28"/>
    <mergeCell ref="C25:C28"/>
    <mergeCell ref="D25:D28"/>
    <mergeCell ref="AS25:AS28"/>
    <mergeCell ref="AT25:AT28"/>
    <mergeCell ref="A22:A24"/>
    <mergeCell ref="B22:B24"/>
    <mergeCell ref="C22:C24"/>
    <mergeCell ref="D22:D24"/>
    <mergeCell ref="AS22:AS24"/>
    <mergeCell ref="AT22:AT24"/>
    <mergeCell ref="AT13:AT16"/>
    <mergeCell ref="A17:A20"/>
    <mergeCell ref="B17:B20"/>
    <mergeCell ref="C17:C20"/>
    <mergeCell ref="D17:D20"/>
    <mergeCell ref="AS17:AS20"/>
    <mergeCell ref="AT17:AT20"/>
    <mergeCell ref="A8:AT8"/>
    <mergeCell ref="A9:D12"/>
    <mergeCell ref="AS9:AS12"/>
    <mergeCell ref="AT9:AT12"/>
    <mergeCell ref="A13:A16"/>
    <mergeCell ref="B13:B16"/>
    <mergeCell ref="C13:C16"/>
    <mergeCell ref="D13:D16"/>
    <mergeCell ref="AS13:AS16"/>
    <mergeCell ref="AS5:AS6"/>
    <mergeCell ref="AT5:AT6"/>
    <mergeCell ref="O5:Q5"/>
    <mergeCell ref="R5:T5"/>
    <mergeCell ref="U5:W5"/>
    <mergeCell ref="X5:Z5"/>
    <mergeCell ref="AA5:AC5"/>
    <mergeCell ref="AD5:AF5"/>
    <mergeCell ref="A7:AT7"/>
    <mergeCell ref="A2:AR2"/>
    <mergeCell ref="A3:AR3"/>
    <mergeCell ref="A5:A6"/>
    <mergeCell ref="B5:B6"/>
    <mergeCell ref="C5:C6"/>
    <mergeCell ref="D5:D6"/>
    <mergeCell ref="E5:E6"/>
    <mergeCell ref="F5:H5"/>
    <mergeCell ref="I5:K5"/>
    <mergeCell ref="L5:N5"/>
    <mergeCell ref="AG5:AI5"/>
    <mergeCell ref="AJ5:AL5"/>
    <mergeCell ref="AM5:AO5"/>
    <mergeCell ref="AP5:AR5"/>
  </mergeCells>
  <conditionalFormatting sqref="H91 H69:H80 H56:H59 H48:H51 H42:H45 H30:H31 H27:H28 H24 H14 H19">
    <cfRule type="cellIs" dxfId="2" priority="1" stopIfTrue="1" operator="notEqual">
      <formula>#REF!</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AW180"/>
  <sheetViews>
    <sheetView workbookViewId="0">
      <pane xSplit="4" ySplit="8" topLeftCell="AP69" activePane="bottomRight" state="frozen"/>
      <selection pane="topRight" activeCell="E1" sqref="E1"/>
      <selection pane="bottomLeft" activeCell="A9" sqref="A9"/>
      <selection pane="bottomRight" activeCell="AT69" sqref="AT69:AT72"/>
    </sheetView>
  </sheetViews>
  <sheetFormatPr defaultRowHeight="15"/>
  <cols>
    <col min="2" max="3" width="23.7109375" customWidth="1"/>
    <col min="4" max="4" width="11.140625" customWidth="1"/>
    <col min="5" max="5" width="13.28515625" customWidth="1"/>
    <col min="6" max="6" width="10.85546875" customWidth="1"/>
    <col min="7" max="7" width="10.7109375" customWidth="1"/>
    <col min="10" max="11" width="9.140625" customWidth="1"/>
    <col min="12" max="12" width="8.85546875" customWidth="1"/>
    <col min="13" max="13" width="9.140625" style="122" customWidth="1"/>
    <col min="14" max="14" width="9.140625" customWidth="1"/>
    <col min="16" max="16" width="9.140625" customWidth="1"/>
    <col min="17" max="17" width="10.7109375" customWidth="1"/>
    <col min="19" max="20" width="9.140625" hidden="1" customWidth="1"/>
    <col min="22" max="23" width="9.140625" hidden="1" customWidth="1"/>
    <col min="25" max="26" width="9.140625" hidden="1" customWidth="1"/>
    <col min="27" max="27" width="9.28515625" style="122" customWidth="1"/>
    <col min="28" max="29" width="9.140625" hidden="1" customWidth="1"/>
    <col min="30" max="30" width="9.140625" style="122"/>
    <col min="31" max="32" width="9.140625" style="122" hidden="1" customWidth="1"/>
    <col min="33" max="33" width="9.140625" style="122"/>
    <col min="34" max="35" width="9.140625" hidden="1" customWidth="1"/>
    <col min="37" max="38" width="9.140625" hidden="1" customWidth="1"/>
    <col min="39" max="39" width="9.140625" style="122"/>
    <col min="40" max="41" width="9.140625" hidden="1" customWidth="1"/>
    <col min="42" max="42" width="9.140625" style="125"/>
    <col min="43" max="43" width="10.42578125" hidden="1" customWidth="1"/>
    <col min="44" max="44" width="9.140625" hidden="1" customWidth="1"/>
    <col min="45" max="45" width="48.7109375" style="130" customWidth="1"/>
    <col min="46" max="46" width="44.7109375" customWidth="1"/>
    <col min="47" max="50" width="9.140625" customWidth="1"/>
  </cols>
  <sheetData>
    <row r="1" spans="1:49" s="31" customFormat="1" ht="12.75">
      <c r="A1" s="151"/>
      <c r="B1" s="151"/>
      <c r="C1" s="151"/>
      <c r="D1" s="151"/>
      <c r="E1" s="29"/>
      <c r="F1" s="29"/>
      <c r="G1" s="29"/>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Q1" s="151"/>
      <c r="AR1" s="151"/>
      <c r="AS1" s="151"/>
    </row>
    <row r="2" spans="1:49" s="118" customFormat="1" ht="15.75">
      <c r="A2" s="403" t="s">
        <v>405</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196"/>
    </row>
    <row r="3" spans="1:49" s="118" customFormat="1" ht="15.75">
      <c r="A3" s="404"/>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197"/>
    </row>
    <row r="4" spans="1:49" s="31" customFormat="1" ht="12.75">
      <c r="A4" s="30"/>
      <c r="B4" s="151"/>
      <c r="C4" s="151"/>
      <c r="D4" s="151"/>
      <c r="E4" s="29"/>
      <c r="F4" s="29"/>
      <c r="G4" s="29"/>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02"/>
      <c r="AQ4" s="102"/>
      <c r="AR4" s="102"/>
      <c r="AS4" s="102"/>
    </row>
    <row r="5" spans="1:49" s="31" customFormat="1" ht="12.75">
      <c r="A5" s="402" t="s">
        <v>0</v>
      </c>
      <c r="B5" s="402" t="s">
        <v>261</v>
      </c>
      <c r="C5" s="405" t="s">
        <v>47</v>
      </c>
      <c r="D5" s="405" t="s">
        <v>262</v>
      </c>
      <c r="E5" s="402" t="s">
        <v>1</v>
      </c>
      <c r="F5" s="402" t="s">
        <v>263</v>
      </c>
      <c r="G5" s="402"/>
      <c r="H5" s="402"/>
      <c r="I5" s="402" t="s">
        <v>18</v>
      </c>
      <c r="J5" s="402"/>
      <c r="K5" s="402"/>
      <c r="L5" s="402" t="s">
        <v>19</v>
      </c>
      <c r="M5" s="402"/>
      <c r="N5" s="402"/>
      <c r="O5" s="402" t="s">
        <v>23</v>
      </c>
      <c r="P5" s="402"/>
      <c r="Q5" s="402"/>
      <c r="R5" s="402" t="s">
        <v>25</v>
      </c>
      <c r="S5" s="402"/>
      <c r="T5" s="402"/>
      <c r="U5" s="402" t="s">
        <v>26</v>
      </c>
      <c r="V5" s="402"/>
      <c r="W5" s="402"/>
      <c r="X5" s="402" t="s">
        <v>27</v>
      </c>
      <c r="Y5" s="402"/>
      <c r="Z5" s="402"/>
      <c r="AA5" s="402" t="s">
        <v>29</v>
      </c>
      <c r="AB5" s="402"/>
      <c r="AC5" s="402"/>
      <c r="AD5" s="402" t="s">
        <v>30</v>
      </c>
      <c r="AE5" s="402"/>
      <c r="AF5" s="402"/>
      <c r="AG5" s="402" t="s">
        <v>31</v>
      </c>
      <c r="AH5" s="402"/>
      <c r="AI5" s="402"/>
      <c r="AJ5" s="402" t="s">
        <v>33</v>
      </c>
      <c r="AK5" s="402"/>
      <c r="AL5" s="402"/>
      <c r="AM5" s="402" t="s">
        <v>34</v>
      </c>
      <c r="AN5" s="402"/>
      <c r="AO5" s="402"/>
      <c r="AP5" s="402" t="s">
        <v>35</v>
      </c>
      <c r="AQ5" s="402"/>
      <c r="AR5" s="402"/>
      <c r="AS5" s="400" t="s">
        <v>273</v>
      </c>
      <c r="AT5" s="401" t="s">
        <v>274</v>
      </c>
      <c r="AU5" s="32"/>
      <c r="AV5" s="32"/>
    </row>
    <row r="6" spans="1:49" s="31" customFormat="1" ht="25.5">
      <c r="A6" s="402"/>
      <c r="B6" s="402"/>
      <c r="C6" s="406"/>
      <c r="D6" s="406"/>
      <c r="E6" s="402"/>
      <c r="F6" s="195" t="s">
        <v>264</v>
      </c>
      <c r="G6" s="195" t="s">
        <v>265</v>
      </c>
      <c r="H6" s="128" t="s">
        <v>266</v>
      </c>
      <c r="I6" s="195" t="s">
        <v>264</v>
      </c>
      <c r="J6" s="195" t="s">
        <v>265</v>
      </c>
      <c r="K6" s="128" t="s">
        <v>266</v>
      </c>
      <c r="L6" s="195" t="s">
        <v>264</v>
      </c>
      <c r="M6" s="195" t="s">
        <v>265</v>
      </c>
      <c r="N6" s="128" t="s">
        <v>266</v>
      </c>
      <c r="O6" s="195" t="s">
        <v>264</v>
      </c>
      <c r="P6" s="195" t="s">
        <v>265</v>
      </c>
      <c r="Q6" s="128" t="s">
        <v>266</v>
      </c>
      <c r="R6" s="195" t="s">
        <v>264</v>
      </c>
      <c r="S6" s="195" t="s">
        <v>265</v>
      </c>
      <c r="T6" s="128" t="s">
        <v>266</v>
      </c>
      <c r="U6" s="195" t="s">
        <v>264</v>
      </c>
      <c r="V6" s="195" t="s">
        <v>265</v>
      </c>
      <c r="W6" s="128" t="s">
        <v>266</v>
      </c>
      <c r="X6" s="195" t="s">
        <v>264</v>
      </c>
      <c r="Y6" s="195" t="s">
        <v>265</v>
      </c>
      <c r="Z6" s="128" t="s">
        <v>266</v>
      </c>
      <c r="AA6" s="195" t="s">
        <v>264</v>
      </c>
      <c r="AB6" s="195" t="s">
        <v>265</v>
      </c>
      <c r="AC6" s="128" t="s">
        <v>266</v>
      </c>
      <c r="AD6" s="195" t="s">
        <v>264</v>
      </c>
      <c r="AE6" s="195" t="s">
        <v>265</v>
      </c>
      <c r="AF6" s="128" t="s">
        <v>266</v>
      </c>
      <c r="AG6" s="195" t="s">
        <v>264</v>
      </c>
      <c r="AH6" s="195" t="s">
        <v>265</v>
      </c>
      <c r="AI6" s="128" t="s">
        <v>266</v>
      </c>
      <c r="AJ6" s="195" t="s">
        <v>264</v>
      </c>
      <c r="AK6" s="195" t="s">
        <v>265</v>
      </c>
      <c r="AL6" s="128" t="s">
        <v>266</v>
      </c>
      <c r="AM6" s="195" t="s">
        <v>264</v>
      </c>
      <c r="AN6" s="195" t="s">
        <v>265</v>
      </c>
      <c r="AO6" s="128" t="s">
        <v>266</v>
      </c>
      <c r="AP6" s="195" t="s">
        <v>264</v>
      </c>
      <c r="AQ6" s="195" t="s">
        <v>265</v>
      </c>
      <c r="AR6" s="128" t="s">
        <v>266</v>
      </c>
      <c r="AS6" s="400"/>
      <c r="AT6" s="401"/>
    </row>
    <row r="7" spans="1:49" s="31" customFormat="1" ht="15.75">
      <c r="A7" s="352" t="s">
        <v>322</v>
      </c>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4"/>
    </row>
    <row r="8" spans="1:49" s="31" customFormat="1" ht="15.75">
      <c r="A8" s="352" t="s">
        <v>294</v>
      </c>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353"/>
      <c r="AQ8" s="353"/>
      <c r="AR8" s="353"/>
      <c r="AS8" s="353"/>
      <c r="AT8" s="354"/>
    </row>
    <row r="9" spans="1:49" s="100" customFormat="1" ht="12.75">
      <c r="A9" s="388" t="s">
        <v>267</v>
      </c>
      <c r="B9" s="389"/>
      <c r="C9" s="389"/>
      <c r="D9" s="390"/>
      <c r="E9" s="129" t="s">
        <v>42</v>
      </c>
      <c r="F9" s="106">
        <f>F10+F11+F12</f>
        <v>388439.29999999993</v>
      </c>
      <c r="G9" s="106">
        <f t="shared" ref="G9:AP9" si="0">G10+G11+G12</f>
        <v>82185.999999999985</v>
      </c>
      <c r="H9" s="106">
        <f t="shared" ref="H9:H17" si="1">G9/F9*100</f>
        <v>21.158003322526838</v>
      </c>
      <c r="I9" s="106">
        <f t="shared" si="0"/>
        <v>13186.399999999998</v>
      </c>
      <c r="J9" s="106">
        <f t="shared" si="0"/>
        <v>24711</v>
      </c>
      <c r="K9" s="106">
        <f>J9/I9*100</f>
        <v>187.39762179214952</v>
      </c>
      <c r="L9" s="106">
        <f t="shared" si="0"/>
        <v>40103.200000000004</v>
      </c>
      <c r="M9" s="106">
        <f t="shared" si="0"/>
        <v>31148.600000000002</v>
      </c>
      <c r="N9" s="106">
        <f>M9/L9*100</f>
        <v>77.67110853996688</v>
      </c>
      <c r="O9" s="106">
        <f t="shared" si="0"/>
        <v>34440.199999999997</v>
      </c>
      <c r="P9" s="106">
        <f t="shared" si="0"/>
        <v>26326.399999999998</v>
      </c>
      <c r="Q9" s="106">
        <f>P9/O9*100</f>
        <v>76.440903362930527</v>
      </c>
      <c r="R9" s="106">
        <f t="shared" si="0"/>
        <v>39588</v>
      </c>
      <c r="S9" s="106">
        <f t="shared" si="0"/>
        <v>0</v>
      </c>
      <c r="T9" s="106">
        <f>S9/R9*100</f>
        <v>0</v>
      </c>
      <c r="U9" s="106">
        <f t="shared" si="0"/>
        <v>31792.799999999996</v>
      </c>
      <c r="V9" s="106">
        <f t="shared" si="0"/>
        <v>0</v>
      </c>
      <c r="W9" s="106">
        <f>V9/U9*100</f>
        <v>0</v>
      </c>
      <c r="X9" s="106">
        <f t="shared" si="0"/>
        <v>37441.399999999994</v>
      </c>
      <c r="Y9" s="106">
        <f t="shared" si="0"/>
        <v>0</v>
      </c>
      <c r="Z9" s="106" t="e">
        <f t="shared" si="0"/>
        <v>#REF!</v>
      </c>
      <c r="AA9" s="106">
        <f t="shared" si="0"/>
        <v>46006.5</v>
      </c>
      <c r="AB9" s="106">
        <f t="shared" si="0"/>
        <v>0</v>
      </c>
      <c r="AC9" s="106" t="e">
        <f t="shared" si="0"/>
        <v>#REF!</v>
      </c>
      <c r="AD9" s="106">
        <f t="shared" si="0"/>
        <v>33870.399999999994</v>
      </c>
      <c r="AE9" s="106">
        <f t="shared" si="0"/>
        <v>0</v>
      </c>
      <c r="AF9" s="106">
        <f>AE9/AD9*100</f>
        <v>0</v>
      </c>
      <c r="AG9" s="106">
        <f t="shared" si="0"/>
        <v>24791.399999999998</v>
      </c>
      <c r="AH9" s="106">
        <f t="shared" si="0"/>
        <v>0</v>
      </c>
      <c r="AI9" s="106" t="e">
        <f t="shared" si="0"/>
        <v>#REF!</v>
      </c>
      <c r="AJ9" s="106">
        <f t="shared" si="0"/>
        <v>21830.899999999998</v>
      </c>
      <c r="AK9" s="106">
        <f t="shared" si="0"/>
        <v>0</v>
      </c>
      <c r="AL9" s="106" t="e">
        <f t="shared" si="0"/>
        <v>#REF!</v>
      </c>
      <c r="AM9" s="106">
        <f t="shared" si="0"/>
        <v>21887.199999999997</v>
      </c>
      <c r="AN9" s="106">
        <f t="shared" si="0"/>
        <v>0</v>
      </c>
      <c r="AO9" s="106" t="e">
        <f t="shared" si="0"/>
        <v>#REF!</v>
      </c>
      <c r="AP9" s="106">
        <f t="shared" si="0"/>
        <v>43500.899999999994</v>
      </c>
      <c r="AQ9" s="106" t="e">
        <f>#REF!+#REF!</f>
        <v>#REF!</v>
      </c>
      <c r="AR9" s="106" t="e">
        <f>#REF!+#REF!</f>
        <v>#REF!</v>
      </c>
      <c r="AS9" s="319"/>
      <c r="AT9" s="397"/>
      <c r="AU9" s="127"/>
    </row>
    <row r="10" spans="1:49" s="100" customFormat="1" ht="36">
      <c r="A10" s="391"/>
      <c r="B10" s="392"/>
      <c r="C10" s="392"/>
      <c r="D10" s="393"/>
      <c r="E10" s="111" t="s">
        <v>3</v>
      </c>
      <c r="F10" s="106">
        <f>F14+F18+F23+F26+F30</f>
        <v>94533.999999999971</v>
      </c>
      <c r="G10" s="106">
        <f>G14+G18+G23+G26+G30</f>
        <v>13891.1</v>
      </c>
      <c r="H10" s="106">
        <f t="shared" si="1"/>
        <v>14.694289885120702</v>
      </c>
      <c r="I10" s="106">
        <f>I14+I18+I23+I26+I30</f>
        <v>849.99999999999989</v>
      </c>
      <c r="J10" s="106">
        <f>J14+J18+J23+J26+J30</f>
        <v>826.6</v>
      </c>
      <c r="K10" s="106">
        <f t="shared" ref="K10:K12" si="2">J10/I10*100</f>
        <v>97.247058823529429</v>
      </c>
      <c r="L10" s="106">
        <f>L14+L18+L23+L26+L30</f>
        <v>6698.4</v>
      </c>
      <c r="M10" s="106">
        <f>M14+M18+M23+M26+M30</f>
        <v>6531.9000000000005</v>
      </c>
      <c r="N10" s="106">
        <f t="shared" ref="N10:N12" si="3">M10/L10*100</f>
        <v>97.514331780723779</v>
      </c>
      <c r="O10" s="106">
        <f>O14+O18+O23+O26+O30</f>
        <v>7010.7999999999993</v>
      </c>
      <c r="P10" s="106">
        <f>P14+P18+P23+P26+P30</f>
        <v>6532.6</v>
      </c>
      <c r="Q10" s="106">
        <f t="shared" ref="Q10:Q12" si="4">P10/O10*100</f>
        <v>93.179095110401107</v>
      </c>
      <c r="R10" s="106">
        <f>R14+R18+R23+R26+R30</f>
        <v>7150.7999999999993</v>
      </c>
      <c r="S10" s="106">
        <f>S14+S18+S23+S26+S30</f>
        <v>0</v>
      </c>
      <c r="T10" s="106">
        <f t="shared" ref="T10:T12" si="5">S10/R10*100</f>
        <v>0</v>
      </c>
      <c r="U10" s="106">
        <f>U14+U18+U23+U26+U30</f>
        <v>6616.3999999999987</v>
      </c>
      <c r="V10" s="106">
        <f>V14+V18+V23+V26+V30</f>
        <v>0</v>
      </c>
      <c r="W10" s="106">
        <f t="shared" ref="W10:W12" si="6">V10/U10*100</f>
        <v>0</v>
      </c>
      <c r="X10" s="106">
        <f>X14+X18+X23+X26+X30</f>
        <v>7788.7999999999993</v>
      </c>
      <c r="Y10" s="106">
        <f>Y14+Y18+Y23+Y26+Y30</f>
        <v>0</v>
      </c>
      <c r="Z10" s="106" t="e">
        <f>Z14+Z18+Z23+Z26+#REF!+#REF!+#REF!+#REF!+#REF!+#REF!+#REF!+#REF!+#REF!+#REF!</f>
        <v>#REF!</v>
      </c>
      <c r="AA10" s="106">
        <f>AA14+AA18+AA23+AA26+AA30</f>
        <v>8153.3</v>
      </c>
      <c r="AB10" s="106">
        <f>AB14+AB18+AB23+AB26+AB30</f>
        <v>0</v>
      </c>
      <c r="AC10" s="106" t="e">
        <f>AC14+AC18+AC23+AC26+#REF!+#REF!+#REF!+#REF!+#REF!+#REF!+#REF!+#REF!+#REF!+#REF!</f>
        <v>#REF!</v>
      </c>
      <c r="AD10" s="106">
        <f>AD14+AD18+AD23+AD26+AD30</f>
        <v>9168.0999999999985</v>
      </c>
      <c r="AE10" s="106">
        <f>AE14+AE18+AE23+AE26+AE30</f>
        <v>0</v>
      </c>
      <c r="AF10" s="106">
        <f t="shared" ref="AF10:AF25" si="7">AE10/AD10*100</f>
        <v>0</v>
      </c>
      <c r="AG10" s="106">
        <f>AG14+AG18+AG23+AG26+AG30</f>
        <v>6977.7</v>
      </c>
      <c r="AH10" s="106">
        <f>AH14+AH18+AH23+AH26+AH30</f>
        <v>0</v>
      </c>
      <c r="AI10" s="106" t="e">
        <f>AI14+AI18+AI23+AI26+#REF!+#REF!+#REF!+#REF!+#REF!+#REF!+#REF!+#REF!+#REF!+#REF!</f>
        <v>#REF!</v>
      </c>
      <c r="AJ10" s="106">
        <f>AJ14+AJ18+AJ23+AJ26+AJ30</f>
        <v>7065.1999999999989</v>
      </c>
      <c r="AK10" s="106">
        <f>AK14+AK18+AK23+AK26+AK30</f>
        <v>0</v>
      </c>
      <c r="AL10" s="106" t="e">
        <f>AL14+AL18+AL23+AL26+#REF!+#REF!+#REF!+#REF!+#REF!+#REF!+#REF!+#REF!+#REF!+#REF!</f>
        <v>#REF!</v>
      </c>
      <c r="AM10" s="106">
        <f>AM14+AM18+AM23+AM26+AM30</f>
        <v>7081.0999999999995</v>
      </c>
      <c r="AN10" s="106">
        <f>AN14+AN18+AN23+AN26+AN30</f>
        <v>0</v>
      </c>
      <c r="AO10" s="106" t="e">
        <f>AO14+AO18+AO23+AO26+#REF!+#REF!+#REF!+#REF!+#REF!+#REF!+#REF!+#REF!+#REF!+#REF!</f>
        <v>#REF!</v>
      </c>
      <c r="AP10" s="106">
        <f>AP14+AP18+AP23+AP26+AP30</f>
        <v>19973.399999999998</v>
      </c>
      <c r="AQ10" s="106">
        <f>AQ14+AQ18+AQ23+AQ26+AQ30</f>
        <v>0</v>
      </c>
      <c r="AR10" s="106" t="e">
        <f>AR14+AR18+AR23+AR26+#REF!+#REF!+#REF!+#REF!+#REF!+#REF!+#REF!+#REF!+#REF!+#REF!</f>
        <v>#REF!</v>
      </c>
      <c r="AS10" s="320"/>
      <c r="AT10" s="398"/>
      <c r="AU10" s="127"/>
    </row>
    <row r="11" spans="1:49" s="100" customFormat="1" ht="24">
      <c r="A11" s="391"/>
      <c r="B11" s="392"/>
      <c r="C11" s="392"/>
      <c r="D11" s="393"/>
      <c r="E11" s="111" t="s">
        <v>44</v>
      </c>
      <c r="F11" s="106">
        <f>F15+F19+F24+F27+F31</f>
        <v>288073.19999999995</v>
      </c>
      <c r="G11" s="106">
        <f>G15+G19+G24+G27+G31</f>
        <v>67488.999999999985</v>
      </c>
      <c r="H11" s="106">
        <f t="shared" si="1"/>
        <v>23.427726008528388</v>
      </c>
      <c r="I11" s="106">
        <f>I15+I19+I24+I27+I31</f>
        <v>12074.599999999999</v>
      </c>
      <c r="J11" s="106">
        <f>J15+J19+J24+J27+J31</f>
        <v>23884.400000000001</v>
      </c>
      <c r="K11" s="106">
        <f t="shared" si="2"/>
        <v>197.80696669040799</v>
      </c>
      <c r="L11" s="106">
        <f>L15+L19+L24+L27+L31</f>
        <v>33068.300000000003</v>
      </c>
      <c r="M11" s="106">
        <f>M15+M19+M24+M27+M31</f>
        <v>24395.100000000002</v>
      </c>
      <c r="N11" s="106">
        <f t="shared" si="3"/>
        <v>73.771860059331757</v>
      </c>
      <c r="O11" s="106">
        <f>O15+O19+O24+O27+O31</f>
        <v>26703.1</v>
      </c>
      <c r="P11" s="106">
        <f>P15+P19+P24+P27+P31</f>
        <v>19209.5</v>
      </c>
      <c r="Q11" s="106">
        <f t="shared" si="4"/>
        <v>71.937340608393782</v>
      </c>
      <c r="R11" s="106">
        <f>R15+R19+R24+R27+R31</f>
        <v>31696.600000000002</v>
      </c>
      <c r="S11" s="106">
        <f>S15+S19+S24+S27+S31</f>
        <v>0</v>
      </c>
      <c r="T11" s="106">
        <f t="shared" si="5"/>
        <v>0</v>
      </c>
      <c r="U11" s="106">
        <f>U15+U19+U24+U27+U31</f>
        <v>24696.699999999997</v>
      </c>
      <c r="V11" s="106">
        <f>V15+V19+V24+V27+V31</f>
        <v>0</v>
      </c>
      <c r="W11" s="106">
        <f t="shared" si="6"/>
        <v>0</v>
      </c>
      <c r="X11" s="106">
        <f>X15+X19+X24+X27+X31</f>
        <v>29200.899999999994</v>
      </c>
      <c r="Y11" s="106">
        <f>Y15+Y19+Y24+Y27+Y31</f>
        <v>0</v>
      </c>
      <c r="Z11" s="106" t="e">
        <f>Z15+Z19+Z24+Z27+#REF!+#REF!+#REF!+#REF!+#REF!+#REF!+#REF!+#REF!+#REF!+#REF!</f>
        <v>#REF!</v>
      </c>
      <c r="AA11" s="106">
        <f>AA15+AA19+AA24+AA27+AA31</f>
        <v>37184.1</v>
      </c>
      <c r="AB11" s="106">
        <f>AB15+AB19+AB24+AB27+AB31</f>
        <v>0</v>
      </c>
      <c r="AC11" s="106" t="e">
        <f>AC15+AC19+AC24+AC27+#REF!+#REF!+#REF!+#REF!+#REF!+#REF!+#REF!+#REF!+#REF!+#REF!</f>
        <v>#REF!</v>
      </c>
      <c r="AD11" s="106">
        <f>AD15+AD19+AD24+AD27+AD31</f>
        <v>24183.3</v>
      </c>
      <c r="AE11" s="106">
        <f>AE15+AE19+AE24+AE27+AE31</f>
        <v>0</v>
      </c>
      <c r="AF11" s="106">
        <f t="shared" si="7"/>
        <v>0</v>
      </c>
      <c r="AG11" s="106">
        <f>AG15+AG19+AG24+AG27+AG31</f>
        <v>17512.099999999999</v>
      </c>
      <c r="AH11" s="106">
        <f>AH15+AH19+AH24+AH27+AH31</f>
        <v>0</v>
      </c>
      <c r="AI11" s="106" t="e">
        <f>AI15+AI19+AI24+AI27+#REF!+#REF!+#REF!+#REF!+#REF!+#REF!+#REF!+#REF!+#REF!+#REF!</f>
        <v>#REF!</v>
      </c>
      <c r="AJ11" s="106">
        <f>AJ15+AJ19+AJ24+AJ27+AJ31</f>
        <v>14201.1</v>
      </c>
      <c r="AK11" s="106">
        <f>AK15+AK19+AK24+AK27+AK31</f>
        <v>0</v>
      </c>
      <c r="AL11" s="106" t="e">
        <f>AL15+AL19+AL24+AL27+#REF!+#REF!+#REF!+#REF!+#REF!+#REF!+#REF!+#REF!+#REF!+#REF!</f>
        <v>#REF!</v>
      </c>
      <c r="AM11" s="106">
        <f>AM15+AM19+AM24+AM27+AM31</f>
        <v>14279.699999999997</v>
      </c>
      <c r="AN11" s="106">
        <f>AN15+AN19+AN24+AN27+AN31</f>
        <v>0</v>
      </c>
      <c r="AO11" s="106" t="e">
        <f>AO15+AO19+AO24+AO27+#REF!+#REF!+#REF!+#REF!+#REF!+#REF!+#REF!+#REF!+#REF!+#REF!</f>
        <v>#REF!</v>
      </c>
      <c r="AP11" s="106">
        <f>AP15+AP19+AP24+AP27+AP31</f>
        <v>23272.699999999997</v>
      </c>
      <c r="AQ11" s="106">
        <f>AQ15+AQ19+AQ24+AQ27+AQ31</f>
        <v>0</v>
      </c>
      <c r="AR11" s="106" t="e">
        <f>AR15+AR19+AR24+AR27+#REF!+#REF!+#REF!+#REF!+#REF!+#REF!+#REF!+#REF!+#REF!+#REF!</f>
        <v>#REF!</v>
      </c>
      <c r="AS11" s="320"/>
      <c r="AT11" s="398"/>
      <c r="AU11" s="127"/>
    </row>
    <row r="12" spans="1:49" s="100" customFormat="1" ht="24">
      <c r="A12" s="394"/>
      <c r="B12" s="395"/>
      <c r="C12" s="395"/>
      <c r="D12" s="396"/>
      <c r="E12" s="110" t="s">
        <v>257</v>
      </c>
      <c r="F12" s="106">
        <f>F16+F20+F28</f>
        <v>5832.0999999999995</v>
      </c>
      <c r="G12" s="106">
        <f>G16+G20+G28</f>
        <v>805.9</v>
      </c>
      <c r="H12" s="106">
        <f t="shared" si="1"/>
        <v>13.818350165463556</v>
      </c>
      <c r="I12" s="106">
        <f>I16+I20+I28</f>
        <v>261.8</v>
      </c>
      <c r="J12" s="106">
        <f>J16+J20+J28</f>
        <v>0</v>
      </c>
      <c r="K12" s="106">
        <f t="shared" si="2"/>
        <v>0</v>
      </c>
      <c r="L12" s="106">
        <f>L16+L20+L28</f>
        <v>336.5</v>
      </c>
      <c r="M12" s="106">
        <f>M16+M20+M28</f>
        <v>221.6</v>
      </c>
      <c r="N12" s="106">
        <f t="shared" si="3"/>
        <v>65.854383358098062</v>
      </c>
      <c r="O12" s="106">
        <f>O16+O20+O28</f>
        <v>726.3</v>
      </c>
      <c r="P12" s="106">
        <f>P16+P20+P28</f>
        <v>584.29999999999995</v>
      </c>
      <c r="Q12" s="106">
        <f t="shared" si="4"/>
        <v>80.448850337326178</v>
      </c>
      <c r="R12" s="106">
        <f>R16+R20+R28</f>
        <v>740.6</v>
      </c>
      <c r="S12" s="106">
        <f>S16+S20+S28</f>
        <v>0</v>
      </c>
      <c r="T12" s="106">
        <f t="shared" si="5"/>
        <v>0</v>
      </c>
      <c r="U12" s="106">
        <f>U16+U20+U28</f>
        <v>479.7</v>
      </c>
      <c r="V12" s="106">
        <f>V16+V20+V28</f>
        <v>0</v>
      </c>
      <c r="W12" s="106">
        <f t="shared" si="6"/>
        <v>0</v>
      </c>
      <c r="X12" s="106">
        <f>X16+X20+X28</f>
        <v>451.70000000000005</v>
      </c>
      <c r="Y12" s="106">
        <f>Y16+Y20+Y28</f>
        <v>0</v>
      </c>
      <c r="Z12" s="106" t="e">
        <f>Z16+Z20+#REF!+Z28+#REF!+#REF!+#REF!+#REF!+#REF!+#REF!+#REF!+#REF!+#REF!+#REF!</f>
        <v>#REF!</v>
      </c>
      <c r="AA12" s="106">
        <f>AA16+AA20+AA28</f>
        <v>669.1</v>
      </c>
      <c r="AB12" s="106">
        <f>AB16+AB20+AB28</f>
        <v>0</v>
      </c>
      <c r="AC12" s="106" t="e">
        <f>AC16+AC20+#REF!+AC28+#REF!+#REF!+#REF!+#REF!+#REF!+#REF!+#REF!+#REF!+#REF!+#REF!</f>
        <v>#REF!</v>
      </c>
      <c r="AD12" s="106">
        <f>AD16+AD20+AD28</f>
        <v>519</v>
      </c>
      <c r="AE12" s="106">
        <f>AE16+AE20+AE28</f>
        <v>0</v>
      </c>
      <c r="AF12" s="106">
        <f t="shared" si="7"/>
        <v>0</v>
      </c>
      <c r="AG12" s="106">
        <f>AG16+AG20+AG28</f>
        <v>301.60000000000002</v>
      </c>
      <c r="AH12" s="106">
        <f>AH16+AH20+AH28</f>
        <v>0</v>
      </c>
      <c r="AI12" s="106" t="e">
        <f>AI16+AI20+#REF!+AI28+#REF!+#REF!+#REF!+#REF!+#REF!+#REF!+#REF!+#REF!+#REF!+#REF!+#REF!</f>
        <v>#REF!</v>
      </c>
      <c r="AJ12" s="106">
        <f>AJ16+AJ20+AJ28</f>
        <v>564.6</v>
      </c>
      <c r="AK12" s="106">
        <f>AK16+AK20+AK28</f>
        <v>0</v>
      </c>
      <c r="AL12" s="106" t="e">
        <f>AL16+AL20+#REF!+AL28+#REF!+#REF!+#REF!+#REF!+#REF!+#REF!+#REF!+#REF!+#REF!+#REF!+#REF!</f>
        <v>#REF!</v>
      </c>
      <c r="AM12" s="106">
        <f>AM16+AM20+AM28</f>
        <v>526.4</v>
      </c>
      <c r="AN12" s="106">
        <f>AN16+AN20+AN28</f>
        <v>0</v>
      </c>
      <c r="AO12" s="106" t="e">
        <f>AO16+AO20+#REF!+AO28+#REF!+#REF!+#REF!+#REF!+#REF!+#REF!+#REF!+#REF!+#REF!+#REF!+#REF!</f>
        <v>#REF!</v>
      </c>
      <c r="AP12" s="106">
        <f>AP16+AP20+AP28</f>
        <v>254.8</v>
      </c>
      <c r="AQ12" s="106">
        <f>AQ16+AQ20+AQ28</f>
        <v>0</v>
      </c>
      <c r="AR12" s="106" t="e">
        <f>AR16+AR20+#REF!+AR28+#REF!+#REF!+#REF!+#REF!+#REF!+#REF!+#REF!+#REF!+#REF!+#REF!</f>
        <v>#REF!</v>
      </c>
      <c r="AS12" s="321"/>
      <c r="AT12" s="399"/>
      <c r="AU12" s="127"/>
    </row>
    <row r="13" spans="1:49" s="31" customFormat="1" ht="12.75">
      <c r="A13" s="367" t="s">
        <v>323</v>
      </c>
      <c r="B13" s="331" t="s">
        <v>324</v>
      </c>
      <c r="C13" s="334" t="s">
        <v>325</v>
      </c>
      <c r="D13" s="334" t="s">
        <v>326</v>
      </c>
      <c r="E13" s="107" t="s">
        <v>42</v>
      </c>
      <c r="F13" s="104">
        <f>SUM(F14:F16)</f>
        <v>301286.39999999991</v>
      </c>
      <c r="G13" s="123">
        <f t="shared" ref="G13:P13" si="8">SUM(G14:G16)</f>
        <v>61490.299999999996</v>
      </c>
      <c r="H13" s="123">
        <f t="shared" si="1"/>
        <v>20.40925179496984</v>
      </c>
      <c r="I13" s="123">
        <f t="shared" si="8"/>
        <v>6660</v>
      </c>
      <c r="J13" s="123">
        <f t="shared" si="8"/>
        <v>18204.3</v>
      </c>
      <c r="K13" s="123">
        <f>J13/I13*100</f>
        <v>273.33783783783781</v>
      </c>
      <c r="L13" s="123">
        <f t="shared" si="8"/>
        <v>32305.4</v>
      </c>
      <c r="M13" s="123">
        <f t="shared" si="8"/>
        <v>23626.699999999997</v>
      </c>
      <c r="N13" s="123">
        <f>M13/L13*100</f>
        <v>73.135451039145153</v>
      </c>
      <c r="O13" s="123">
        <f t="shared" si="8"/>
        <v>27055.399999999998</v>
      </c>
      <c r="P13" s="123">
        <f t="shared" si="8"/>
        <v>19659.3</v>
      </c>
      <c r="Q13" s="123">
        <f>P13/O13*100</f>
        <v>72.66312824796529</v>
      </c>
      <c r="R13" s="123">
        <f t="shared" ref="R13:AR13" si="9">SUM(R14:R16)</f>
        <v>31994.9</v>
      </c>
      <c r="S13" s="123">
        <f t="shared" si="9"/>
        <v>0</v>
      </c>
      <c r="T13" s="123">
        <f>S13/R13*100</f>
        <v>0</v>
      </c>
      <c r="U13" s="123">
        <f t="shared" si="9"/>
        <v>24241.5</v>
      </c>
      <c r="V13" s="123">
        <f t="shared" si="9"/>
        <v>0</v>
      </c>
      <c r="W13" s="123">
        <f>V13/U13*100</f>
        <v>0</v>
      </c>
      <c r="X13" s="123">
        <f t="shared" si="9"/>
        <v>27456.999999999996</v>
      </c>
      <c r="Y13" s="123">
        <f t="shared" si="9"/>
        <v>0</v>
      </c>
      <c r="Z13" s="123">
        <f t="shared" si="9"/>
        <v>0</v>
      </c>
      <c r="AA13" s="104">
        <f t="shared" si="9"/>
        <v>37585.5</v>
      </c>
      <c r="AB13" s="123">
        <f t="shared" si="9"/>
        <v>0</v>
      </c>
      <c r="AC13" s="123">
        <f t="shared" si="9"/>
        <v>0</v>
      </c>
      <c r="AD13" s="104">
        <f t="shared" si="9"/>
        <v>26895.1</v>
      </c>
      <c r="AE13" s="104">
        <f t="shared" si="9"/>
        <v>0</v>
      </c>
      <c r="AF13" s="104">
        <f t="shared" si="7"/>
        <v>0</v>
      </c>
      <c r="AG13" s="104">
        <f t="shared" si="9"/>
        <v>18474.699999999997</v>
      </c>
      <c r="AH13" s="123">
        <f t="shared" si="9"/>
        <v>0</v>
      </c>
      <c r="AI13" s="123">
        <v>0</v>
      </c>
      <c r="AJ13" s="123">
        <f t="shared" si="9"/>
        <v>15428.3</v>
      </c>
      <c r="AK13" s="123">
        <f t="shared" si="9"/>
        <v>0</v>
      </c>
      <c r="AL13" s="123">
        <f t="shared" si="9"/>
        <v>0</v>
      </c>
      <c r="AM13" s="104">
        <f t="shared" si="9"/>
        <v>16324.299999999997</v>
      </c>
      <c r="AN13" s="123">
        <f t="shared" si="9"/>
        <v>0</v>
      </c>
      <c r="AO13" s="123">
        <f t="shared" si="9"/>
        <v>0</v>
      </c>
      <c r="AP13" s="104">
        <f t="shared" si="9"/>
        <v>36864.300000000003</v>
      </c>
      <c r="AQ13" s="123">
        <f t="shared" si="9"/>
        <v>0</v>
      </c>
      <c r="AR13" s="123">
        <f t="shared" si="9"/>
        <v>0</v>
      </c>
      <c r="AS13" s="340" t="s">
        <v>430</v>
      </c>
      <c r="AT13" s="446" t="s">
        <v>428</v>
      </c>
      <c r="AU13" s="121"/>
      <c r="AV13" s="121"/>
      <c r="AW13" s="155"/>
    </row>
    <row r="14" spans="1:49" s="31" customFormat="1" ht="36">
      <c r="A14" s="368"/>
      <c r="B14" s="332"/>
      <c r="C14" s="335"/>
      <c r="D14" s="335"/>
      <c r="E14" s="108" t="s">
        <v>3</v>
      </c>
      <c r="F14" s="123">
        <f>I14+L14+O14+R14+U14+X14+AA14+AD14+AG14+AJ14+AM14+AP14</f>
        <v>91986.599999999977</v>
      </c>
      <c r="G14" s="123">
        <f>J14+M14+P14+S14+V14+Y14+AB14+AE14+AH14+AK14+AN14+AQ14</f>
        <v>13734.2</v>
      </c>
      <c r="H14" s="123">
        <f t="shared" si="1"/>
        <v>14.930652942928649</v>
      </c>
      <c r="I14" s="123">
        <f>47.4+15+887.2+85-184.6</f>
        <v>849.99999999999989</v>
      </c>
      <c r="J14" s="123">
        <v>826.6</v>
      </c>
      <c r="K14" s="123">
        <f>J14/I14*100</f>
        <v>97.247058823529429</v>
      </c>
      <c r="L14" s="123">
        <f>5300+92.5+1181.4</f>
        <v>6573.9</v>
      </c>
      <c r="M14" s="123">
        <v>6488.1</v>
      </c>
      <c r="N14" s="123">
        <f>M14/L14*100</f>
        <v>98.694838680235492</v>
      </c>
      <c r="O14" s="123">
        <f>5300+79.4+1165.4-6.3+184.6-147.7+295.4</f>
        <v>6870.7999999999993</v>
      </c>
      <c r="P14" s="123">
        <v>6419.5</v>
      </c>
      <c r="Q14" s="123">
        <f>P14/O14*100</f>
        <v>93.431623682831699</v>
      </c>
      <c r="R14" s="123">
        <f>5300+226+5+1479.9</f>
        <v>7010.9</v>
      </c>
      <c r="S14" s="123">
        <v>0</v>
      </c>
      <c r="T14" s="123">
        <v>0</v>
      </c>
      <c r="U14" s="117">
        <f>5300+19.7+79.4+21+897.9+136</f>
        <v>6453.9999999999991</v>
      </c>
      <c r="V14" s="117">
        <v>0</v>
      </c>
      <c r="W14" s="117">
        <v>0</v>
      </c>
      <c r="X14" s="117">
        <f>6259+53.9+5+1168.2-27.8+0.1</f>
        <v>7458.4</v>
      </c>
      <c r="Y14" s="117">
        <v>0</v>
      </c>
      <c r="Z14" s="117">
        <v>0</v>
      </c>
      <c r="AA14" s="123">
        <f>5350+60+305.7+5+2083.4</f>
        <v>7804.1</v>
      </c>
      <c r="AB14" s="123">
        <v>0</v>
      </c>
      <c r="AC14" s="123">
        <v>0</v>
      </c>
      <c r="AD14" s="117">
        <f>7486+216.1+5+1166.4-53.2</f>
        <v>8820.2999999999993</v>
      </c>
      <c r="AE14" s="117">
        <v>0</v>
      </c>
      <c r="AF14" s="117">
        <v>0</v>
      </c>
      <c r="AG14" s="117">
        <f>108.1+5300+71+123+136.5+561.4+365.7-0.1</f>
        <v>6665.5999999999995</v>
      </c>
      <c r="AH14" s="117">
        <v>0</v>
      </c>
      <c r="AI14" s="123">
        <v>0</v>
      </c>
      <c r="AJ14" s="123">
        <f>5250+113.9+5+1439.4</f>
        <v>6808.2999999999993</v>
      </c>
      <c r="AK14" s="123">
        <v>0</v>
      </c>
      <c r="AL14" s="123">
        <v>0</v>
      </c>
      <c r="AM14" s="117">
        <f>5250+100.2+79.5+325.1+1162.1</f>
        <v>6916.9</v>
      </c>
      <c r="AN14" s="117">
        <v>0</v>
      </c>
      <c r="AO14" s="117">
        <v>0</v>
      </c>
      <c r="AP14" s="117">
        <f>11.1+17482.4+151.9+226.6+1870.8-217.2-85+395.6-82.8</f>
        <v>19753.399999999998</v>
      </c>
      <c r="AQ14" s="123"/>
      <c r="AR14" s="123"/>
      <c r="AS14" s="341"/>
      <c r="AT14" s="447"/>
      <c r="AU14" s="121"/>
      <c r="AV14" s="121"/>
      <c r="AW14" s="155"/>
    </row>
    <row r="15" spans="1:49" s="31" customFormat="1" ht="12.75">
      <c r="A15" s="368"/>
      <c r="B15" s="332"/>
      <c r="C15" s="335"/>
      <c r="D15" s="335"/>
      <c r="E15" s="108" t="s">
        <v>44</v>
      </c>
      <c r="F15" s="123">
        <f t="shared" ref="F15:G16" si="10">I15+L15+O15+R15+U15+X15+AA15+AD15+AG15+AJ15+AM15+AP15</f>
        <v>203467.69999999998</v>
      </c>
      <c r="G15" s="123">
        <f t="shared" si="10"/>
        <v>46950.2</v>
      </c>
      <c r="H15" s="123">
        <f t="shared" si="1"/>
        <v>23.075013871980662</v>
      </c>
      <c r="I15" s="123">
        <v>5548.2</v>
      </c>
      <c r="J15" s="123">
        <v>17377.7</v>
      </c>
      <c r="K15" s="123">
        <f>J15/I15*100</f>
        <v>313.213294401788</v>
      </c>
      <c r="L15" s="123">
        <f>517.2+2195.7+21252+496.8+361.9+645.7-74+0.3-0.6</f>
        <v>25395.000000000004</v>
      </c>
      <c r="M15" s="123">
        <v>16917</v>
      </c>
      <c r="N15" s="123">
        <f t="shared" ref="N15:N22" si="11">M15/L15*100</f>
        <v>66.615475487300628</v>
      </c>
      <c r="O15" s="123">
        <f>938.9+1669.1+15140.2+361.8+251.7+81+61.3-1+41.1+913.8+0.4</f>
        <v>19458.3</v>
      </c>
      <c r="P15" s="123">
        <v>12655.5</v>
      </c>
      <c r="Q15" s="123">
        <f t="shared" ref="Q15:Q22" si="12">P15/O15*100</f>
        <v>65.039083578729901</v>
      </c>
      <c r="R15" s="123">
        <f>662.3+2139.5+21249.9+500+398.9+68.6+40-815.8</f>
        <v>24243.4</v>
      </c>
      <c r="S15" s="123">
        <v>0</v>
      </c>
      <c r="T15" s="123">
        <f t="shared" ref="T15:T22" si="13">S15/R15*100</f>
        <v>0</v>
      </c>
      <c r="U15" s="117">
        <f>114.6+1286.2+14324.5+500+499.1+290.4+293</f>
        <v>17307.8</v>
      </c>
      <c r="V15" s="117">
        <v>0</v>
      </c>
      <c r="W15" s="123">
        <f t="shared" ref="W15" si="14">V15/U15*100</f>
        <v>0</v>
      </c>
      <c r="X15" s="117">
        <f>334.2+1608.2+15696.6+500+535.6+174.6-0.2-122.8+820.7</f>
        <v>19546.899999999998</v>
      </c>
      <c r="Y15" s="117">
        <v>0</v>
      </c>
      <c r="Z15" s="117">
        <f>Y15/X15*100</f>
        <v>0</v>
      </c>
      <c r="AA15" s="105">
        <f>456.7+2982.6+24667.5+500+461.9+43.6</f>
        <v>29112.3</v>
      </c>
      <c r="AB15" s="117">
        <v>0</v>
      </c>
      <c r="AC15" s="117">
        <f>AB15/AA15*100</f>
        <v>0</v>
      </c>
      <c r="AD15" s="105">
        <f>205.2+996.9+15105+500+466.9+281.8</f>
        <v>17555.8</v>
      </c>
      <c r="AE15" s="105">
        <v>0</v>
      </c>
      <c r="AF15" s="117">
        <f>AE15/AD15*100</f>
        <v>0</v>
      </c>
      <c r="AG15" s="105">
        <f>410.5+1275+9041.8+500+537.9+527.3-0.2-784.8</f>
        <v>11507.499999999998</v>
      </c>
      <c r="AH15" s="117">
        <v>0</v>
      </c>
      <c r="AI15" s="117">
        <v>0</v>
      </c>
      <c r="AJ15" s="123">
        <f>340.9+1654.3+2843.2+250+761.9+280.1+1925</f>
        <v>8055.4</v>
      </c>
      <c r="AK15" s="123">
        <v>0</v>
      </c>
      <c r="AL15" s="123">
        <v>0</v>
      </c>
      <c r="AM15" s="105">
        <f>165.1+1038+6305.7+250+841.9+280.3</f>
        <v>8880.9999999999982</v>
      </c>
      <c r="AN15" s="117">
        <v>0</v>
      </c>
      <c r="AO15" s="117">
        <v>0</v>
      </c>
      <c r="AP15" s="104">
        <f>257+1140.6+13806+958+795.4-41.1-98+74.1-0.3+0.6-36.2</f>
        <v>16856.099999999999</v>
      </c>
      <c r="AQ15" s="123"/>
      <c r="AR15" s="123"/>
      <c r="AS15" s="341"/>
      <c r="AT15" s="447"/>
      <c r="AU15" s="121"/>
      <c r="AV15" s="121"/>
      <c r="AW15" s="155"/>
    </row>
    <row r="16" spans="1:49" s="31" customFormat="1" ht="71.25" customHeight="1">
      <c r="A16" s="369"/>
      <c r="B16" s="333"/>
      <c r="C16" s="336"/>
      <c r="D16" s="336"/>
      <c r="E16" s="109" t="s">
        <v>257</v>
      </c>
      <c r="F16" s="123">
        <f t="shared" si="10"/>
        <v>5832.0999999999995</v>
      </c>
      <c r="G16" s="123">
        <f t="shared" si="10"/>
        <v>805.9</v>
      </c>
      <c r="H16" s="123">
        <f t="shared" si="1"/>
        <v>13.818350165463556</v>
      </c>
      <c r="I16" s="123">
        <v>261.8</v>
      </c>
      <c r="J16" s="123">
        <v>0</v>
      </c>
      <c r="K16" s="123">
        <f>J16/I16*100</f>
        <v>0</v>
      </c>
      <c r="L16" s="123">
        <v>336.5</v>
      </c>
      <c r="M16" s="123">
        <v>221.6</v>
      </c>
      <c r="N16" s="123">
        <f t="shared" si="11"/>
        <v>65.854383358098062</v>
      </c>
      <c r="O16" s="123">
        <f>811.3-84.7-0.3</f>
        <v>726.3</v>
      </c>
      <c r="P16" s="123">
        <v>584.29999999999995</v>
      </c>
      <c r="Q16" s="123">
        <f t="shared" si="12"/>
        <v>80.448850337326178</v>
      </c>
      <c r="R16" s="123">
        <v>740.6</v>
      </c>
      <c r="S16" s="123">
        <v>0</v>
      </c>
      <c r="T16" s="123">
        <v>0</v>
      </c>
      <c r="U16" s="117">
        <v>479.7</v>
      </c>
      <c r="V16" s="117">
        <v>0</v>
      </c>
      <c r="W16" s="117">
        <v>0</v>
      </c>
      <c r="X16" s="117">
        <f>352.8+98.9</f>
        <v>451.70000000000005</v>
      </c>
      <c r="Y16" s="117">
        <v>0</v>
      </c>
      <c r="Z16" s="117">
        <v>0</v>
      </c>
      <c r="AA16" s="123">
        <f>825.5-156.4</f>
        <v>669.1</v>
      </c>
      <c r="AB16" s="123">
        <v>0</v>
      </c>
      <c r="AC16" s="123">
        <v>0</v>
      </c>
      <c r="AD16" s="117">
        <f>457.7+61.3</f>
        <v>519</v>
      </c>
      <c r="AE16" s="117">
        <v>0</v>
      </c>
      <c r="AF16" s="117">
        <v>0</v>
      </c>
      <c r="AG16" s="117">
        <v>301.60000000000002</v>
      </c>
      <c r="AH16" s="117"/>
      <c r="AI16" s="117"/>
      <c r="AJ16" s="123">
        <v>564.6</v>
      </c>
      <c r="AK16" s="123">
        <v>0</v>
      </c>
      <c r="AL16" s="123">
        <v>0</v>
      </c>
      <c r="AM16" s="117">
        <f>441.7+84.7</f>
        <v>526.4</v>
      </c>
      <c r="AN16" s="117">
        <v>0</v>
      </c>
      <c r="AO16" s="117">
        <v>0</v>
      </c>
      <c r="AP16" s="117">
        <f>197+57.8</f>
        <v>254.8</v>
      </c>
      <c r="AQ16" s="123"/>
      <c r="AR16" s="123"/>
      <c r="AS16" s="342"/>
      <c r="AT16" s="448"/>
      <c r="AU16" s="121"/>
      <c r="AV16" s="121"/>
      <c r="AW16" s="155"/>
    </row>
    <row r="17" spans="1:49" s="31" customFormat="1" ht="12.75">
      <c r="A17" s="367" t="s">
        <v>327</v>
      </c>
      <c r="B17" s="331" t="s">
        <v>328</v>
      </c>
      <c r="C17" s="334" t="s">
        <v>329</v>
      </c>
      <c r="D17" s="337" t="s">
        <v>330</v>
      </c>
      <c r="E17" s="107" t="s">
        <v>42</v>
      </c>
      <c r="F17" s="123">
        <f>SUM(F18:F20)</f>
        <v>77800</v>
      </c>
      <c r="G17" s="123">
        <f t="shared" ref="G17:P17" si="15">SUM(G18:G20)</f>
        <v>18872.599999999999</v>
      </c>
      <c r="H17" s="123">
        <f t="shared" si="1"/>
        <v>24.257840616966579</v>
      </c>
      <c r="I17" s="123">
        <f t="shared" si="15"/>
        <v>6091.6</v>
      </c>
      <c r="J17" s="123">
        <f t="shared" si="15"/>
        <v>6082.4</v>
      </c>
      <c r="K17" s="123">
        <f>J17/I17*100</f>
        <v>99.848972355374599</v>
      </c>
      <c r="L17" s="123">
        <f t="shared" si="15"/>
        <v>6886.9</v>
      </c>
      <c r="M17" s="123">
        <f t="shared" si="15"/>
        <v>6744.5</v>
      </c>
      <c r="N17" s="123">
        <f t="shared" si="11"/>
        <v>97.932306262614532</v>
      </c>
      <c r="O17" s="123">
        <f t="shared" si="15"/>
        <v>6537.7</v>
      </c>
      <c r="P17" s="123">
        <f t="shared" si="15"/>
        <v>6045.7</v>
      </c>
      <c r="Q17" s="123">
        <f t="shared" si="12"/>
        <v>92.474417608639129</v>
      </c>
      <c r="R17" s="123">
        <f t="shared" ref="R17:AB17" si="16">SUM(R18:R20)</f>
        <v>6898.7</v>
      </c>
      <c r="S17" s="123">
        <f t="shared" si="16"/>
        <v>0</v>
      </c>
      <c r="T17" s="123">
        <f t="shared" si="13"/>
        <v>0</v>
      </c>
      <c r="U17" s="123">
        <f t="shared" si="16"/>
        <v>6826.3</v>
      </c>
      <c r="V17" s="123">
        <f t="shared" si="16"/>
        <v>0</v>
      </c>
      <c r="W17" s="123">
        <f t="shared" ref="W17" si="17">V17/U17*100</f>
        <v>0</v>
      </c>
      <c r="X17" s="123">
        <f t="shared" si="16"/>
        <v>9052.9</v>
      </c>
      <c r="Y17" s="123">
        <f t="shared" si="16"/>
        <v>0</v>
      </c>
      <c r="Z17" s="123">
        <f>Y17/X17*100</f>
        <v>0</v>
      </c>
      <c r="AA17" s="104">
        <f t="shared" si="16"/>
        <v>7429.2</v>
      </c>
      <c r="AB17" s="123">
        <f t="shared" si="16"/>
        <v>0</v>
      </c>
      <c r="AC17" s="123">
        <f>SUM(AC18:AC20)</f>
        <v>0</v>
      </c>
      <c r="AD17" s="104">
        <f t="shared" ref="AD17:AR17" si="18">SUM(AD18:AD20)</f>
        <v>6016.2</v>
      </c>
      <c r="AE17" s="104">
        <f t="shared" si="18"/>
        <v>0</v>
      </c>
      <c r="AF17" s="104">
        <f t="shared" si="7"/>
        <v>0</v>
      </c>
      <c r="AG17" s="104">
        <f t="shared" si="18"/>
        <v>5470</v>
      </c>
      <c r="AH17" s="123">
        <f t="shared" si="18"/>
        <v>0</v>
      </c>
      <c r="AI17" s="123">
        <f t="shared" si="18"/>
        <v>0</v>
      </c>
      <c r="AJ17" s="123">
        <f t="shared" si="18"/>
        <v>5538.5</v>
      </c>
      <c r="AK17" s="123">
        <f t="shared" si="18"/>
        <v>0</v>
      </c>
      <c r="AL17" s="123">
        <f t="shared" si="18"/>
        <v>0</v>
      </c>
      <c r="AM17" s="104">
        <f t="shared" si="18"/>
        <v>5036.7</v>
      </c>
      <c r="AN17" s="123">
        <f t="shared" si="18"/>
        <v>0</v>
      </c>
      <c r="AO17" s="123">
        <f t="shared" si="18"/>
        <v>0</v>
      </c>
      <c r="AP17" s="104">
        <f t="shared" si="18"/>
        <v>6015.3</v>
      </c>
      <c r="AQ17" s="123">
        <f t="shared" si="18"/>
        <v>0</v>
      </c>
      <c r="AR17" s="123">
        <f t="shared" si="18"/>
        <v>0</v>
      </c>
      <c r="AS17" s="340" t="s">
        <v>408</v>
      </c>
      <c r="AT17" s="446" t="s">
        <v>406</v>
      </c>
      <c r="AU17" s="121"/>
      <c r="AV17" s="121"/>
      <c r="AW17" s="155"/>
    </row>
    <row r="18" spans="1:49" s="31" customFormat="1" ht="36">
      <c r="A18" s="368"/>
      <c r="B18" s="332"/>
      <c r="C18" s="335"/>
      <c r="D18" s="338"/>
      <c r="E18" s="108" t="s">
        <v>3</v>
      </c>
      <c r="F18" s="123">
        <f>I18+L18+O18+R18+U18+X18+AA18+AD18+AG18+AJ18+AM18+AP18</f>
        <v>0</v>
      </c>
      <c r="G18" s="123">
        <f>J18+M18+P18+S18+V18+Y18+AB18+AE18+AH18+AK18+AN18+AQ18</f>
        <v>0</v>
      </c>
      <c r="H18" s="123">
        <v>0</v>
      </c>
      <c r="I18" s="104">
        <v>0</v>
      </c>
      <c r="J18" s="104">
        <v>0</v>
      </c>
      <c r="K18" s="123">
        <v>0</v>
      </c>
      <c r="L18" s="126">
        <v>0</v>
      </c>
      <c r="M18" s="104">
        <v>0</v>
      </c>
      <c r="N18" s="123">
        <v>0</v>
      </c>
      <c r="O18" s="104">
        <v>0</v>
      </c>
      <c r="P18" s="104">
        <v>0</v>
      </c>
      <c r="Q18" s="123">
        <v>0</v>
      </c>
      <c r="R18" s="104">
        <v>0</v>
      </c>
      <c r="S18" s="104">
        <v>0</v>
      </c>
      <c r="T18" s="123">
        <v>0</v>
      </c>
      <c r="U18" s="105">
        <v>0</v>
      </c>
      <c r="V18" s="105">
        <v>0</v>
      </c>
      <c r="W18" s="123">
        <v>0</v>
      </c>
      <c r="X18" s="105">
        <v>0</v>
      </c>
      <c r="Y18" s="105">
        <v>0</v>
      </c>
      <c r="Z18" s="105">
        <v>0</v>
      </c>
      <c r="AA18" s="105">
        <v>0</v>
      </c>
      <c r="AB18" s="105">
        <v>0</v>
      </c>
      <c r="AC18" s="117">
        <v>0</v>
      </c>
      <c r="AD18" s="105">
        <v>0</v>
      </c>
      <c r="AE18" s="105">
        <v>0</v>
      </c>
      <c r="AF18" s="117">
        <v>0</v>
      </c>
      <c r="AG18" s="105">
        <v>0</v>
      </c>
      <c r="AH18" s="105">
        <v>0</v>
      </c>
      <c r="AI18" s="117">
        <v>0</v>
      </c>
      <c r="AJ18" s="104">
        <v>0</v>
      </c>
      <c r="AK18" s="104">
        <v>0</v>
      </c>
      <c r="AL18" s="104">
        <v>0</v>
      </c>
      <c r="AM18" s="105">
        <v>0</v>
      </c>
      <c r="AN18" s="105">
        <v>0</v>
      </c>
      <c r="AO18" s="105">
        <v>0</v>
      </c>
      <c r="AP18" s="104">
        <v>0</v>
      </c>
      <c r="AQ18" s="104"/>
      <c r="AR18" s="104"/>
      <c r="AS18" s="341"/>
      <c r="AT18" s="447"/>
      <c r="AU18" s="121"/>
      <c r="AV18" s="121"/>
      <c r="AW18" s="155"/>
    </row>
    <row r="19" spans="1:49" s="31" customFormat="1" ht="12.75">
      <c r="A19" s="368"/>
      <c r="B19" s="332"/>
      <c r="C19" s="335"/>
      <c r="D19" s="338"/>
      <c r="E19" s="108" t="s">
        <v>44</v>
      </c>
      <c r="F19" s="123">
        <f t="shared" ref="F19:G20" si="19">I19+L19+O19+R19+U19+X19+AA19+AD19+AG19+AJ19+AM19+AP19</f>
        <v>77800</v>
      </c>
      <c r="G19" s="123">
        <f t="shared" si="19"/>
        <v>18872.599999999999</v>
      </c>
      <c r="H19" s="123">
        <f>G19/F19*100</f>
        <v>24.257840616966579</v>
      </c>
      <c r="I19" s="123">
        <v>6091.6</v>
      </c>
      <c r="J19" s="123">
        <v>6082.4</v>
      </c>
      <c r="K19" s="123">
        <f t="shared" ref="K19" si="20">J19/I19*100</f>
        <v>99.848972355374599</v>
      </c>
      <c r="L19" s="123">
        <v>6886.9</v>
      </c>
      <c r="M19" s="123">
        <v>6744.5</v>
      </c>
      <c r="N19" s="123">
        <v>0</v>
      </c>
      <c r="O19" s="123">
        <v>6537.7</v>
      </c>
      <c r="P19" s="123">
        <v>6045.7</v>
      </c>
      <c r="Q19" s="123">
        <v>0</v>
      </c>
      <c r="R19" s="123">
        <v>6898.7</v>
      </c>
      <c r="S19" s="123">
        <v>0</v>
      </c>
      <c r="T19" s="123">
        <v>0</v>
      </c>
      <c r="U19" s="117">
        <v>6826.3</v>
      </c>
      <c r="V19" s="117">
        <v>0</v>
      </c>
      <c r="W19" s="117">
        <v>0</v>
      </c>
      <c r="X19" s="117">
        <v>9052.9</v>
      </c>
      <c r="Y19" s="117">
        <v>0</v>
      </c>
      <c r="Z19" s="117">
        <v>0</v>
      </c>
      <c r="AA19" s="123">
        <v>7429.2</v>
      </c>
      <c r="AB19" s="123">
        <v>0</v>
      </c>
      <c r="AC19" s="123">
        <v>0</v>
      </c>
      <c r="AD19" s="117">
        <v>6016.2</v>
      </c>
      <c r="AE19" s="117">
        <v>0</v>
      </c>
      <c r="AF19" s="117">
        <v>0</v>
      </c>
      <c r="AG19" s="117">
        <v>5470</v>
      </c>
      <c r="AH19" s="117">
        <v>0</v>
      </c>
      <c r="AI19" s="117">
        <v>0</v>
      </c>
      <c r="AJ19" s="123">
        <v>5538.5</v>
      </c>
      <c r="AK19" s="123">
        <v>0</v>
      </c>
      <c r="AL19" s="123">
        <v>0</v>
      </c>
      <c r="AM19" s="117">
        <v>5036.7</v>
      </c>
      <c r="AN19" s="117">
        <v>0</v>
      </c>
      <c r="AO19" s="117">
        <v>0</v>
      </c>
      <c r="AP19" s="117">
        <v>6015.3</v>
      </c>
      <c r="AQ19" s="123"/>
      <c r="AR19" s="123"/>
      <c r="AS19" s="341"/>
      <c r="AT19" s="447"/>
      <c r="AU19" s="121"/>
      <c r="AV19" s="121"/>
      <c r="AW19" s="155"/>
    </row>
    <row r="20" spans="1:49" s="31" customFormat="1" ht="73.5" customHeight="1">
      <c r="A20" s="369"/>
      <c r="B20" s="333"/>
      <c r="C20" s="336"/>
      <c r="D20" s="339"/>
      <c r="E20" s="109" t="s">
        <v>257</v>
      </c>
      <c r="F20" s="123">
        <f t="shared" si="19"/>
        <v>0</v>
      </c>
      <c r="G20" s="123">
        <f t="shared" si="19"/>
        <v>0</v>
      </c>
      <c r="H20" s="123">
        <v>0</v>
      </c>
      <c r="I20" s="104">
        <v>0</v>
      </c>
      <c r="J20" s="104">
        <v>0</v>
      </c>
      <c r="K20" s="123">
        <v>0</v>
      </c>
      <c r="L20" s="126">
        <v>0</v>
      </c>
      <c r="M20" s="104">
        <v>0</v>
      </c>
      <c r="N20" s="123">
        <v>0</v>
      </c>
      <c r="O20" s="104">
        <v>0</v>
      </c>
      <c r="P20" s="104">
        <v>0</v>
      </c>
      <c r="Q20" s="123">
        <v>0</v>
      </c>
      <c r="R20" s="104">
        <v>0</v>
      </c>
      <c r="S20" s="104">
        <v>0</v>
      </c>
      <c r="T20" s="123">
        <v>0</v>
      </c>
      <c r="U20" s="105">
        <v>0</v>
      </c>
      <c r="V20" s="105">
        <v>0</v>
      </c>
      <c r="W20" s="123">
        <v>0</v>
      </c>
      <c r="X20" s="105">
        <v>0</v>
      </c>
      <c r="Y20" s="105">
        <v>0</v>
      </c>
      <c r="Z20" s="105">
        <v>0</v>
      </c>
      <c r="AA20" s="105">
        <v>0</v>
      </c>
      <c r="AB20" s="105">
        <v>0</v>
      </c>
      <c r="AC20" s="117">
        <v>0</v>
      </c>
      <c r="AD20" s="105">
        <v>0</v>
      </c>
      <c r="AE20" s="105">
        <v>0</v>
      </c>
      <c r="AF20" s="117">
        <v>0</v>
      </c>
      <c r="AG20" s="105">
        <v>0</v>
      </c>
      <c r="AH20" s="105">
        <v>0</v>
      </c>
      <c r="AI20" s="117">
        <v>0</v>
      </c>
      <c r="AJ20" s="104">
        <v>0</v>
      </c>
      <c r="AK20" s="104">
        <v>0</v>
      </c>
      <c r="AL20" s="104">
        <v>0</v>
      </c>
      <c r="AM20" s="105">
        <v>0</v>
      </c>
      <c r="AN20" s="105">
        <v>0</v>
      </c>
      <c r="AO20" s="105">
        <v>0</v>
      </c>
      <c r="AP20" s="104">
        <v>0</v>
      </c>
      <c r="AQ20" s="104">
        <v>0</v>
      </c>
      <c r="AR20" s="104">
        <v>0</v>
      </c>
      <c r="AS20" s="342"/>
      <c r="AT20" s="448"/>
      <c r="AU20" s="121"/>
      <c r="AV20" s="121"/>
      <c r="AW20" s="155"/>
    </row>
    <row r="21" spans="1:49" s="31" customFormat="1" ht="59.25" customHeight="1">
      <c r="A21" s="190" t="s">
        <v>331</v>
      </c>
      <c r="B21" s="210" t="s">
        <v>332</v>
      </c>
      <c r="C21" s="186" t="s">
        <v>333</v>
      </c>
      <c r="D21" s="187" t="s">
        <v>346</v>
      </c>
      <c r="E21" s="143" t="s">
        <v>275</v>
      </c>
      <c r="F21" s="149" t="s">
        <v>279</v>
      </c>
      <c r="G21" s="149" t="s">
        <v>279</v>
      </c>
      <c r="H21" s="149" t="s">
        <v>279</v>
      </c>
      <c r="I21" s="149" t="s">
        <v>279</v>
      </c>
      <c r="J21" s="149" t="s">
        <v>279</v>
      </c>
      <c r="K21" s="149" t="s">
        <v>279</v>
      </c>
      <c r="L21" s="149" t="s">
        <v>279</v>
      </c>
      <c r="M21" s="149" t="s">
        <v>279</v>
      </c>
      <c r="N21" s="149" t="s">
        <v>279</v>
      </c>
      <c r="O21" s="149" t="s">
        <v>279</v>
      </c>
      <c r="P21" s="149" t="s">
        <v>279</v>
      </c>
      <c r="Q21" s="149" t="s">
        <v>279</v>
      </c>
      <c r="R21" s="149" t="s">
        <v>279</v>
      </c>
      <c r="S21" s="149" t="s">
        <v>279</v>
      </c>
      <c r="T21" s="149" t="s">
        <v>279</v>
      </c>
      <c r="U21" s="149" t="s">
        <v>279</v>
      </c>
      <c r="V21" s="149" t="s">
        <v>279</v>
      </c>
      <c r="W21" s="149" t="s">
        <v>279</v>
      </c>
      <c r="X21" s="149" t="s">
        <v>279</v>
      </c>
      <c r="Y21" s="149" t="s">
        <v>279</v>
      </c>
      <c r="Z21" s="149" t="s">
        <v>279</v>
      </c>
      <c r="AA21" s="149" t="s">
        <v>279</v>
      </c>
      <c r="AB21" s="149" t="s">
        <v>279</v>
      </c>
      <c r="AC21" s="149" t="s">
        <v>279</v>
      </c>
      <c r="AD21" s="149" t="s">
        <v>279</v>
      </c>
      <c r="AE21" s="149" t="s">
        <v>279</v>
      </c>
      <c r="AF21" s="149" t="s">
        <v>279</v>
      </c>
      <c r="AG21" s="149" t="s">
        <v>279</v>
      </c>
      <c r="AH21" s="149" t="s">
        <v>279</v>
      </c>
      <c r="AI21" s="149" t="s">
        <v>279</v>
      </c>
      <c r="AJ21" s="149" t="s">
        <v>279</v>
      </c>
      <c r="AK21" s="149" t="s">
        <v>279</v>
      </c>
      <c r="AL21" s="149" t="s">
        <v>279</v>
      </c>
      <c r="AM21" s="149" t="s">
        <v>279</v>
      </c>
      <c r="AN21" s="149" t="s">
        <v>279</v>
      </c>
      <c r="AO21" s="149" t="s">
        <v>279</v>
      </c>
      <c r="AP21" s="149" t="s">
        <v>279</v>
      </c>
      <c r="AQ21" s="149" t="s">
        <v>279</v>
      </c>
      <c r="AR21" s="149" t="s">
        <v>279</v>
      </c>
      <c r="AS21" s="188"/>
      <c r="AT21" s="189"/>
      <c r="AU21" s="121"/>
      <c r="AV21" s="121"/>
      <c r="AW21" s="155"/>
    </row>
    <row r="22" spans="1:49" s="31" customFormat="1" ht="12.75">
      <c r="A22" s="367" t="s">
        <v>334</v>
      </c>
      <c r="B22" s="331" t="s">
        <v>335</v>
      </c>
      <c r="C22" s="334" t="s">
        <v>268</v>
      </c>
      <c r="D22" s="337" t="s">
        <v>336</v>
      </c>
      <c r="E22" s="107" t="s">
        <v>42</v>
      </c>
      <c r="F22" s="123">
        <f>SUM(F23:F24)</f>
        <v>3987.3</v>
      </c>
      <c r="G22" s="123">
        <f>SUM(G23:G24)</f>
        <v>954.4</v>
      </c>
      <c r="H22" s="123">
        <f>G22/F22*100</f>
        <v>23.935996789807636</v>
      </c>
      <c r="I22" s="123">
        <f>SUM(I23:I24)</f>
        <v>326</v>
      </c>
      <c r="J22" s="123">
        <f>SUM(J23:J24)</f>
        <v>326.39999999999998</v>
      </c>
      <c r="K22" s="123">
        <f t="shared" ref="K22:K26" si="21">J22/I22*100</f>
        <v>100.12269938650307</v>
      </c>
      <c r="L22" s="123">
        <f>SUM(L23:L24)</f>
        <v>326</v>
      </c>
      <c r="M22" s="123">
        <f>SUM(M23:M24)</f>
        <v>313.89999999999998</v>
      </c>
      <c r="N22" s="123">
        <f t="shared" si="11"/>
        <v>96.288343558282193</v>
      </c>
      <c r="O22" s="123">
        <f>SUM(O23:O24)</f>
        <v>326</v>
      </c>
      <c r="P22" s="123">
        <f>SUM(P23:P24)</f>
        <v>314.10000000000002</v>
      </c>
      <c r="Q22" s="123">
        <f t="shared" si="12"/>
        <v>96.349693251533751</v>
      </c>
      <c r="R22" s="123">
        <f>SUM(R23:R24)</f>
        <v>326</v>
      </c>
      <c r="S22" s="123">
        <f>SUM(S23:S24)</f>
        <v>0</v>
      </c>
      <c r="T22" s="123">
        <f t="shared" si="13"/>
        <v>0</v>
      </c>
      <c r="U22" s="123">
        <f>SUM(U23:U24)</f>
        <v>326</v>
      </c>
      <c r="V22" s="123">
        <f>SUM(V23:V24)</f>
        <v>0</v>
      </c>
      <c r="W22" s="123">
        <f t="shared" ref="W22" si="22">V22/U22*100</f>
        <v>0</v>
      </c>
      <c r="X22" s="123">
        <f t="shared" ref="X22:AE22" si="23">SUM(X23:X24)</f>
        <v>326</v>
      </c>
      <c r="Y22" s="123">
        <f t="shared" si="23"/>
        <v>0</v>
      </c>
      <c r="Z22" s="123">
        <f t="shared" si="23"/>
        <v>0</v>
      </c>
      <c r="AA22" s="104">
        <f t="shared" si="23"/>
        <v>326</v>
      </c>
      <c r="AB22" s="123">
        <f t="shared" si="23"/>
        <v>0</v>
      </c>
      <c r="AC22" s="123">
        <f t="shared" si="23"/>
        <v>0</v>
      </c>
      <c r="AD22" s="104">
        <f t="shared" si="23"/>
        <v>326</v>
      </c>
      <c r="AE22" s="104">
        <f t="shared" si="23"/>
        <v>0</v>
      </c>
      <c r="AF22" s="104">
        <f t="shared" si="7"/>
        <v>0</v>
      </c>
      <c r="AG22" s="104">
        <f t="shared" ref="AG22:AR22" si="24">SUM(AG23:AG24)</f>
        <v>326</v>
      </c>
      <c r="AH22" s="123">
        <f t="shared" si="24"/>
        <v>0</v>
      </c>
      <c r="AI22" s="123">
        <f t="shared" si="24"/>
        <v>0</v>
      </c>
      <c r="AJ22" s="123">
        <f t="shared" si="24"/>
        <v>326</v>
      </c>
      <c r="AK22" s="123">
        <f t="shared" si="24"/>
        <v>0</v>
      </c>
      <c r="AL22" s="123">
        <f t="shared" si="24"/>
        <v>0</v>
      </c>
      <c r="AM22" s="104">
        <f t="shared" si="24"/>
        <v>326</v>
      </c>
      <c r="AN22" s="123">
        <f t="shared" si="24"/>
        <v>0</v>
      </c>
      <c r="AO22" s="123">
        <f t="shared" si="24"/>
        <v>0</v>
      </c>
      <c r="AP22" s="104">
        <f t="shared" si="24"/>
        <v>401.3</v>
      </c>
      <c r="AQ22" s="123">
        <f t="shared" si="24"/>
        <v>0</v>
      </c>
      <c r="AR22" s="123">
        <f t="shared" si="24"/>
        <v>0</v>
      </c>
      <c r="AS22" s="340" t="s">
        <v>410</v>
      </c>
      <c r="AT22" s="343"/>
      <c r="AU22" s="121"/>
      <c r="AV22" s="121"/>
      <c r="AW22" s="155"/>
    </row>
    <row r="23" spans="1:49" s="31" customFormat="1" ht="36">
      <c r="A23" s="368"/>
      <c r="B23" s="332"/>
      <c r="C23" s="335"/>
      <c r="D23" s="338"/>
      <c r="E23" s="108" t="s">
        <v>3</v>
      </c>
      <c r="F23" s="123">
        <f>I23+L23+O23+R23+U23+X23+AA23+AD23+AG23+AJ23+AM23+AP23</f>
        <v>0</v>
      </c>
      <c r="G23" s="123">
        <f>J23+M23+P23+S23+V23+Y23+AB23+AE23+AH23+AK23+AN23+AQ23</f>
        <v>0</v>
      </c>
      <c r="H23" s="123">
        <v>0</v>
      </c>
      <c r="I23" s="104">
        <v>0</v>
      </c>
      <c r="J23" s="104">
        <v>0</v>
      </c>
      <c r="K23" s="123">
        <v>0</v>
      </c>
      <c r="L23" s="126">
        <v>0</v>
      </c>
      <c r="M23" s="104">
        <v>0</v>
      </c>
      <c r="N23" s="123">
        <v>0</v>
      </c>
      <c r="O23" s="104">
        <v>0</v>
      </c>
      <c r="P23" s="104">
        <v>0</v>
      </c>
      <c r="Q23" s="123">
        <v>0</v>
      </c>
      <c r="R23" s="104">
        <v>0</v>
      </c>
      <c r="S23" s="104">
        <v>0</v>
      </c>
      <c r="T23" s="123">
        <v>0</v>
      </c>
      <c r="U23" s="105">
        <v>0</v>
      </c>
      <c r="V23" s="105">
        <v>0</v>
      </c>
      <c r="W23" s="123">
        <v>0</v>
      </c>
      <c r="X23" s="105">
        <v>0</v>
      </c>
      <c r="Y23" s="105">
        <v>0</v>
      </c>
      <c r="Z23" s="105">
        <v>0</v>
      </c>
      <c r="AA23" s="105">
        <v>0</v>
      </c>
      <c r="AB23" s="105">
        <v>0</v>
      </c>
      <c r="AC23" s="117">
        <v>0</v>
      </c>
      <c r="AD23" s="105">
        <v>0</v>
      </c>
      <c r="AE23" s="105">
        <v>0</v>
      </c>
      <c r="AF23" s="117">
        <v>0</v>
      </c>
      <c r="AG23" s="105">
        <v>0</v>
      </c>
      <c r="AH23" s="105">
        <v>0</v>
      </c>
      <c r="AI23" s="117">
        <v>0</v>
      </c>
      <c r="AJ23" s="104">
        <v>0</v>
      </c>
      <c r="AK23" s="104">
        <v>0</v>
      </c>
      <c r="AL23" s="104">
        <v>0</v>
      </c>
      <c r="AM23" s="105">
        <v>0</v>
      </c>
      <c r="AN23" s="105">
        <v>0</v>
      </c>
      <c r="AO23" s="105">
        <v>0</v>
      </c>
      <c r="AP23" s="104">
        <v>0</v>
      </c>
      <c r="AQ23" s="104"/>
      <c r="AR23" s="104"/>
      <c r="AS23" s="341"/>
      <c r="AT23" s="344"/>
      <c r="AU23" s="121"/>
      <c r="AV23" s="121"/>
      <c r="AW23" s="155"/>
    </row>
    <row r="24" spans="1:49" s="31" customFormat="1" ht="23.25" customHeight="1">
      <c r="A24" s="368"/>
      <c r="B24" s="332"/>
      <c r="C24" s="335"/>
      <c r="D24" s="338"/>
      <c r="E24" s="108" t="s">
        <v>44</v>
      </c>
      <c r="F24" s="123">
        <f t="shared" ref="F24:G24" si="25">I24+L24+O24+R24+U24+X24+AA24+AD24+AG24+AJ24+AM24+AP24</f>
        <v>3987.3</v>
      </c>
      <c r="G24" s="123">
        <f t="shared" si="25"/>
        <v>954.4</v>
      </c>
      <c r="H24" s="123">
        <v>0</v>
      </c>
      <c r="I24" s="123">
        <v>326</v>
      </c>
      <c r="J24" s="123">
        <v>326.39999999999998</v>
      </c>
      <c r="K24" s="123">
        <f t="shared" si="21"/>
        <v>100.12269938650307</v>
      </c>
      <c r="L24" s="123">
        <v>326</v>
      </c>
      <c r="M24" s="123">
        <v>313.89999999999998</v>
      </c>
      <c r="N24" s="123">
        <f t="shared" ref="N24" si="26">M24/L24*100</f>
        <v>96.288343558282193</v>
      </c>
      <c r="O24" s="123">
        <v>326</v>
      </c>
      <c r="P24" s="123">
        <v>314.10000000000002</v>
      </c>
      <c r="Q24" s="123">
        <f t="shared" ref="Q24" si="27">P24/O24*100</f>
        <v>96.349693251533751</v>
      </c>
      <c r="R24" s="123">
        <v>326</v>
      </c>
      <c r="S24" s="123">
        <v>0</v>
      </c>
      <c r="T24" s="123">
        <v>0</v>
      </c>
      <c r="U24" s="117">
        <v>326</v>
      </c>
      <c r="V24" s="117">
        <v>0</v>
      </c>
      <c r="W24" s="117">
        <v>0</v>
      </c>
      <c r="X24" s="117">
        <v>326</v>
      </c>
      <c r="Y24" s="117">
        <v>0</v>
      </c>
      <c r="Z24" s="117">
        <v>0</v>
      </c>
      <c r="AA24" s="123">
        <v>326</v>
      </c>
      <c r="AB24" s="123">
        <v>0</v>
      </c>
      <c r="AC24" s="123">
        <v>0</v>
      </c>
      <c r="AD24" s="117">
        <v>326</v>
      </c>
      <c r="AE24" s="117">
        <v>0</v>
      </c>
      <c r="AF24" s="117">
        <v>0</v>
      </c>
      <c r="AG24" s="117">
        <v>326</v>
      </c>
      <c r="AH24" s="117">
        <v>0</v>
      </c>
      <c r="AI24" s="117"/>
      <c r="AJ24" s="123">
        <v>326</v>
      </c>
      <c r="AK24" s="123">
        <v>0</v>
      </c>
      <c r="AL24" s="123">
        <v>0</v>
      </c>
      <c r="AM24" s="117">
        <v>326</v>
      </c>
      <c r="AN24" s="117">
        <v>0</v>
      </c>
      <c r="AO24" s="117">
        <v>0</v>
      </c>
      <c r="AP24" s="117">
        <v>401.3</v>
      </c>
      <c r="AQ24" s="123"/>
      <c r="AR24" s="123"/>
      <c r="AS24" s="341"/>
      <c r="AT24" s="344"/>
      <c r="AU24" s="121"/>
      <c r="AV24" s="121"/>
      <c r="AW24" s="155"/>
    </row>
    <row r="25" spans="1:49" s="31" customFormat="1" ht="12.75">
      <c r="A25" s="367" t="s">
        <v>337</v>
      </c>
      <c r="B25" s="376" t="s">
        <v>338</v>
      </c>
      <c r="C25" s="334" t="s">
        <v>339</v>
      </c>
      <c r="D25" s="337" t="s">
        <v>340</v>
      </c>
      <c r="E25" s="107" t="s">
        <v>42</v>
      </c>
      <c r="F25" s="123">
        <f>SUM(F26:F28)</f>
        <v>5215.6000000000004</v>
      </c>
      <c r="G25" s="123">
        <f t="shared" ref="G25:P25" si="28">SUM(G26:G28)</f>
        <v>868.69999999999993</v>
      </c>
      <c r="H25" s="123">
        <f>G25/F25*100</f>
        <v>16.655801825293349</v>
      </c>
      <c r="I25" s="123">
        <f t="shared" si="28"/>
        <v>108.8</v>
      </c>
      <c r="J25" s="123">
        <f t="shared" si="28"/>
        <v>97.9</v>
      </c>
      <c r="K25" s="123">
        <f t="shared" si="21"/>
        <v>89.981617647058826</v>
      </c>
      <c r="L25" s="123">
        <f t="shared" si="28"/>
        <v>584.9</v>
      </c>
      <c r="M25" s="123">
        <f t="shared" si="28"/>
        <v>463.5</v>
      </c>
      <c r="N25" s="123">
        <f t="shared" ref="N25:N26" si="29">M25/L25*100</f>
        <v>79.244315267567117</v>
      </c>
      <c r="O25" s="123">
        <f t="shared" si="28"/>
        <v>371.1</v>
      </c>
      <c r="P25" s="123">
        <f t="shared" si="28"/>
        <v>307.29999999999995</v>
      </c>
      <c r="Q25" s="123">
        <f t="shared" ref="Q25:Q26" si="30">P25/O25*100</f>
        <v>82.807868499056838</v>
      </c>
      <c r="R25" s="123">
        <f t="shared" ref="R25:Z25" si="31">SUM(R26:R28)</f>
        <v>368.4</v>
      </c>
      <c r="S25" s="123">
        <f t="shared" si="31"/>
        <v>0</v>
      </c>
      <c r="T25" s="123">
        <v>0</v>
      </c>
      <c r="U25" s="123">
        <f t="shared" si="31"/>
        <v>399</v>
      </c>
      <c r="V25" s="123">
        <f t="shared" si="31"/>
        <v>0</v>
      </c>
      <c r="W25" s="123">
        <f t="shared" si="31"/>
        <v>0</v>
      </c>
      <c r="X25" s="123">
        <f t="shared" si="31"/>
        <v>605.5</v>
      </c>
      <c r="Y25" s="123">
        <f t="shared" si="31"/>
        <v>0</v>
      </c>
      <c r="Z25" s="123">
        <f t="shared" si="31"/>
        <v>0</v>
      </c>
      <c r="AA25" s="104">
        <f t="shared" ref="AA25:AB25" si="32">SUM(AA26:AA28)</f>
        <v>665.80000000000007</v>
      </c>
      <c r="AB25" s="123">
        <f t="shared" si="32"/>
        <v>0</v>
      </c>
      <c r="AC25" s="123">
        <f>SUM(AC26:AC28)</f>
        <v>0</v>
      </c>
      <c r="AD25" s="104">
        <f t="shared" ref="AD25:AR25" si="33">SUM(AD26:AD28)</f>
        <v>633.1</v>
      </c>
      <c r="AE25" s="104">
        <f t="shared" si="33"/>
        <v>0</v>
      </c>
      <c r="AF25" s="104">
        <f t="shared" si="7"/>
        <v>0</v>
      </c>
      <c r="AG25" s="104">
        <f t="shared" si="33"/>
        <v>520.70000000000005</v>
      </c>
      <c r="AH25" s="123">
        <f t="shared" si="33"/>
        <v>0</v>
      </c>
      <c r="AI25" s="104">
        <f t="shared" ref="AI25" si="34">AH25/AG25*100</f>
        <v>0</v>
      </c>
      <c r="AJ25" s="123">
        <f t="shared" si="33"/>
        <v>538.09999999999991</v>
      </c>
      <c r="AK25" s="123">
        <f t="shared" si="33"/>
        <v>0</v>
      </c>
      <c r="AL25" s="123">
        <f t="shared" si="33"/>
        <v>0</v>
      </c>
      <c r="AM25" s="104">
        <f t="shared" si="33"/>
        <v>200.2</v>
      </c>
      <c r="AN25" s="123">
        <f t="shared" si="33"/>
        <v>0</v>
      </c>
      <c r="AO25" s="123">
        <f t="shared" si="33"/>
        <v>0</v>
      </c>
      <c r="AP25" s="104">
        <f t="shared" si="33"/>
        <v>220</v>
      </c>
      <c r="AQ25" s="123">
        <f t="shared" si="33"/>
        <v>0</v>
      </c>
      <c r="AR25" s="123">
        <f t="shared" si="33"/>
        <v>0</v>
      </c>
      <c r="AS25" s="340" t="s">
        <v>407</v>
      </c>
      <c r="AT25" s="428" t="s">
        <v>409</v>
      </c>
      <c r="AU25" s="121"/>
      <c r="AV25" s="121"/>
      <c r="AW25" s="155"/>
    </row>
    <row r="26" spans="1:49" s="31" customFormat="1" ht="36">
      <c r="A26" s="368"/>
      <c r="B26" s="377"/>
      <c r="C26" s="335"/>
      <c r="D26" s="338"/>
      <c r="E26" s="108" t="s">
        <v>3</v>
      </c>
      <c r="F26" s="123">
        <f>I26+L26+O26+R26+U26+X26+AA26+AD26+AG26+AJ26+AM26+AP26</f>
        <v>2547.4</v>
      </c>
      <c r="G26" s="123">
        <f>J26+M26+P26+S26+V26+Y26+AB26+AE26+AH26+AK26+AN26+AQ26</f>
        <v>156.89999999999998</v>
      </c>
      <c r="H26" s="123">
        <f>G26/F26*100</f>
        <v>6.1592211666797505</v>
      </c>
      <c r="I26" s="104">
        <v>0</v>
      </c>
      <c r="J26" s="104">
        <v>0</v>
      </c>
      <c r="K26" s="123" t="e">
        <f t="shared" si="21"/>
        <v>#DIV/0!</v>
      </c>
      <c r="L26" s="126">
        <v>124.5</v>
      </c>
      <c r="M26" s="104">
        <v>43.8</v>
      </c>
      <c r="N26" s="123">
        <f t="shared" si="29"/>
        <v>35.180722891566262</v>
      </c>
      <c r="O26" s="104">
        <f>124.6+15.4</f>
        <v>140</v>
      </c>
      <c r="P26" s="104">
        <v>113.1</v>
      </c>
      <c r="Q26" s="123">
        <f t="shared" si="30"/>
        <v>80.785714285714278</v>
      </c>
      <c r="R26" s="104">
        <f>124.5+15.4</f>
        <v>139.9</v>
      </c>
      <c r="S26" s="104">
        <v>0</v>
      </c>
      <c r="T26" s="123">
        <v>0</v>
      </c>
      <c r="U26" s="105">
        <f>141.4+21</f>
        <v>162.4</v>
      </c>
      <c r="V26" s="105">
        <v>0</v>
      </c>
      <c r="W26" s="105">
        <v>0</v>
      </c>
      <c r="X26" s="105">
        <f>141.4+189</f>
        <v>330.4</v>
      </c>
      <c r="Y26" s="105">
        <v>0</v>
      </c>
      <c r="Z26" s="105">
        <f>Y26/X26*100</f>
        <v>0</v>
      </c>
      <c r="AA26" s="105">
        <f>165.8+183.4</f>
        <v>349.20000000000005</v>
      </c>
      <c r="AB26" s="105">
        <v>0</v>
      </c>
      <c r="AC26" s="105">
        <f>AB26/AA26*100</f>
        <v>0</v>
      </c>
      <c r="AD26" s="105">
        <f>165.8+182</f>
        <v>347.8</v>
      </c>
      <c r="AE26" s="105">
        <v>0</v>
      </c>
      <c r="AF26" s="105">
        <f>AE26/AD26*100</f>
        <v>0</v>
      </c>
      <c r="AG26" s="105">
        <f>140.4+122.7+49</f>
        <v>312.10000000000002</v>
      </c>
      <c r="AH26" s="105">
        <v>0</v>
      </c>
      <c r="AI26" s="105">
        <f>AH26/AG26*100</f>
        <v>0</v>
      </c>
      <c r="AJ26" s="104">
        <f>235.9+21</f>
        <v>256.89999999999998</v>
      </c>
      <c r="AK26" s="104">
        <v>0</v>
      </c>
      <c r="AL26" s="104">
        <v>0</v>
      </c>
      <c r="AM26" s="105">
        <f>143.2+21</f>
        <v>164.2</v>
      </c>
      <c r="AN26" s="105">
        <v>0</v>
      </c>
      <c r="AO26" s="105">
        <v>0</v>
      </c>
      <c r="AP26" s="104">
        <v>220</v>
      </c>
      <c r="AQ26" s="104"/>
      <c r="AR26" s="104"/>
      <c r="AS26" s="341"/>
      <c r="AT26" s="429"/>
      <c r="AU26" s="121"/>
      <c r="AV26" s="121"/>
      <c r="AW26" s="155"/>
    </row>
    <row r="27" spans="1:49" s="31" customFormat="1" ht="12.75">
      <c r="A27" s="368"/>
      <c r="B27" s="377"/>
      <c r="C27" s="335"/>
      <c r="D27" s="338"/>
      <c r="E27" s="108" t="s">
        <v>44</v>
      </c>
      <c r="F27" s="123">
        <f t="shared" ref="F27:G28" si="35">I27+L27+O27+R27+U27+X27+AA27+AD27+AG27+AJ27+AM27+AP27</f>
        <v>2668.2</v>
      </c>
      <c r="G27" s="123">
        <f t="shared" si="35"/>
        <v>711.8</v>
      </c>
      <c r="H27" s="123">
        <v>0</v>
      </c>
      <c r="I27" s="123">
        <v>108.8</v>
      </c>
      <c r="J27" s="123">
        <v>97.9</v>
      </c>
      <c r="K27" s="123">
        <v>0</v>
      </c>
      <c r="L27" s="123">
        <v>460.4</v>
      </c>
      <c r="M27" s="123">
        <v>419.7</v>
      </c>
      <c r="N27" s="123">
        <v>0</v>
      </c>
      <c r="O27" s="123">
        <v>231.1</v>
      </c>
      <c r="P27" s="123">
        <v>194.2</v>
      </c>
      <c r="Q27" s="123">
        <v>0</v>
      </c>
      <c r="R27" s="123">
        <v>228.5</v>
      </c>
      <c r="S27" s="123">
        <v>0</v>
      </c>
      <c r="T27" s="123">
        <v>0</v>
      </c>
      <c r="U27" s="117">
        <v>236.6</v>
      </c>
      <c r="V27" s="117">
        <v>0</v>
      </c>
      <c r="W27" s="117">
        <v>0</v>
      </c>
      <c r="X27" s="117">
        <v>275.10000000000002</v>
      </c>
      <c r="Y27" s="117">
        <v>0</v>
      </c>
      <c r="Z27" s="117">
        <v>0</v>
      </c>
      <c r="AA27" s="123">
        <v>316.60000000000002</v>
      </c>
      <c r="AB27" s="123">
        <v>0</v>
      </c>
      <c r="AC27" s="123">
        <v>0</v>
      </c>
      <c r="AD27" s="117">
        <v>285.3</v>
      </c>
      <c r="AE27" s="117">
        <v>0</v>
      </c>
      <c r="AF27" s="117">
        <v>0</v>
      </c>
      <c r="AG27" s="117">
        <v>208.6</v>
      </c>
      <c r="AH27" s="117">
        <v>0</v>
      </c>
      <c r="AI27" s="117">
        <v>0</v>
      </c>
      <c r="AJ27" s="123">
        <v>281.2</v>
      </c>
      <c r="AK27" s="123">
        <v>0</v>
      </c>
      <c r="AL27" s="123">
        <v>0</v>
      </c>
      <c r="AM27" s="117">
        <v>36</v>
      </c>
      <c r="AN27" s="117">
        <v>0</v>
      </c>
      <c r="AO27" s="117">
        <v>0</v>
      </c>
      <c r="AP27" s="117">
        <v>0</v>
      </c>
      <c r="AQ27" s="123"/>
      <c r="AR27" s="123"/>
      <c r="AS27" s="341"/>
      <c r="AT27" s="429"/>
      <c r="AU27" s="121"/>
      <c r="AV27" s="121"/>
      <c r="AW27" s="155"/>
    </row>
    <row r="28" spans="1:49" s="31" customFormat="1" ht="87" customHeight="1">
      <c r="A28" s="369"/>
      <c r="B28" s="378"/>
      <c r="C28" s="336"/>
      <c r="D28" s="339"/>
      <c r="E28" s="109" t="s">
        <v>257</v>
      </c>
      <c r="F28" s="123">
        <f t="shared" si="35"/>
        <v>0</v>
      </c>
      <c r="G28" s="123">
        <f t="shared" si="35"/>
        <v>0</v>
      </c>
      <c r="H28" s="123">
        <v>0</v>
      </c>
      <c r="I28" s="123">
        <v>0</v>
      </c>
      <c r="J28" s="123">
        <v>0</v>
      </c>
      <c r="K28" s="123">
        <v>0</v>
      </c>
      <c r="L28" s="123">
        <v>0</v>
      </c>
      <c r="M28" s="123">
        <v>0</v>
      </c>
      <c r="N28" s="123">
        <v>0</v>
      </c>
      <c r="O28" s="123">
        <v>0</v>
      </c>
      <c r="P28" s="123">
        <v>0</v>
      </c>
      <c r="Q28" s="123">
        <v>0</v>
      </c>
      <c r="R28" s="123">
        <v>0</v>
      </c>
      <c r="S28" s="123">
        <v>0</v>
      </c>
      <c r="T28" s="123">
        <v>0</v>
      </c>
      <c r="U28" s="117">
        <v>0</v>
      </c>
      <c r="V28" s="117">
        <v>0</v>
      </c>
      <c r="W28" s="117">
        <v>0</v>
      </c>
      <c r="X28" s="117">
        <v>0</v>
      </c>
      <c r="Y28" s="117">
        <v>0</v>
      </c>
      <c r="Z28" s="117">
        <v>0</v>
      </c>
      <c r="AA28" s="123">
        <v>0</v>
      </c>
      <c r="AB28" s="123">
        <v>0</v>
      </c>
      <c r="AC28" s="123">
        <v>0</v>
      </c>
      <c r="AD28" s="117">
        <v>0</v>
      </c>
      <c r="AE28" s="117">
        <v>0</v>
      </c>
      <c r="AF28" s="117">
        <v>0</v>
      </c>
      <c r="AG28" s="117">
        <v>0</v>
      </c>
      <c r="AH28" s="117">
        <v>0</v>
      </c>
      <c r="AI28" s="117">
        <v>0</v>
      </c>
      <c r="AJ28" s="123">
        <v>0</v>
      </c>
      <c r="AK28" s="123">
        <v>0</v>
      </c>
      <c r="AL28" s="123">
        <v>0</v>
      </c>
      <c r="AM28" s="117">
        <v>0</v>
      </c>
      <c r="AN28" s="117">
        <v>0</v>
      </c>
      <c r="AO28" s="117">
        <v>0</v>
      </c>
      <c r="AP28" s="117">
        <v>0</v>
      </c>
      <c r="AQ28" s="123"/>
      <c r="AR28" s="123"/>
      <c r="AS28" s="342"/>
      <c r="AT28" s="430"/>
      <c r="AU28" s="121"/>
      <c r="AV28" s="121"/>
      <c r="AW28" s="155"/>
    </row>
    <row r="29" spans="1:49" s="31" customFormat="1" ht="12.75">
      <c r="A29" s="367" t="s">
        <v>341</v>
      </c>
      <c r="B29" s="331" t="s">
        <v>342</v>
      </c>
      <c r="C29" s="334" t="s">
        <v>268</v>
      </c>
      <c r="D29" s="337" t="s">
        <v>343</v>
      </c>
      <c r="E29" s="107" t="s">
        <v>42</v>
      </c>
      <c r="F29" s="123">
        <f>SUM(F30:F31)</f>
        <v>150</v>
      </c>
      <c r="G29" s="123">
        <f>SUM(G30:G31)</f>
        <v>0</v>
      </c>
      <c r="H29" s="123">
        <f>G29/F29*100</f>
        <v>0</v>
      </c>
      <c r="I29" s="123">
        <f>SUM(I30:I31)</f>
        <v>0</v>
      </c>
      <c r="J29" s="123">
        <f>SUM(J30:J31)</f>
        <v>0</v>
      </c>
      <c r="K29" s="123">
        <f>SUM(K30:K31)</f>
        <v>0</v>
      </c>
      <c r="L29" s="123">
        <f>SUM(L30:L31)</f>
        <v>0</v>
      </c>
      <c r="M29" s="123">
        <f>SUM(M30:M31)</f>
        <v>0</v>
      </c>
      <c r="N29" s="123">
        <v>0</v>
      </c>
      <c r="O29" s="123">
        <f>SUM(O30:O31)</f>
        <v>150</v>
      </c>
      <c r="P29" s="123">
        <f>SUM(P30:P31)</f>
        <v>0</v>
      </c>
      <c r="Q29" s="123">
        <v>0</v>
      </c>
      <c r="R29" s="123">
        <f>SUM(R30:R31)</f>
        <v>0</v>
      </c>
      <c r="S29" s="123">
        <f>SUM(S30:S31)</f>
        <v>0</v>
      </c>
      <c r="T29" s="123">
        <v>0</v>
      </c>
      <c r="U29" s="123">
        <f t="shared" ref="U29:AH29" si="36">SUM(U30:U31)</f>
        <v>0</v>
      </c>
      <c r="V29" s="123">
        <f t="shared" si="36"/>
        <v>0</v>
      </c>
      <c r="W29" s="123">
        <f t="shared" si="36"/>
        <v>0</v>
      </c>
      <c r="X29" s="123">
        <f t="shared" si="36"/>
        <v>0</v>
      </c>
      <c r="Y29" s="123">
        <f t="shared" si="36"/>
        <v>0</v>
      </c>
      <c r="Z29" s="123">
        <f t="shared" si="36"/>
        <v>0</v>
      </c>
      <c r="AA29" s="104">
        <f t="shared" si="36"/>
        <v>0</v>
      </c>
      <c r="AB29" s="123">
        <f t="shared" si="36"/>
        <v>0</v>
      </c>
      <c r="AC29" s="123">
        <f t="shared" si="36"/>
        <v>0</v>
      </c>
      <c r="AD29" s="104">
        <f t="shared" si="36"/>
        <v>0</v>
      </c>
      <c r="AE29" s="104">
        <f t="shared" si="36"/>
        <v>0</v>
      </c>
      <c r="AF29" s="104">
        <f t="shared" si="36"/>
        <v>0</v>
      </c>
      <c r="AG29" s="104">
        <f t="shared" si="36"/>
        <v>0</v>
      </c>
      <c r="AH29" s="123">
        <f t="shared" si="36"/>
        <v>0</v>
      </c>
      <c r="AI29" s="117">
        <v>0</v>
      </c>
      <c r="AJ29" s="123">
        <f t="shared" ref="AJ29:AR29" si="37">SUM(AJ30:AJ31)</f>
        <v>0</v>
      </c>
      <c r="AK29" s="123">
        <f t="shared" si="37"/>
        <v>0</v>
      </c>
      <c r="AL29" s="123">
        <f t="shared" si="37"/>
        <v>0</v>
      </c>
      <c r="AM29" s="104">
        <f t="shared" si="37"/>
        <v>0</v>
      </c>
      <c r="AN29" s="123">
        <f t="shared" si="37"/>
        <v>0</v>
      </c>
      <c r="AO29" s="123">
        <f t="shared" si="37"/>
        <v>0</v>
      </c>
      <c r="AP29" s="104">
        <f t="shared" si="37"/>
        <v>0</v>
      </c>
      <c r="AQ29" s="123">
        <f t="shared" si="37"/>
        <v>0</v>
      </c>
      <c r="AR29" s="123">
        <f t="shared" si="37"/>
        <v>0</v>
      </c>
      <c r="AS29" s="340"/>
      <c r="AT29" s="443" t="s">
        <v>411</v>
      </c>
      <c r="AU29" s="121"/>
      <c r="AV29" s="121"/>
      <c r="AW29" s="155"/>
    </row>
    <row r="30" spans="1:49" s="31" customFormat="1" ht="36">
      <c r="A30" s="368"/>
      <c r="B30" s="332"/>
      <c r="C30" s="335"/>
      <c r="D30" s="338"/>
      <c r="E30" s="108" t="s">
        <v>3</v>
      </c>
      <c r="F30" s="123">
        <f>I30+L30+O30+R30+U30+X30+AA30+AD30+AG30+AJ30+AM30+AP30</f>
        <v>0</v>
      </c>
      <c r="G30" s="123">
        <f>J30+M30+P30+S30+V30+Y30+AB30+AE30+AH30+AK30+AN30+AQ30</f>
        <v>0</v>
      </c>
      <c r="H30" s="123">
        <v>0</v>
      </c>
      <c r="I30" s="123">
        <v>0</v>
      </c>
      <c r="J30" s="123">
        <v>0</v>
      </c>
      <c r="K30" s="123">
        <v>0</v>
      </c>
      <c r="L30" s="123">
        <v>0</v>
      </c>
      <c r="M30" s="123">
        <v>0</v>
      </c>
      <c r="N30" s="123">
        <v>0</v>
      </c>
      <c r="O30" s="123">
        <v>0</v>
      </c>
      <c r="P30" s="123">
        <v>0</v>
      </c>
      <c r="Q30" s="123">
        <v>0</v>
      </c>
      <c r="R30" s="123">
        <v>0</v>
      </c>
      <c r="S30" s="123">
        <v>0</v>
      </c>
      <c r="T30" s="123">
        <v>0</v>
      </c>
      <c r="U30" s="117">
        <v>0</v>
      </c>
      <c r="V30" s="117">
        <v>0</v>
      </c>
      <c r="W30" s="117">
        <v>0</v>
      </c>
      <c r="X30" s="117">
        <v>0</v>
      </c>
      <c r="Y30" s="117">
        <v>0</v>
      </c>
      <c r="Z30" s="117">
        <v>0</v>
      </c>
      <c r="AA30" s="123">
        <v>0</v>
      </c>
      <c r="AB30" s="123">
        <v>0</v>
      </c>
      <c r="AC30" s="123">
        <v>0</v>
      </c>
      <c r="AD30" s="117">
        <v>0</v>
      </c>
      <c r="AE30" s="117">
        <v>0</v>
      </c>
      <c r="AF30" s="117">
        <v>0</v>
      </c>
      <c r="AG30" s="117">
        <v>0</v>
      </c>
      <c r="AH30" s="117">
        <v>0</v>
      </c>
      <c r="AI30" s="117">
        <v>0</v>
      </c>
      <c r="AJ30" s="123">
        <v>0</v>
      </c>
      <c r="AK30" s="123">
        <v>0</v>
      </c>
      <c r="AL30" s="123">
        <v>0</v>
      </c>
      <c r="AM30" s="117">
        <v>0</v>
      </c>
      <c r="AN30" s="117">
        <v>0</v>
      </c>
      <c r="AO30" s="117">
        <v>0</v>
      </c>
      <c r="AP30" s="117">
        <v>0</v>
      </c>
      <c r="AQ30" s="123"/>
      <c r="AR30" s="123"/>
      <c r="AS30" s="341"/>
      <c r="AT30" s="444"/>
      <c r="AU30" s="121"/>
      <c r="AV30" s="121"/>
      <c r="AW30" s="155"/>
    </row>
    <row r="31" spans="1:49" s="31" customFormat="1" ht="49.5" customHeight="1">
      <c r="A31" s="368"/>
      <c r="B31" s="332"/>
      <c r="C31" s="335"/>
      <c r="D31" s="338"/>
      <c r="E31" s="108" t="s">
        <v>44</v>
      </c>
      <c r="F31" s="123">
        <f t="shared" ref="F31:G31" si="38">I31+L31+O31+R31+U31+X31+AA31+AD31+AG31+AJ31+AM31+AP31</f>
        <v>150</v>
      </c>
      <c r="G31" s="123">
        <f t="shared" si="38"/>
        <v>0</v>
      </c>
      <c r="H31" s="123">
        <v>0</v>
      </c>
      <c r="I31" s="123">
        <v>0</v>
      </c>
      <c r="J31" s="123">
        <v>0</v>
      </c>
      <c r="K31" s="123">
        <v>0</v>
      </c>
      <c r="L31" s="123">
        <v>0</v>
      </c>
      <c r="M31" s="123">
        <v>0</v>
      </c>
      <c r="N31" s="123">
        <v>0</v>
      </c>
      <c r="O31" s="123">
        <v>150</v>
      </c>
      <c r="P31" s="123">
        <v>0</v>
      </c>
      <c r="Q31" s="123">
        <v>0</v>
      </c>
      <c r="R31" s="123">
        <v>0</v>
      </c>
      <c r="S31" s="123">
        <v>0</v>
      </c>
      <c r="T31" s="123">
        <v>0</v>
      </c>
      <c r="U31" s="117">
        <v>0</v>
      </c>
      <c r="V31" s="117">
        <v>0</v>
      </c>
      <c r="W31" s="117">
        <v>0</v>
      </c>
      <c r="X31" s="117">
        <v>0</v>
      </c>
      <c r="Y31" s="117">
        <v>0</v>
      </c>
      <c r="Z31" s="117">
        <v>0</v>
      </c>
      <c r="AA31" s="123">
        <v>0</v>
      </c>
      <c r="AB31" s="123">
        <v>0</v>
      </c>
      <c r="AC31" s="123">
        <v>0</v>
      </c>
      <c r="AD31" s="117">
        <v>0</v>
      </c>
      <c r="AE31" s="117">
        <v>0</v>
      </c>
      <c r="AF31" s="117">
        <v>0</v>
      </c>
      <c r="AG31" s="117">
        <v>0</v>
      </c>
      <c r="AH31" s="117">
        <v>0</v>
      </c>
      <c r="AI31" s="117">
        <v>0</v>
      </c>
      <c r="AJ31" s="123">
        <v>0</v>
      </c>
      <c r="AK31" s="123">
        <v>0</v>
      </c>
      <c r="AL31" s="123">
        <v>0</v>
      </c>
      <c r="AM31" s="117">
        <v>0</v>
      </c>
      <c r="AN31" s="117">
        <v>0</v>
      </c>
      <c r="AO31" s="117">
        <v>0</v>
      </c>
      <c r="AP31" s="117">
        <v>0</v>
      </c>
      <c r="AQ31" s="123"/>
      <c r="AR31" s="123"/>
      <c r="AS31" s="341"/>
      <c r="AT31" s="445"/>
      <c r="AU31" s="121"/>
      <c r="AV31" s="121"/>
      <c r="AW31" s="155"/>
    </row>
    <row r="32" spans="1:49" s="31" customFormat="1" ht="15.75">
      <c r="A32" s="352" t="s">
        <v>344</v>
      </c>
      <c r="B32" s="353"/>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4"/>
    </row>
    <row r="33" spans="1:49" s="100" customFormat="1" ht="12.75">
      <c r="A33" s="355" t="s">
        <v>345</v>
      </c>
      <c r="B33" s="356"/>
      <c r="C33" s="356"/>
      <c r="D33" s="357"/>
      <c r="E33" s="129" t="s">
        <v>42</v>
      </c>
      <c r="F33" s="106">
        <f>F34+F35+F36</f>
        <v>33940.800000000003</v>
      </c>
      <c r="G33" s="106">
        <f t="shared" ref="G33:AR33" si="39">G34+G35+G36</f>
        <v>5142.1000000000004</v>
      </c>
      <c r="H33" s="106">
        <f>G33/F33*100</f>
        <v>15.150202705887899</v>
      </c>
      <c r="I33" s="106">
        <f t="shared" si="39"/>
        <v>556</v>
      </c>
      <c r="J33" s="106">
        <f t="shared" si="39"/>
        <v>556</v>
      </c>
      <c r="K33" s="106">
        <f>J33/I33*100</f>
        <v>100</v>
      </c>
      <c r="L33" s="106">
        <f t="shared" si="39"/>
        <v>2428</v>
      </c>
      <c r="M33" s="106">
        <f t="shared" si="39"/>
        <v>2369.3000000000002</v>
      </c>
      <c r="N33" s="106">
        <f>M33/L33*100</f>
        <v>97.582372322899516</v>
      </c>
      <c r="O33" s="106">
        <f t="shared" si="39"/>
        <v>2242</v>
      </c>
      <c r="P33" s="106">
        <f t="shared" si="39"/>
        <v>2216.8000000000002</v>
      </c>
      <c r="Q33" s="106">
        <f>P33/O33*100</f>
        <v>98.876003568242652</v>
      </c>
      <c r="R33" s="106">
        <f t="shared" si="39"/>
        <v>3060</v>
      </c>
      <c r="S33" s="106">
        <f t="shared" si="39"/>
        <v>0</v>
      </c>
      <c r="T33" s="106">
        <f>S33/R33*100</f>
        <v>0</v>
      </c>
      <c r="U33" s="106">
        <f t="shared" si="39"/>
        <v>2489</v>
      </c>
      <c r="V33" s="106">
        <f t="shared" si="39"/>
        <v>0</v>
      </c>
      <c r="W33" s="106">
        <f t="shared" si="39"/>
        <v>0</v>
      </c>
      <c r="X33" s="106">
        <f t="shared" si="39"/>
        <v>2628</v>
      </c>
      <c r="Y33" s="106">
        <f t="shared" si="39"/>
        <v>0</v>
      </c>
      <c r="Z33" s="106">
        <f t="shared" si="39"/>
        <v>0</v>
      </c>
      <c r="AA33" s="106">
        <f t="shared" si="39"/>
        <v>3576</v>
      </c>
      <c r="AB33" s="106">
        <f t="shared" si="39"/>
        <v>0</v>
      </c>
      <c r="AC33" s="106">
        <f t="shared" si="39"/>
        <v>0</v>
      </c>
      <c r="AD33" s="106">
        <f t="shared" si="39"/>
        <v>2569</v>
      </c>
      <c r="AE33" s="106">
        <f t="shared" si="39"/>
        <v>0</v>
      </c>
      <c r="AF33" s="106">
        <f t="shared" ref="AF33:AF35" si="40">AE33/AD33*100</f>
        <v>0</v>
      </c>
      <c r="AG33" s="106">
        <f t="shared" si="39"/>
        <v>2544</v>
      </c>
      <c r="AH33" s="106">
        <f t="shared" si="39"/>
        <v>0</v>
      </c>
      <c r="AI33" s="106">
        <f t="shared" si="39"/>
        <v>0</v>
      </c>
      <c r="AJ33" s="106">
        <f t="shared" si="39"/>
        <v>2984</v>
      </c>
      <c r="AK33" s="106">
        <f t="shared" si="39"/>
        <v>0</v>
      </c>
      <c r="AL33" s="106">
        <f t="shared" si="39"/>
        <v>0</v>
      </c>
      <c r="AM33" s="106">
        <f t="shared" si="39"/>
        <v>2265.6</v>
      </c>
      <c r="AN33" s="106">
        <f t="shared" si="39"/>
        <v>0</v>
      </c>
      <c r="AO33" s="106">
        <f t="shared" si="39"/>
        <v>0</v>
      </c>
      <c r="AP33" s="106">
        <f t="shared" si="39"/>
        <v>6599.2</v>
      </c>
      <c r="AQ33" s="106">
        <f t="shared" si="39"/>
        <v>0</v>
      </c>
      <c r="AR33" s="106">
        <f t="shared" si="39"/>
        <v>0</v>
      </c>
      <c r="AS33" s="370"/>
      <c r="AT33" s="364"/>
      <c r="AU33" s="121"/>
      <c r="AV33" s="121"/>
      <c r="AW33" s="155"/>
    </row>
    <row r="34" spans="1:49" s="100" customFormat="1" ht="36">
      <c r="A34" s="358"/>
      <c r="B34" s="359"/>
      <c r="C34" s="359"/>
      <c r="D34" s="360"/>
      <c r="E34" s="111" t="s">
        <v>3</v>
      </c>
      <c r="F34" s="106">
        <f>F43</f>
        <v>30600.9</v>
      </c>
      <c r="G34" s="106">
        <f t="shared" ref="G34:AR36" si="41">G43</f>
        <v>4083.1000000000004</v>
      </c>
      <c r="H34" s="106">
        <f>G34/F34*100</f>
        <v>13.343071609004964</v>
      </c>
      <c r="I34" s="106">
        <f t="shared" si="41"/>
        <v>0</v>
      </c>
      <c r="J34" s="106">
        <f t="shared" si="41"/>
        <v>0</v>
      </c>
      <c r="K34" s="106" t="e">
        <f t="shared" ref="K34:K35" si="42">J34/I34*100</f>
        <v>#DIV/0!</v>
      </c>
      <c r="L34" s="106">
        <f t="shared" si="41"/>
        <v>2178</v>
      </c>
      <c r="M34" s="106">
        <f t="shared" si="41"/>
        <v>2119.3000000000002</v>
      </c>
      <c r="N34" s="106">
        <f t="shared" ref="N34:N35" si="43">M34/L34*100</f>
        <v>97.304866850321403</v>
      </c>
      <c r="O34" s="106">
        <f t="shared" si="41"/>
        <v>1989</v>
      </c>
      <c r="P34" s="106">
        <f t="shared" si="41"/>
        <v>1963.8</v>
      </c>
      <c r="Q34" s="106">
        <f t="shared" ref="Q34:Q35" si="44">P34/O34*100</f>
        <v>98.733031674208135</v>
      </c>
      <c r="R34" s="106">
        <f t="shared" si="41"/>
        <v>3010</v>
      </c>
      <c r="S34" s="106">
        <f t="shared" si="41"/>
        <v>0</v>
      </c>
      <c r="T34" s="106">
        <f t="shared" ref="T34:T35" si="45">S34/R34*100</f>
        <v>0</v>
      </c>
      <c r="U34" s="106">
        <f t="shared" si="41"/>
        <v>2037</v>
      </c>
      <c r="V34" s="106">
        <f t="shared" si="41"/>
        <v>0</v>
      </c>
      <c r="W34" s="106">
        <f t="shared" si="41"/>
        <v>0</v>
      </c>
      <c r="X34" s="106">
        <f t="shared" si="41"/>
        <v>2578</v>
      </c>
      <c r="Y34" s="106">
        <f t="shared" si="41"/>
        <v>0</v>
      </c>
      <c r="Z34" s="106">
        <f t="shared" si="41"/>
        <v>0</v>
      </c>
      <c r="AA34" s="106">
        <f t="shared" si="41"/>
        <v>3526</v>
      </c>
      <c r="AB34" s="106">
        <f t="shared" si="41"/>
        <v>0</v>
      </c>
      <c r="AC34" s="106">
        <f t="shared" si="41"/>
        <v>0</v>
      </c>
      <c r="AD34" s="106">
        <f t="shared" si="41"/>
        <v>2117</v>
      </c>
      <c r="AE34" s="106">
        <f t="shared" si="41"/>
        <v>0</v>
      </c>
      <c r="AF34" s="106">
        <f t="shared" si="40"/>
        <v>0</v>
      </c>
      <c r="AG34" s="106">
        <f t="shared" si="41"/>
        <v>2494</v>
      </c>
      <c r="AH34" s="106">
        <f t="shared" si="41"/>
        <v>0</v>
      </c>
      <c r="AI34" s="106">
        <f t="shared" si="41"/>
        <v>0</v>
      </c>
      <c r="AJ34" s="106">
        <f t="shared" si="41"/>
        <v>2934</v>
      </c>
      <c r="AK34" s="106">
        <f t="shared" si="41"/>
        <v>0</v>
      </c>
      <c r="AL34" s="106">
        <f t="shared" si="41"/>
        <v>0</v>
      </c>
      <c r="AM34" s="106">
        <f t="shared" si="41"/>
        <v>1812</v>
      </c>
      <c r="AN34" s="106">
        <f t="shared" si="41"/>
        <v>0</v>
      </c>
      <c r="AO34" s="106">
        <f t="shared" si="41"/>
        <v>0</v>
      </c>
      <c r="AP34" s="106">
        <f t="shared" si="41"/>
        <v>5925.9</v>
      </c>
      <c r="AQ34" s="106">
        <f t="shared" si="41"/>
        <v>0</v>
      </c>
      <c r="AR34" s="106">
        <f t="shared" si="41"/>
        <v>0</v>
      </c>
      <c r="AS34" s="371"/>
      <c r="AT34" s="365"/>
      <c r="AU34" s="121"/>
      <c r="AV34" s="121"/>
      <c r="AW34" s="155"/>
    </row>
    <row r="35" spans="1:49" s="100" customFormat="1" ht="24">
      <c r="A35" s="358"/>
      <c r="B35" s="359"/>
      <c r="C35" s="359"/>
      <c r="D35" s="360"/>
      <c r="E35" s="111" t="s">
        <v>44</v>
      </c>
      <c r="F35" s="106">
        <f>F44</f>
        <v>3339.8999999999996</v>
      </c>
      <c r="G35" s="106">
        <f t="shared" si="41"/>
        <v>1059</v>
      </c>
      <c r="H35" s="106">
        <f>G35/F35*100</f>
        <v>31.70753615377706</v>
      </c>
      <c r="I35" s="106">
        <f t="shared" si="41"/>
        <v>556</v>
      </c>
      <c r="J35" s="106">
        <f t="shared" si="41"/>
        <v>556</v>
      </c>
      <c r="K35" s="106">
        <f t="shared" si="42"/>
        <v>100</v>
      </c>
      <c r="L35" s="106">
        <f t="shared" si="41"/>
        <v>250</v>
      </c>
      <c r="M35" s="106">
        <f t="shared" si="41"/>
        <v>250</v>
      </c>
      <c r="N35" s="106">
        <f t="shared" si="43"/>
        <v>100</v>
      </c>
      <c r="O35" s="106">
        <f t="shared" si="41"/>
        <v>253</v>
      </c>
      <c r="P35" s="106">
        <f t="shared" si="41"/>
        <v>253</v>
      </c>
      <c r="Q35" s="106">
        <f t="shared" si="44"/>
        <v>100</v>
      </c>
      <c r="R35" s="106">
        <f t="shared" si="41"/>
        <v>50</v>
      </c>
      <c r="S35" s="106">
        <f t="shared" si="41"/>
        <v>0</v>
      </c>
      <c r="T35" s="106">
        <f t="shared" si="45"/>
        <v>0</v>
      </c>
      <c r="U35" s="106">
        <f t="shared" si="41"/>
        <v>452</v>
      </c>
      <c r="V35" s="106">
        <f t="shared" si="41"/>
        <v>0</v>
      </c>
      <c r="W35" s="106">
        <f t="shared" si="41"/>
        <v>0</v>
      </c>
      <c r="X35" s="106">
        <f t="shared" si="41"/>
        <v>50</v>
      </c>
      <c r="Y35" s="106">
        <f t="shared" si="41"/>
        <v>0</v>
      </c>
      <c r="Z35" s="106">
        <f t="shared" si="41"/>
        <v>0</v>
      </c>
      <c r="AA35" s="106">
        <f t="shared" si="41"/>
        <v>50</v>
      </c>
      <c r="AB35" s="106">
        <f t="shared" si="41"/>
        <v>0</v>
      </c>
      <c r="AC35" s="106">
        <f t="shared" si="41"/>
        <v>0</v>
      </c>
      <c r="AD35" s="106">
        <f t="shared" si="41"/>
        <v>452</v>
      </c>
      <c r="AE35" s="106">
        <f t="shared" si="41"/>
        <v>0</v>
      </c>
      <c r="AF35" s="106">
        <f t="shared" si="40"/>
        <v>0</v>
      </c>
      <c r="AG35" s="106">
        <f t="shared" si="41"/>
        <v>50</v>
      </c>
      <c r="AH35" s="106">
        <f t="shared" si="41"/>
        <v>0</v>
      </c>
      <c r="AI35" s="106">
        <f t="shared" si="41"/>
        <v>0</v>
      </c>
      <c r="AJ35" s="106">
        <f t="shared" si="41"/>
        <v>50</v>
      </c>
      <c r="AK35" s="106">
        <f t="shared" si="41"/>
        <v>0</v>
      </c>
      <c r="AL35" s="106">
        <f t="shared" si="41"/>
        <v>0</v>
      </c>
      <c r="AM35" s="106">
        <f t="shared" si="41"/>
        <v>453.6</v>
      </c>
      <c r="AN35" s="106">
        <f t="shared" si="41"/>
        <v>0</v>
      </c>
      <c r="AO35" s="106">
        <f t="shared" si="41"/>
        <v>0</v>
      </c>
      <c r="AP35" s="106">
        <f t="shared" si="41"/>
        <v>673.3</v>
      </c>
      <c r="AQ35" s="106">
        <f t="shared" si="41"/>
        <v>0</v>
      </c>
      <c r="AR35" s="106">
        <f t="shared" si="41"/>
        <v>0</v>
      </c>
      <c r="AS35" s="371"/>
      <c r="AT35" s="365"/>
      <c r="AU35" s="121"/>
      <c r="AV35" s="121"/>
      <c r="AW35" s="155"/>
    </row>
    <row r="36" spans="1:49" s="100" customFormat="1" ht="24">
      <c r="A36" s="361"/>
      <c r="B36" s="362"/>
      <c r="C36" s="362"/>
      <c r="D36" s="363"/>
      <c r="E36" s="110" t="s">
        <v>257</v>
      </c>
      <c r="F36" s="106">
        <f>F45</f>
        <v>0</v>
      </c>
      <c r="G36" s="106">
        <f t="shared" si="41"/>
        <v>0</v>
      </c>
      <c r="H36" s="106">
        <v>0</v>
      </c>
      <c r="I36" s="106">
        <f t="shared" si="41"/>
        <v>0</v>
      </c>
      <c r="J36" s="106">
        <f t="shared" si="41"/>
        <v>0</v>
      </c>
      <c r="K36" s="106">
        <v>0</v>
      </c>
      <c r="L36" s="106">
        <f t="shared" si="41"/>
        <v>0</v>
      </c>
      <c r="M36" s="106">
        <f t="shared" si="41"/>
        <v>0</v>
      </c>
      <c r="N36" s="106">
        <v>0</v>
      </c>
      <c r="O36" s="106">
        <f t="shared" si="41"/>
        <v>0</v>
      </c>
      <c r="P36" s="106">
        <f t="shared" si="41"/>
        <v>0</v>
      </c>
      <c r="Q36" s="106">
        <f t="shared" si="41"/>
        <v>0</v>
      </c>
      <c r="R36" s="106">
        <f t="shared" si="41"/>
        <v>0</v>
      </c>
      <c r="S36" s="106">
        <f t="shared" si="41"/>
        <v>0</v>
      </c>
      <c r="T36" s="106">
        <v>0</v>
      </c>
      <c r="U36" s="106">
        <f t="shared" si="41"/>
        <v>0</v>
      </c>
      <c r="V36" s="106">
        <f t="shared" si="41"/>
        <v>0</v>
      </c>
      <c r="W36" s="106">
        <f t="shared" si="41"/>
        <v>0</v>
      </c>
      <c r="X36" s="106">
        <f t="shared" si="41"/>
        <v>0</v>
      </c>
      <c r="Y36" s="106">
        <f t="shared" si="41"/>
        <v>0</v>
      </c>
      <c r="Z36" s="106">
        <f t="shared" si="41"/>
        <v>0</v>
      </c>
      <c r="AA36" s="106">
        <f t="shared" si="41"/>
        <v>0</v>
      </c>
      <c r="AB36" s="106">
        <f t="shared" si="41"/>
        <v>0</v>
      </c>
      <c r="AC36" s="106">
        <f t="shared" si="41"/>
        <v>0</v>
      </c>
      <c r="AD36" s="106">
        <f t="shared" si="41"/>
        <v>0</v>
      </c>
      <c r="AE36" s="106">
        <f t="shared" si="41"/>
        <v>0</v>
      </c>
      <c r="AF36" s="106">
        <f t="shared" si="41"/>
        <v>0</v>
      </c>
      <c r="AG36" s="106">
        <f t="shared" si="41"/>
        <v>0</v>
      </c>
      <c r="AH36" s="106">
        <f t="shared" si="41"/>
        <v>0</v>
      </c>
      <c r="AI36" s="106">
        <f t="shared" si="41"/>
        <v>0</v>
      </c>
      <c r="AJ36" s="106">
        <f t="shared" si="41"/>
        <v>0</v>
      </c>
      <c r="AK36" s="106">
        <f t="shared" si="41"/>
        <v>0</v>
      </c>
      <c r="AL36" s="106">
        <f t="shared" si="41"/>
        <v>0</v>
      </c>
      <c r="AM36" s="106">
        <f t="shared" si="41"/>
        <v>0</v>
      </c>
      <c r="AN36" s="106">
        <f t="shared" si="41"/>
        <v>0</v>
      </c>
      <c r="AO36" s="106">
        <f t="shared" si="41"/>
        <v>0</v>
      </c>
      <c r="AP36" s="106">
        <f t="shared" si="41"/>
        <v>0</v>
      </c>
      <c r="AQ36" s="106">
        <f t="shared" si="41"/>
        <v>0</v>
      </c>
      <c r="AR36" s="106">
        <f t="shared" si="41"/>
        <v>0</v>
      </c>
      <c r="AS36" s="372"/>
      <c r="AT36" s="366"/>
      <c r="AU36" s="121"/>
      <c r="AV36" s="121"/>
      <c r="AW36" s="155"/>
    </row>
    <row r="37" spans="1:49" s="100" customFormat="1" ht="190.5" customHeight="1">
      <c r="A37" s="191" t="s">
        <v>347</v>
      </c>
      <c r="B37" s="161" t="s">
        <v>348</v>
      </c>
      <c r="C37" s="162" t="s">
        <v>349</v>
      </c>
      <c r="D37" s="170" t="s">
        <v>350</v>
      </c>
      <c r="E37" s="143" t="s">
        <v>275</v>
      </c>
      <c r="F37" s="149" t="s">
        <v>279</v>
      </c>
      <c r="G37" s="149" t="s">
        <v>279</v>
      </c>
      <c r="H37" s="149" t="s">
        <v>279</v>
      </c>
      <c r="I37" s="149" t="s">
        <v>279</v>
      </c>
      <c r="J37" s="149" t="s">
        <v>279</v>
      </c>
      <c r="K37" s="149" t="s">
        <v>279</v>
      </c>
      <c r="L37" s="149" t="s">
        <v>279</v>
      </c>
      <c r="M37" s="149" t="s">
        <v>279</v>
      </c>
      <c r="N37" s="149" t="s">
        <v>279</v>
      </c>
      <c r="O37" s="149" t="s">
        <v>279</v>
      </c>
      <c r="P37" s="149" t="s">
        <v>279</v>
      </c>
      <c r="Q37" s="149" t="s">
        <v>279</v>
      </c>
      <c r="R37" s="149" t="s">
        <v>279</v>
      </c>
      <c r="S37" s="149" t="s">
        <v>279</v>
      </c>
      <c r="T37" s="149" t="s">
        <v>279</v>
      </c>
      <c r="U37" s="149" t="s">
        <v>279</v>
      </c>
      <c r="V37" s="149" t="s">
        <v>279</v>
      </c>
      <c r="W37" s="149" t="s">
        <v>279</v>
      </c>
      <c r="X37" s="149" t="s">
        <v>279</v>
      </c>
      <c r="Y37" s="149" t="s">
        <v>279</v>
      </c>
      <c r="Z37" s="149" t="s">
        <v>279</v>
      </c>
      <c r="AA37" s="149" t="s">
        <v>279</v>
      </c>
      <c r="AB37" s="149" t="s">
        <v>279</v>
      </c>
      <c r="AC37" s="149" t="s">
        <v>279</v>
      </c>
      <c r="AD37" s="149" t="s">
        <v>279</v>
      </c>
      <c r="AE37" s="149" t="s">
        <v>279</v>
      </c>
      <c r="AF37" s="149" t="s">
        <v>279</v>
      </c>
      <c r="AG37" s="149" t="s">
        <v>279</v>
      </c>
      <c r="AH37" s="149" t="s">
        <v>279</v>
      </c>
      <c r="AI37" s="149" t="s">
        <v>279</v>
      </c>
      <c r="AJ37" s="149" t="s">
        <v>279</v>
      </c>
      <c r="AK37" s="149" t="s">
        <v>279</v>
      </c>
      <c r="AL37" s="149" t="s">
        <v>279</v>
      </c>
      <c r="AM37" s="149" t="s">
        <v>279</v>
      </c>
      <c r="AN37" s="149" t="s">
        <v>279</v>
      </c>
      <c r="AO37" s="149" t="s">
        <v>279</v>
      </c>
      <c r="AP37" s="149" t="s">
        <v>279</v>
      </c>
      <c r="AQ37" s="149"/>
      <c r="AR37" s="149"/>
      <c r="AS37" s="141" t="s">
        <v>413</v>
      </c>
      <c r="AT37" s="134"/>
      <c r="AU37" s="121"/>
      <c r="AV37" s="121"/>
      <c r="AW37" s="155"/>
    </row>
    <row r="38" spans="1:49" s="100" customFormat="1" ht="108">
      <c r="A38" s="185" t="s">
        <v>351</v>
      </c>
      <c r="B38" s="193" t="s">
        <v>352</v>
      </c>
      <c r="C38" s="160" t="s">
        <v>353</v>
      </c>
      <c r="D38" s="170" t="s">
        <v>354</v>
      </c>
      <c r="E38" s="143" t="s">
        <v>275</v>
      </c>
      <c r="F38" s="149" t="s">
        <v>279</v>
      </c>
      <c r="G38" s="149" t="s">
        <v>279</v>
      </c>
      <c r="H38" s="149" t="s">
        <v>279</v>
      </c>
      <c r="I38" s="149" t="s">
        <v>279</v>
      </c>
      <c r="J38" s="149" t="s">
        <v>279</v>
      </c>
      <c r="K38" s="149" t="s">
        <v>279</v>
      </c>
      <c r="L38" s="149" t="s">
        <v>279</v>
      </c>
      <c r="M38" s="149" t="s">
        <v>279</v>
      </c>
      <c r="N38" s="149" t="s">
        <v>279</v>
      </c>
      <c r="O38" s="149" t="s">
        <v>279</v>
      </c>
      <c r="P38" s="149" t="s">
        <v>279</v>
      </c>
      <c r="Q38" s="149" t="s">
        <v>279</v>
      </c>
      <c r="R38" s="149" t="s">
        <v>279</v>
      </c>
      <c r="S38" s="149" t="s">
        <v>279</v>
      </c>
      <c r="T38" s="149" t="s">
        <v>279</v>
      </c>
      <c r="U38" s="149" t="s">
        <v>279</v>
      </c>
      <c r="V38" s="149" t="s">
        <v>279</v>
      </c>
      <c r="W38" s="149" t="s">
        <v>279</v>
      </c>
      <c r="X38" s="149" t="s">
        <v>279</v>
      </c>
      <c r="Y38" s="149" t="s">
        <v>279</v>
      </c>
      <c r="Z38" s="149" t="s">
        <v>279</v>
      </c>
      <c r="AA38" s="149" t="s">
        <v>279</v>
      </c>
      <c r="AB38" s="149" t="s">
        <v>279</v>
      </c>
      <c r="AC38" s="149" t="s">
        <v>279</v>
      </c>
      <c r="AD38" s="149" t="s">
        <v>279</v>
      </c>
      <c r="AE38" s="149" t="s">
        <v>279</v>
      </c>
      <c r="AF38" s="149" t="s">
        <v>279</v>
      </c>
      <c r="AG38" s="149" t="s">
        <v>279</v>
      </c>
      <c r="AH38" s="149" t="s">
        <v>279</v>
      </c>
      <c r="AI38" s="149" t="s">
        <v>279</v>
      </c>
      <c r="AJ38" s="149" t="s">
        <v>279</v>
      </c>
      <c r="AK38" s="149" t="s">
        <v>279</v>
      </c>
      <c r="AL38" s="149" t="s">
        <v>279</v>
      </c>
      <c r="AM38" s="149" t="s">
        <v>279</v>
      </c>
      <c r="AN38" s="149" t="s">
        <v>279</v>
      </c>
      <c r="AO38" s="149" t="s">
        <v>279</v>
      </c>
      <c r="AP38" s="149" t="s">
        <v>279</v>
      </c>
      <c r="AQ38" s="149"/>
      <c r="AR38" s="149"/>
      <c r="AS38" s="141" t="s">
        <v>414</v>
      </c>
      <c r="AT38" s="134"/>
      <c r="AU38" s="121"/>
      <c r="AV38" s="121"/>
      <c r="AW38" s="155"/>
    </row>
    <row r="39" spans="1:49" s="100" customFormat="1" ht="129.75" customHeight="1">
      <c r="A39" s="191" t="s">
        <v>355</v>
      </c>
      <c r="B39" s="193" t="s">
        <v>356</v>
      </c>
      <c r="C39" s="160" t="s">
        <v>357</v>
      </c>
      <c r="D39" s="170" t="s">
        <v>358</v>
      </c>
      <c r="E39" s="143" t="s">
        <v>275</v>
      </c>
      <c r="F39" s="149" t="s">
        <v>279</v>
      </c>
      <c r="G39" s="149" t="s">
        <v>279</v>
      </c>
      <c r="H39" s="149" t="s">
        <v>279</v>
      </c>
      <c r="I39" s="149" t="s">
        <v>279</v>
      </c>
      <c r="J39" s="149" t="s">
        <v>279</v>
      </c>
      <c r="K39" s="149" t="s">
        <v>279</v>
      </c>
      <c r="L39" s="149" t="s">
        <v>279</v>
      </c>
      <c r="M39" s="149" t="s">
        <v>279</v>
      </c>
      <c r="N39" s="149" t="s">
        <v>279</v>
      </c>
      <c r="O39" s="149" t="s">
        <v>279</v>
      </c>
      <c r="P39" s="149" t="s">
        <v>279</v>
      </c>
      <c r="Q39" s="149" t="s">
        <v>279</v>
      </c>
      <c r="R39" s="149" t="s">
        <v>279</v>
      </c>
      <c r="S39" s="149" t="s">
        <v>279</v>
      </c>
      <c r="T39" s="149" t="s">
        <v>279</v>
      </c>
      <c r="U39" s="149" t="s">
        <v>279</v>
      </c>
      <c r="V39" s="149" t="s">
        <v>279</v>
      </c>
      <c r="W39" s="149" t="s">
        <v>279</v>
      </c>
      <c r="X39" s="149" t="s">
        <v>279</v>
      </c>
      <c r="Y39" s="149" t="s">
        <v>279</v>
      </c>
      <c r="Z39" s="149" t="s">
        <v>279</v>
      </c>
      <c r="AA39" s="149" t="s">
        <v>279</v>
      </c>
      <c r="AB39" s="149" t="s">
        <v>279</v>
      </c>
      <c r="AC39" s="149" t="s">
        <v>279</v>
      </c>
      <c r="AD39" s="149" t="s">
        <v>279</v>
      </c>
      <c r="AE39" s="149" t="s">
        <v>279</v>
      </c>
      <c r="AF39" s="149" t="s">
        <v>279</v>
      </c>
      <c r="AG39" s="149" t="s">
        <v>279</v>
      </c>
      <c r="AH39" s="149" t="s">
        <v>279</v>
      </c>
      <c r="AI39" s="149" t="s">
        <v>279</v>
      </c>
      <c r="AJ39" s="149" t="s">
        <v>279</v>
      </c>
      <c r="AK39" s="149" t="s">
        <v>279</v>
      </c>
      <c r="AL39" s="149" t="s">
        <v>279</v>
      </c>
      <c r="AM39" s="149" t="s">
        <v>279</v>
      </c>
      <c r="AN39" s="149" t="s">
        <v>279</v>
      </c>
      <c r="AO39" s="149" t="s">
        <v>279</v>
      </c>
      <c r="AP39" s="149" t="s">
        <v>279</v>
      </c>
      <c r="AQ39" s="149"/>
      <c r="AR39" s="149"/>
      <c r="AS39" s="209" t="s">
        <v>415</v>
      </c>
      <c r="AT39" s="134"/>
      <c r="AU39" s="121"/>
      <c r="AV39" s="121"/>
      <c r="AW39" s="155"/>
    </row>
    <row r="40" spans="1:49" s="100" customFormat="1" ht="217.5" customHeight="1">
      <c r="A40" s="191" t="s">
        <v>359</v>
      </c>
      <c r="B40" s="193" t="s">
        <v>360</v>
      </c>
      <c r="C40" s="160" t="s">
        <v>357</v>
      </c>
      <c r="D40" s="170" t="s">
        <v>358</v>
      </c>
      <c r="E40" s="143" t="s">
        <v>275</v>
      </c>
      <c r="F40" s="149" t="s">
        <v>279</v>
      </c>
      <c r="G40" s="149" t="s">
        <v>279</v>
      </c>
      <c r="H40" s="149" t="s">
        <v>279</v>
      </c>
      <c r="I40" s="149" t="s">
        <v>279</v>
      </c>
      <c r="J40" s="149" t="s">
        <v>279</v>
      </c>
      <c r="K40" s="149" t="s">
        <v>279</v>
      </c>
      <c r="L40" s="149" t="s">
        <v>279</v>
      </c>
      <c r="M40" s="149" t="s">
        <v>279</v>
      </c>
      <c r="N40" s="149" t="s">
        <v>279</v>
      </c>
      <c r="O40" s="149" t="s">
        <v>279</v>
      </c>
      <c r="P40" s="149" t="s">
        <v>279</v>
      </c>
      <c r="Q40" s="149" t="s">
        <v>279</v>
      </c>
      <c r="R40" s="149" t="s">
        <v>279</v>
      </c>
      <c r="S40" s="149" t="s">
        <v>279</v>
      </c>
      <c r="T40" s="149" t="s">
        <v>279</v>
      </c>
      <c r="U40" s="149" t="s">
        <v>279</v>
      </c>
      <c r="V40" s="149" t="s">
        <v>279</v>
      </c>
      <c r="W40" s="149" t="s">
        <v>279</v>
      </c>
      <c r="X40" s="149" t="s">
        <v>279</v>
      </c>
      <c r="Y40" s="149" t="s">
        <v>279</v>
      </c>
      <c r="Z40" s="149" t="s">
        <v>279</v>
      </c>
      <c r="AA40" s="149" t="s">
        <v>279</v>
      </c>
      <c r="AB40" s="149" t="s">
        <v>279</v>
      </c>
      <c r="AC40" s="149" t="s">
        <v>279</v>
      </c>
      <c r="AD40" s="149" t="s">
        <v>279</v>
      </c>
      <c r="AE40" s="149" t="s">
        <v>279</v>
      </c>
      <c r="AF40" s="149" t="s">
        <v>279</v>
      </c>
      <c r="AG40" s="149" t="s">
        <v>279</v>
      </c>
      <c r="AH40" s="149" t="s">
        <v>279</v>
      </c>
      <c r="AI40" s="149" t="s">
        <v>279</v>
      </c>
      <c r="AJ40" s="149" t="s">
        <v>279</v>
      </c>
      <c r="AK40" s="149" t="s">
        <v>279</v>
      </c>
      <c r="AL40" s="149" t="s">
        <v>279</v>
      </c>
      <c r="AM40" s="149" t="s">
        <v>279</v>
      </c>
      <c r="AN40" s="149" t="s">
        <v>279</v>
      </c>
      <c r="AO40" s="149" t="s">
        <v>279</v>
      </c>
      <c r="AP40" s="149" t="s">
        <v>279</v>
      </c>
      <c r="AQ40" s="149"/>
      <c r="AR40" s="149"/>
      <c r="AS40" s="141" t="s">
        <v>416</v>
      </c>
      <c r="AT40" s="134"/>
      <c r="AU40" s="121"/>
      <c r="AV40" s="121"/>
      <c r="AW40" s="155"/>
    </row>
    <row r="41" spans="1:49" s="100" customFormat="1" ht="54" customHeight="1">
      <c r="A41" s="191" t="s">
        <v>361</v>
      </c>
      <c r="B41" s="193" t="s">
        <v>362</v>
      </c>
      <c r="C41" s="160" t="s">
        <v>363</v>
      </c>
      <c r="D41" s="170" t="s">
        <v>364</v>
      </c>
      <c r="E41" s="143" t="s">
        <v>275</v>
      </c>
      <c r="F41" s="149" t="s">
        <v>279</v>
      </c>
      <c r="G41" s="149" t="s">
        <v>279</v>
      </c>
      <c r="H41" s="149" t="s">
        <v>279</v>
      </c>
      <c r="I41" s="149" t="s">
        <v>279</v>
      </c>
      <c r="J41" s="149" t="s">
        <v>279</v>
      </c>
      <c r="K41" s="149" t="s">
        <v>279</v>
      </c>
      <c r="L41" s="149" t="s">
        <v>279</v>
      </c>
      <c r="M41" s="149" t="s">
        <v>279</v>
      </c>
      <c r="N41" s="149" t="s">
        <v>279</v>
      </c>
      <c r="O41" s="149" t="s">
        <v>279</v>
      </c>
      <c r="P41" s="149" t="s">
        <v>279</v>
      </c>
      <c r="Q41" s="149" t="s">
        <v>279</v>
      </c>
      <c r="R41" s="149" t="s">
        <v>279</v>
      </c>
      <c r="S41" s="149" t="s">
        <v>279</v>
      </c>
      <c r="T41" s="149" t="s">
        <v>279</v>
      </c>
      <c r="U41" s="149" t="s">
        <v>279</v>
      </c>
      <c r="V41" s="149" t="s">
        <v>279</v>
      </c>
      <c r="W41" s="149" t="s">
        <v>279</v>
      </c>
      <c r="X41" s="149" t="s">
        <v>279</v>
      </c>
      <c r="Y41" s="149" t="s">
        <v>279</v>
      </c>
      <c r="Z41" s="149" t="s">
        <v>279</v>
      </c>
      <c r="AA41" s="149" t="s">
        <v>279</v>
      </c>
      <c r="AB41" s="149" t="s">
        <v>279</v>
      </c>
      <c r="AC41" s="149" t="s">
        <v>279</v>
      </c>
      <c r="AD41" s="149" t="s">
        <v>279</v>
      </c>
      <c r="AE41" s="149" t="s">
        <v>279</v>
      </c>
      <c r="AF41" s="149" t="s">
        <v>279</v>
      </c>
      <c r="AG41" s="149" t="s">
        <v>279</v>
      </c>
      <c r="AH41" s="149" t="s">
        <v>279</v>
      </c>
      <c r="AI41" s="149" t="s">
        <v>279</v>
      </c>
      <c r="AJ41" s="149" t="s">
        <v>279</v>
      </c>
      <c r="AK41" s="149" t="s">
        <v>279</v>
      </c>
      <c r="AL41" s="149" t="s">
        <v>279</v>
      </c>
      <c r="AM41" s="149" t="s">
        <v>279</v>
      </c>
      <c r="AN41" s="149" t="s">
        <v>279</v>
      </c>
      <c r="AO41" s="149" t="s">
        <v>279</v>
      </c>
      <c r="AP41" s="149" t="s">
        <v>279</v>
      </c>
      <c r="AQ41" s="149"/>
      <c r="AR41" s="149"/>
      <c r="AS41" s="141" t="s">
        <v>417</v>
      </c>
      <c r="AT41" s="134"/>
      <c r="AU41" s="121"/>
      <c r="AV41" s="121"/>
      <c r="AW41" s="155"/>
    </row>
    <row r="42" spans="1:49" s="31" customFormat="1" ht="12.75">
      <c r="A42" s="373" t="s">
        <v>365</v>
      </c>
      <c r="B42" s="376" t="s">
        <v>366</v>
      </c>
      <c r="C42" s="379" t="s">
        <v>269</v>
      </c>
      <c r="D42" s="337" t="s">
        <v>367</v>
      </c>
      <c r="E42" s="107" t="s">
        <v>42</v>
      </c>
      <c r="F42" s="123">
        <f>SUM(F43:F45)</f>
        <v>33940.800000000003</v>
      </c>
      <c r="G42" s="123">
        <f t="shared" ref="G42" si="46">SUM(G43:G45)</f>
        <v>5142.1000000000004</v>
      </c>
      <c r="H42" s="123">
        <f>G42/F42*100</f>
        <v>15.150202705887899</v>
      </c>
      <c r="I42" s="132">
        <f>I43+I44+I45</f>
        <v>556</v>
      </c>
      <c r="J42" s="132">
        <f>J43+J44+J45</f>
        <v>556</v>
      </c>
      <c r="K42" s="123">
        <f t="shared" ref="K42:K44" si="47">J42/I42*100</f>
        <v>100</v>
      </c>
      <c r="L42" s="132">
        <f>L43+L44+L45</f>
        <v>2428</v>
      </c>
      <c r="M42" s="132">
        <f>M43+M44+M45</f>
        <v>2369.3000000000002</v>
      </c>
      <c r="N42" s="132">
        <f>M42/L42*100</f>
        <v>97.582372322899516</v>
      </c>
      <c r="O42" s="132">
        <f>O43+O44+O45</f>
        <v>2242</v>
      </c>
      <c r="P42" s="132">
        <f>P43+P44+P45</f>
        <v>2216.8000000000002</v>
      </c>
      <c r="Q42" s="123">
        <f t="shared" ref="Q42:Q44" si="48">P42/O42*100</f>
        <v>98.876003568242652</v>
      </c>
      <c r="R42" s="132">
        <f>R43+R44+R45</f>
        <v>3060</v>
      </c>
      <c r="S42" s="132">
        <f>S43+S44+S45</f>
        <v>0</v>
      </c>
      <c r="T42" s="132">
        <f>S42/R42*100</f>
        <v>0</v>
      </c>
      <c r="U42" s="132">
        <f t="shared" ref="U42:AP42" si="49">U43+U44+U45</f>
        <v>2489</v>
      </c>
      <c r="V42" s="132">
        <f t="shared" si="49"/>
        <v>0</v>
      </c>
      <c r="W42" s="132">
        <f>V42/U42*100</f>
        <v>0</v>
      </c>
      <c r="X42" s="132">
        <f t="shared" si="49"/>
        <v>2628</v>
      </c>
      <c r="Y42" s="132">
        <f t="shared" si="49"/>
        <v>0</v>
      </c>
      <c r="Z42" s="132">
        <f>Y42/X42*100</f>
        <v>0</v>
      </c>
      <c r="AA42" s="132">
        <f t="shared" si="49"/>
        <v>3576</v>
      </c>
      <c r="AB42" s="132">
        <f t="shared" si="49"/>
        <v>0</v>
      </c>
      <c r="AC42" s="132">
        <f>AB42/AA42*100</f>
        <v>0</v>
      </c>
      <c r="AD42" s="132">
        <f t="shared" si="49"/>
        <v>2569</v>
      </c>
      <c r="AE42" s="132">
        <f t="shared" si="49"/>
        <v>0</v>
      </c>
      <c r="AF42" s="132">
        <f>AE42/AD42*100</f>
        <v>0</v>
      </c>
      <c r="AG42" s="132">
        <f t="shared" si="49"/>
        <v>2544</v>
      </c>
      <c r="AH42" s="132">
        <f t="shared" si="49"/>
        <v>0</v>
      </c>
      <c r="AI42" s="117">
        <f>AH42/AG42*100</f>
        <v>0</v>
      </c>
      <c r="AJ42" s="132">
        <f t="shared" si="49"/>
        <v>2984</v>
      </c>
      <c r="AK42" s="132">
        <f t="shared" si="49"/>
        <v>0</v>
      </c>
      <c r="AL42" s="132">
        <f t="shared" si="49"/>
        <v>0</v>
      </c>
      <c r="AM42" s="132">
        <f t="shared" si="49"/>
        <v>2265.6</v>
      </c>
      <c r="AN42" s="132">
        <f t="shared" si="49"/>
        <v>0</v>
      </c>
      <c r="AO42" s="132">
        <f t="shared" si="49"/>
        <v>0</v>
      </c>
      <c r="AP42" s="132">
        <f t="shared" si="49"/>
        <v>6599.2</v>
      </c>
      <c r="AQ42" s="104"/>
      <c r="AR42" s="104"/>
      <c r="AS42" s="340" t="s">
        <v>418</v>
      </c>
      <c r="AT42" s="440" t="s">
        <v>412</v>
      </c>
      <c r="AU42" s="121"/>
      <c r="AV42" s="121"/>
      <c r="AW42" s="155"/>
    </row>
    <row r="43" spans="1:49" s="31" customFormat="1" ht="36">
      <c r="A43" s="374"/>
      <c r="B43" s="377"/>
      <c r="C43" s="380"/>
      <c r="D43" s="338"/>
      <c r="E43" s="108" t="s">
        <v>3</v>
      </c>
      <c r="F43" s="123">
        <f>I43+L43+O43+R43+U43+X43+AA43+AD43+AG43+AJ43+AM43+AP43</f>
        <v>30600.9</v>
      </c>
      <c r="G43" s="123">
        <f>J43+M43+P43+S43+V43+Y43+AB43+AE43+AH43+AK43+AN43+AQ43</f>
        <v>4083.1000000000004</v>
      </c>
      <c r="H43" s="123">
        <f>G43/F43*100</f>
        <v>13.343071609004964</v>
      </c>
      <c r="I43" s="123">
        <v>0</v>
      </c>
      <c r="J43" s="123">
        <v>0</v>
      </c>
      <c r="K43" s="123">
        <v>0</v>
      </c>
      <c r="L43" s="150">
        <v>2178</v>
      </c>
      <c r="M43" s="123">
        <v>2119.3000000000002</v>
      </c>
      <c r="N43" s="138">
        <f t="shared" ref="N43:N44" si="50">M43/L43*100</f>
        <v>97.304866850321403</v>
      </c>
      <c r="O43" s="123">
        <v>1989</v>
      </c>
      <c r="P43" s="123">
        <v>1963.8</v>
      </c>
      <c r="Q43" s="123">
        <f t="shared" si="48"/>
        <v>98.733031674208135</v>
      </c>
      <c r="R43" s="123">
        <v>3010</v>
      </c>
      <c r="S43" s="123">
        <v>0</v>
      </c>
      <c r="T43" s="132">
        <f t="shared" ref="T43:T44" si="51">S43/R43*100</f>
        <v>0</v>
      </c>
      <c r="U43" s="117">
        <v>2037</v>
      </c>
      <c r="V43" s="117">
        <v>0</v>
      </c>
      <c r="W43" s="132">
        <f t="shared" ref="W43:W44" si="52">V43/U43*100</f>
        <v>0</v>
      </c>
      <c r="X43" s="117">
        <v>2578</v>
      </c>
      <c r="Y43" s="117">
        <v>0</v>
      </c>
      <c r="Z43" s="117">
        <f>Y43/X43*100</f>
        <v>0</v>
      </c>
      <c r="AA43" s="117">
        <v>3526</v>
      </c>
      <c r="AB43" s="117">
        <v>0</v>
      </c>
      <c r="AC43" s="117">
        <f>AB43/AA43*100</f>
        <v>0</v>
      </c>
      <c r="AD43" s="117">
        <v>2117</v>
      </c>
      <c r="AE43" s="117">
        <v>0</v>
      </c>
      <c r="AF43" s="117">
        <f>AE43/AD43*100</f>
        <v>0</v>
      </c>
      <c r="AG43" s="117">
        <v>2494</v>
      </c>
      <c r="AH43" s="117">
        <v>0</v>
      </c>
      <c r="AI43" s="117">
        <f>AH43/AG43*100</f>
        <v>0</v>
      </c>
      <c r="AJ43" s="123">
        <v>2934</v>
      </c>
      <c r="AK43" s="123">
        <v>0</v>
      </c>
      <c r="AL43" s="123">
        <v>0</v>
      </c>
      <c r="AM43" s="117">
        <v>1812</v>
      </c>
      <c r="AN43" s="117">
        <v>0</v>
      </c>
      <c r="AO43" s="117">
        <v>0</v>
      </c>
      <c r="AP43" s="123">
        <v>5925.9</v>
      </c>
      <c r="AQ43" s="104"/>
      <c r="AR43" s="104"/>
      <c r="AS43" s="341"/>
      <c r="AT43" s="441"/>
      <c r="AU43" s="121"/>
      <c r="AV43" s="121"/>
      <c r="AW43" s="155"/>
    </row>
    <row r="44" spans="1:49" s="31" customFormat="1" ht="33.75" customHeight="1">
      <c r="A44" s="374"/>
      <c r="B44" s="377"/>
      <c r="C44" s="380"/>
      <c r="D44" s="338"/>
      <c r="E44" s="108" t="s">
        <v>44</v>
      </c>
      <c r="F44" s="123">
        <f t="shared" ref="F44:G45" si="53">I44+L44+O44+R44+U44+X44+AA44+AD44+AG44+AJ44+AM44+AP44</f>
        <v>3339.8999999999996</v>
      </c>
      <c r="G44" s="123">
        <f t="shared" si="53"/>
        <v>1059</v>
      </c>
      <c r="H44" s="123">
        <f>G44/F44*100</f>
        <v>31.70753615377706</v>
      </c>
      <c r="I44" s="123">
        <v>556</v>
      </c>
      <c r="J44" s="123">
        <v>556</v>
      </c>
      <c r="K44" s="123">
        <f t="shared" si="47"/>
        <v>100</v>
      </c>
      <c r="L44" s="150">
        <v>250</v>
      </c>
      <c r="M44" s="123">
        <v>250</v>
      </c>
      <c r="N44" s="138">
        <f t="shared" si="50"/>
        <v>100</v>
      </c>
      <c r="O44" s="123">
        <v>253</v>
      </c>
      <c r="P44" s="123">
        <v>253</v>
      </c>
      <c r="Q44" s="123">
        <f t="shared" si="48"/>
        <v>100</v>
      </c>
      <c r="R44" s="123">
        <v>50</v>
      </c>
      <c r="S44" s="123">
        <v>0</v>
      </c>
      <c r="T44" s="132">
        <f t="shared" si="51"/>
        <v>0</v>
      </c>
      <c r="U44" s="117">
        <v>452</v>
      </c>
      <c r="V44" s="117">
        <v>0</v>
      </c>
      <c r="W44" s="132">
        <f t="shared" si="52"/>
        <v>0</v>
      </c>
      <c r="X44" s="117">
        <v>50</v>
      </c>
      <c r="Y44" s="117">
        <v>0</v>
      </c>
      <c r="Z44" s="117">
        <f>Y44/X44*100</f>
        <v>0</v>
      </c>
      <c r="AA44" s="117">
        <v>50</v>
      </c>
      <c r="AB44" s="117">
        <v>0</v>
      </c>
      <c r="AC44" s="117">
        <f>AB44/AA44*100</f>
        <v>0</v>
      </c>
      <c r="AD44" s="117">
        <v>452</v>
      </c>
      <c r="AE44" s="117">
        <v>0</v>
      </c>
      <c r="AF44" s="117">
        <f>AE44/AD44*100</f>
        <v>0</v>
      </c>
      <c r="AG44" s="117">
        <v>50</v>
      </c>
      <c r="AH44" s="117">
        <v>0</v>
      </c>
      <c r="AI44" s="117">
        <f>AH44/AG44*100</f>
        <v>0</v>
      </c>
      <c r="AJ44" s="123">
        <v>50</v>
      </c>
      <c r="AK44" s="123">
        <v>0</v>
      </c>
      <c r="AL44" s="123">
        <v>0</v>
      </c>
      <c r="AM44" s="117">
        <v>453.6</v>
      </c>
      <c r="AN44" s="117">
        <v>0</v>
      </c>
      <c r="AO44" s="117">
        <v>0</v>
      </c>
      <c r="AP44" s="123">
        <v>673.3</v>
      </c>
      <c r="AQ44" s="104"/>
      <c r="AR44" s="104"/>
      <c r="AS44" s="341"/>
      <c r="AT44" s="441"/>
      <c r="AU44" s="121"/>
      <c r="AV44" s="121"/>
      <c r="AW44" s="155"/>
    </row>
    <row r="45" spans="1:49" s="31" customFormat="1" ht="63" customHeight="1">
      <c r="A45" s="375"/>
      <c r="B45" s="378"/>
      <c r="C45" s="381"/>
      <c r="D45" s="339"/>
      <c r="E45" s="109" t="s">
        <v>257</v>
      </c>
      <c r="F45" s="123">
        <f t="shared" si="53"/>
        <v>0</v>
      </c>
      <c r="G45" s="123">
        <f t="shared" si="53"/>
        <v>0</v>
      </c>
      <c r="H45" s="123">
        <v>0</v>
      </c>
      <c r="I45" s="123">
        <v>0</v>
      </c>
      <c r="J45" s="123">
        <v>0</v>
      </c>
      <c r="K45" s="123">
        <v>0</v>
      </c>
      <c r="L45" s="150">
        <v>0</v>
      </c>
      <c r="M45" s="123">
        <v>0</v>
      </c>
      <c r="N45" s="123">
        <v>0</v>
      </c>
      <c r="O45" s="123">
        <v>0</v>
      </c>
      <c r="P45" s="123">
        <v>0</v>
      </c>
      <c r="Q45" s="123">
        <v>0</v>
      </c>
      <c r="R45" s="123">
        <v>0</v>
      </c>
      <c r="S45" s="123">
        <v>0</v>
      </c>
      <c r="T45" s="124">
        <v>0</v>
      </c>
      <c r="U45" s="117">
        <v>0</v>
      </c>
      <c r="V45" s="117">
        <v>0</v>
      </c>
      <c r="W45" s="117">
        <v>0</v>
      </c>
      <c r="X45" s="117">
        <v>0</v>
      </c>
      <c r="Y45" s="117">
        <v>0</v>
      </c>
      <c r="Z45" s="117">
        <v>0</v>
      </c>
      <c r="AA45" s="117">
        <v>0</v>
      </c>
      <c r="AB45" s="117">
        <v>0</v>
      </c>
      <c r="AC45" s="117">
        <v>0</v>
      </c>
      <c r="AD45" s="117">
        <v>0</v>
      </c>
      <c r="AE45" s="117">
        <v>0</v>
      </c>
      <c r="AF45" s="117">
        <v>0</v>
      </c>
      <c r="AG45" s="117">
        <v>0</v>
      </c>
      <c r="AH45" s="117">
        <v>0</v>
      </c>
      <c r="AI45" s="117">
        <v>0</v>
      </c>
      <c r="AJ45" s="123">
        <v>0</v>
      </c>
      <c r="AK45" s="123">
        <v>0</v>
      </c>
      <c r="AL45" s="123">
        <v>0</v>
      </c>
      <c r="AM45" s="117">
        <v>0</v>
      </c>
      <c r="AN45" s="117">
        <v>0</v>
      </c>
      <c r="AO45" s="117">
        <v>0</v>
      </c>
      <c r="AP45" s="123">
        <v>0</v>
      </c>
      <c r="AQ45" s="104"/>
      <c r="AR45" s="104"/>
      <c r="AS45" s="342"/>
      <c r="AT45" s="442"/>
      <c r="AU45" s="121"/>
      <c r="AV45" s="121"/>
      <c r="AW45" s="155"/>
    </row>
    <row r="46" spans="1:49" s="31" customFormat="1" ht="15.75">
      <c r="A46" s="431" t="s">
        <v>368</v>
      </c>
      <c r="B46" s="432"/>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2"/>
      <c r="AS46" s="432"/>
      <c r="AT46" s="433"/>
      <c r="AU46" s="121"/>
      <c r="AV46" s="121"/>
      <c r="AW46" s="155"/>
    </row>
    <row r="47" spans="1:49" s="31" customFormat="1" ht="15.75">
      <c r="A47" s="431" t="s">
        <v>369</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3"/>
      <c r="AU47" s="121"/>
      <c r="AV47" s="121"/>
      <c r="AW47" s="155"/>
    </row>
    <row r="48" spans="1:49" s="100" customFormat="1" ht="12.75">
      <c r="A48" s="355" t="s">
        <v>270</v>
      </c>
      <c r="B48" s="356"/>
      <c r="C48" s="356"/>
      <c r="D48" s="357"/>
      <c r="E48" s="129" t="s">
        <v>42</v>
      </c>
      <c r="F48" s="106">
        <f>F49+F50+F51</f>
        <v>599.4</v>
      </c>
      <c r="G48" s="106">
        <f t="shared" ref="G48:AR48" si="54">G49+G50+G51</f>
        <v>0</v>
      </c>
      <c r="H48" s="106">
        <f>G48/F48*100</f>
        <v>0</v>
      </c>
      <c r="I48" s="106">
        <f t="shared" si="54"/>
        <v>0</v>
      </c>
      <c r="J48" s="106">
        <f t="shared" si="54"/>
        <v>0</v>
      </c>
      <c r="K48" s="106">
        <v>0</v>
      </c>
      <c r="L48" s="106">
        <f t="shared" si="54"/>
        <v>0</v>
      </c>
      <c r="M48" s="106">
        <f t="shared" si="54"/>
        <v>0</v>
      </c>
      <c r="N48" s="106">
        <v>0</v>
      </c>
      <c r="O48" s="106">
        <f t="shared" si="54"/>
        <v>0</v>
      </c>
      <c r="P48" s="106">
        <f t="shared" si="54"/>
        <v>0</v>
      </c>
      <c r="Q48" s="106" t="e">
        <f>P48/O48*100</f>
        <v>#DIV/0!</v>
      </c>
      <c r="R48" s="106">
        <f t="shared" si="54"/>
        <v>119.8</v>
      </c>
      <c r="S48" s="106">
        <f t="shared" si="54"/>
        <v>0</v>
      </c>
      <c r="T48" s="106">
        <v>0</v>
      </c>
      <c r="U48" s="106">
        <f t="shared" si="54"/>
        <v>0</v>
      </c>
      <c r="V48" s="106">
        <f t="shared" si="54"/>
        <v>0</v>
      </c>
      <c r="W48" s="106">
        <f t="shared" si="54"/>
        <v>0</v>
      </c>
      <c r="X48" s="106">
        <f t="shared" si="54"/>
        <v>179.7</v>
      </c>
      <c r="Y48" s="106">
        <f t="shared" si="54"/>
        <v>0</v>
      </c>
      <c r="Z48" s="106">
        <f t="shared" si="54"/>
        <v>0</v>
      </c>
      <c r="AA48" s="106">
        <f t="shared" si="54"/>
        <v>0</v>
      </c>
      <c r="AB48" s="106">
        <f t="shared" si="54"/>
        <v>0</v>
      </c>
      <c r="AC48" s="106">
        <f t="shared" si="54"/>
        <v>0</v>
      </c>
      <c r="AD48" s="106">
        <f t="shared" si="54"/>
        <v>0</v>
      </c>
      <c r="AE48" s="106">
        <f t="shared" si="54"/>
        <v>0</v>
      </c>
      <c r="AF48" s="106">
        <f t="shared" si="54"/>
        <v>0</v>
      </c>
      <c r="AG48" s="106">
        <f t="shared" si="54"/>
        <v>179.7</v>
      </c>
      <c r="AH48" s="106">
        <f t="shared" si="54"/>
        <v>0</v>
      </c>
      <c r="AI48" s="106">
        <f t="shared" si="54"/>
        <v>0</v>
      </c>
      <c r="AJ48" s="106">
        <f t="shared" si="54"/>
        <v>0</v>
      </c>
      <c r="AK48" s="106">
        <f t="shared" si="54"/>
        <v>0</v>
      </c>
      <c r="AL48" s="106">
        <f t="shared" si="54"/>
        <v>0</v>
      </c>
      <c r="AM48" s="106">
        <f t="shared" si="54"/>
        <v>120.2</v>
      </c>
      <c r="AN48" s="106">
        <f t="shared" si="54"/>
        <v>0</v>
      </c>
      <c r="AO48" s="106">
        <f t="shared" si="54"/>
        <v>0</v>
      </c>
      <c r="AP48" s="106">
        <f t="shared" si="54"/>
        <v>0</v>
      </c>
      <c r="AQ48" s="106">
        <f t="shared" si="54"/>
        <v>0</v>
      </c>
      <c r="AR48" s="106">
        <f t="shared" si="54"/>
        <v>0</v>
      </c>
      <c r="AS48" s="434"/>
      <c r="AT48" s="437"/>
      <c r="AU48" s="121"/>
      <c r="AV48" s="121"/>
      <c r="AW48" s="155"/>
    </row>
    <row r="49" spans="1:49" s="100" customFormat="1" ht="36">
      <c r="A49" s="358"/>
      <c r="B49" s="359"/>
      <c r="C49" s="359"/>
      <c r="D49" s="360"/>
      <c r="E49" s="111" t="s">
        <v>3</v>
      </c>
      <c r="F49" s="106">
        <f>F57</f>
        <v>0</v>
      </c>
      <c r="G49" s="106">
        <f t="shared" ref="G49:AR51" si="55">G57</f>
        <v>0</v>
      </c>
      <c r="H49" s="106">
        <v>0</v>
      </c>
      <c r="I49" s="106">
        <f t="shared" si="55"/>
        <v>0</v>
      </c>
      <c r="J49" s="106">
        <f t="shared" si="55"/>
        <v>0</v>
      </c>
      <c r="K49" s="106">
        <v>0</v>
      </c>
      <c r="L49" s="106">
        <f t="shared" si="55"/>
        <v>0</v>
      </c>
      <c r="M49" s="106">
        <f t="shared" si="55"/>
        <v>0</v>
      </c>
      <c r="N49" s="106">
        <v>0</v>
      </c>
      <c r="O49" s="106">
        <f t="shared" si="55"/>
        <v>0</v>
      </c>
      <c r="P49" s="106">
        <f t="shared" si="55"/>
        <v>0</v>
      </c>
      <c r="Q49" s="106">
        <v>0</v>
      </c>
      <c r="R49" s="106">
        <f t="shared" si="55"/>
        <v>0</v>
      </c>
      <c r="S49" s="106">
        <f t="shared" si="55"/>
        <v>0</v>
      </c>
      <c r="T49" s="106">
        <f t="shared" si="55"/>
        <v>0</v>
      </c>
      <c r="U49" s="106">
        <f t="shared" si="55"/>
        <v>0</v>
      </c>
      <c r="V49" s="106">
        <f t="shared" si="55"/>
        <v>0</v>
      </c>
      <c r="W49" s="106">
        <f t="shared" si="55"/>
        <v>0</v>
      </c>
      <c r="X49" s="106">
        <f t="shared" si="55"/>
        <v>0</v>
      </c>
      <c r="Y49" s="106">
        <f t="shared" si="55"/>
        <v>0</v>
      </c>
      <c r="Z49" s="106">
        <f t="shared" si="55"/>
        <v>0</v>
      </c>
      <c r="AA49" s="106">
        <f t="shared" si="55"/>
        <v>0</v>
      </c>
      <c r="AB49" s="106">
        <f t="shared" si="55"/>
        <v>0</v>
      </c>
      <c r="AC49" s="106">
        <f t="shared" si="55"/>
        <v>0</v>
      </c>
      <c r="AD49" s="106">
        <f t="shared" si="55"/>
        <v>0</v>
      </c>
      <c r="AE49" s="106">
        <f t="shared" si="55"/>
        <v>0</v>
      </c>
      <c r="AF49" s="106">
        <f t="shared" si="55"/>
        <v>0</v>
      </c>
      <c r="AG49" s="106">
        <f t="shared" si="55"/>
        <v>0</v>
      </c>
      <c r="AH49" s="106">
        <f t="shared" si="55"/>
        <v>0</v>
      </c>
      <c r="AI49" s="106">
        <f t="shared" si="55"/>
        <v>0</v>
      </c>
      <c r="AJ49" s="106">
        <f t="shared" si="55"/>
        <v>0</v>
      </c>
      <c r="AK49" s="106">
        <f t="shared" si="55"/>
        <v>0</v>
      </c>
      <c r="AL49" s="106">
        <f t="shared" si="55"/>
        <v>0</v>
      </c>
      <c r="AM49" s="106">
        <f t="shared" si="55"/>
        <v>0</v>
      </c>
      <c r="AN49" s="106">
        <f t="shared" si="55"/>
        <v>0</v>
      </c>
      <c r="AO49" s="106">
        <f t="shared" si="55"/>
        <v>0</v>
      </c>
      <c r="AP49" s="106">
        <f t="shared" si="55"/>
        <v>0</v>
      </c>
      <c r="AQ49" s="106">
        <f t="shared" si="55"/>
        <v>0</v>
      </c>
      <c r="AR49" s="106">
        <f t="shared" si="55"/>
        <v>0</v>
      </c>
      <c r="AS49" s="435"/>
      <c r="AT49" s="438"/>
      <c r="AU49" s="121"/>
      <c r="AV49" s="121"/>
      <c r="AW49" s="155"/>
    </row>
    <row r="50" spans="1:49" s="100" customFormat="1" ht="24">
      <c r="A50" s="358"/>
      <c r="B50" s="359"/>
      <c r="C50" s="359"/>
      <c r="D50" s="360"/>
      <c r="E50" s="111" t="s">
        <v>44</v>
      </c>
      <c r="F50" s="106">
        <f>F58</f>
        <v>599.4</v>
      </c>
      <c r="G50" s="106">
        <f t="shared" si="55"/>
        <v>0</v>
      </c>
      <c r="H50" s="106">
        <f>G50/F50*100</f>
        <v>0</v>
      </c>
      <c r="I50" s="106">
        <f t="shared" si="55"/>
        <v>0</v>
      </c>
      <c r="J50" s="106">
        <f t="shared" si="55"/>
        <v>0</v>
      </c>
      <c r="K50" s="106">
        <v>0</v>
      </c>
      <c r="L50" s="106">
        <f t="shared" si="55"/>
        <v>0</v>
      </c>
      <c r="M50" s="106">
        <f t="shared" si="55"/>
        <v>0</v>
      </c>
      <c r="N50" s="106">
        <v>0</v>
      </c>
      <c r="O50" s="106">
        <f t="shared" si="55"/>
        <v>0</v>
      </c>
      <c r="P50" s="106">
        <f t="shared" si="55"/>
        <v>0</v>
      </c>
      <c r="Q50" s="106" t="e">
        <f t="shared" ref="Q50" si="56">P50/O50*100</f>
        <v>#DIV/0!</v>
      </c>
      <c r="R50" s="106">
        <f t="shared" si="55"/>
        <v>119.8</v>
      </c>
      <c r="S50" s="106">
        <f t="shared" si="55"/>
        <v>0</v>
      </c>
      <c r="T50" s="106">
        <f t="shared" si="55"/>
        <v>0</v>
      </c>
      <c r="U50" s="106">
        <f t="shared" si="55"/>
        <v>0</v>
      </c>
      <c r="V50" s="106">
        <f t="shared" si="55"/>
        <v>0</v>
      </c>
      <c r="W50" s="106">
        <f t="shared" si="55"/>
        <v>0</v>
      </c>
      <c r="X50" s="106">
        <f t="shared" si="55"/>
        <v>179.7</v>
      </c>
      <c r="Y50" s="106">
        <f t="shared" si="55"/>
        <v>0</v>
      </c>
      <c r="Z50" s="106">
        <f t="shared" si="55"/>
        <v>0</v>
      </c>
      <c r="AA50" s="106">
        <f t="shared" si="55"/>
        <v>0</v>
      </c>
      <c r="AB50" s="106">
        <f t="shared" si="55"/>
        <v>0</v>
      </c>
      <c r="AC50" s="106">
        <f t="shared" si="55"/>
        <v>0</v>
      </c>
      <c r="AD50" s="106">
        <f t="shared" si="55"/>
        <v>0</v>
      </c>
      <c r="AE50" s="106">
        <f t="shared" si="55"/>
        <v>0</v>
      </c>
      <c r="AF50" s="106">
        <f t="shared" si="55"/>
        <v>0</v>
      </c>
      <c r="AG50" s="106">
        <f t="shared" si="55"/>
        <v>179.7</v>
      </c>
      <c r="AH50" s="106">
        <f t="shared" si="55"/>
        <v>0</v>
      </c>
      <c r="AI50" s="106">
        <f t="shared" si="55"/>
        <v>0</v>
      </c>
      <c r="AJ50" s="106">
        <f t="shared" si="55"/>
        <v>0</v>
      </c>
      <c r="AK50" s="106">
        <f t="shared" si="55"/>
        <v>0</v>
      </c>
      <c r="AL50" s="106">
        <f t="shared" si="55"/>
        <v>0</v>
      </c>
      <c r="AM50" s="106">
        <f t="shared" si="55"/>
        <v>120.2</v>
      </c>
      <c r="AN50" s="106">
        <f t="shared" si="55"/>
        <v>0</v>
      </c>
      <c r="AO50" s="106">
        <f t="shared" si="55"/>
        <v>0</v>
      </c>
      <c r="AP50" s="106">
        <f t="shared" si="55"/>
        <v>0</v>
      </c>
      <c r="AQ50" s="106">
        <f t="shared" si="55"/>
        <v>0</v>
      </c>
      <c r="AR50" s="106">
        <f t="shared" si="55"/>
        <v>0</v>
      </c>
      <c r="AS50" s="435"/>
      <c r="AT50" s="438"/>
      <c r="AU50" s="121"/>
      <c r="AV50" s="121"/>
      <c r="AW50" s="155"/>
    </row>
    <row r="51" spans="1:49" s="100" customFormat="1" ht="24">
      <c r="A51" s="361"/>
      <c r="B51" s="362"/>
      <c r="C51" s="362"/>
      <c r="D51" s="363"/>
      <c r="E51" s="110" t="s">
        <v>257</v>
      </c>
      <c r="F51" s="106">
        <f>F59</f>
        <v>0</v>
      </c>
      <c r="G51" s="106">
        <f t="shared" si="55"/>
        <v>0</v>
      </c>
      <c r="H51" s="106">
        <v>0</v>
      </c>
      <c r="I51" s="106">
        <f t="shared" si="55"/>
        <v>0</v>
      </c>
      <c r="J51" s="106">
        <f t="shared" si="55"/>
        <v>0</v>
      </c>
      <c r="K51" s="106">
        <f t="shared" si="55"/>
        <v>0</v>
      </c>
      <c r="L51" s="106">
        <f t="shared" si="55"/>
        <v>0</v>
      </c>
      <c r="M51" s="106">
        <f t="shared" si="55"/>
        <v>0</v>
      </c>
      <c r="N51" s="106">
        <v>0</v>
      </c>
      <c r="O51" s="106">
        <f t="shared" si="55"/>
        <v>0</v>
      </c>
      <c r="P51" s="106">
        <f t="shared" si="55"/>
        <v>0</v>
      </c>
      <c r="Q51" s="106">
        <f t="shared" si="55"/>
        <v>0</v>
      </c>
      <c r="R51" s="106">
        <f t="shared" si="55"/>
        <v>0</v>
      </c>
      <c r="S51" s="106">
        <f t="shared" si="55"/>
        <v>0</v>
      </c>
      <c r="T51" s="106">
        <f t="shared" si="55"/>
        <v>0</v>
      </c>
      <c r="U51" s="106">
        <f t="shared" si="55"/>
        <v>0</v>
      </c>
      <c r="V51" s="106">
        <f t="shared" si="55"/>
        <v>0</v>
      </c>
      <c r="W51" s="106">
        <f t="shared" si="55"/>
        <v>0</v>
      </c>
      <c r="X51" s="106">
        <f t="shared" si="55"/>
        <v>0</v>
      </c>
      <c r="Y51" s="106">
        <f t="shared" si="55"/>
        <v>0</v>
      </c>
      <c r="Z51" s="106">
        <f t="shared" si="55"/>
        <v>0</v>
      </c>
      <c r="AA51" s="106">
        <f t="shared" si="55"/>
        <v>0</v>
      </c>
      <c r="AB51" s="106">
        <f t="shared" si="55"/>
        <v>0</v>
      </c>
      <c r="AC51" s="106">
        <f t="shared" si="55"/>
        <v>0</v>
      </c>
      <c r="AD51" s="106">
        <f t="shared" si="55"/>
        <v>0</v>
      </c>
      <c r="AE51" s="106">
        <f t="shared" si="55"/>
        <v>0</v>
      </c>
      <c r="AF51" s="106">
        <f t="shared" si="55"/>
        <v>0</v>
      </c>
      <c r="AG51" s="106">
        <f t="shared" si="55"/>
        <v>0</v>
      </c>
      <c r="AH51" s="106">
        <f t="shared" si="55"/>
        <v>0</v>
      </c>
      <c r="AI51" s="106">
        <f t="shared" si="55"/>
        <v>0</v>
      </c>
      <c r="AJ51" s="106">
        <f t="shared" si="55"/>
        <v>0</v>
      </c>
      <c r="AK51" s="106">
        <f t="shared" si="55"/>
        <v>0</v>
      </c>
      <c r="AL51" s="106">
        <f t="shared" si="55"/>
        <v>0</v>
      </c>
      <c r="AM51" s="106">
        <f t="shared" si="55"/>
        <v>0</v>
      </c>
      <c r="AN51" s="106">
        <f t="shared" si="55"/>
        <v>0</v>
      </c>
      <c r="AO51" s="106">
        <f t="shared" si="55"/>
        <v>0</v>
      </c>
      <c r="AP51" s="106">
        <f t="shared" si="55"/>
        <v>0</v>
      </c>
      <c r="AQ51" s="106">
        <f t="shared" si="55"/>
        <v>0</v>
      </c>
      <c r="AR51" s="106">
        <f t="shared" si="55"/>
        <v>0</v>
      </c>
      <c r="AS51" s="436"/>
      <c r="AT51" s="439"/>
      <c r="AU51" s="121"/>
      <c r="AV51" s="121"/>
      <c r="AW51" s="155"/>
    </row>
    <row r="52" spans="1:49" s="100" customFormat="1" ht="84">
      <c r="A52" s="133" t="s">
        <v>370</v>
      </c>
      <c r="B52" s="161" t="s">
        <v>371</v>
      </c>
      <c r="C52" s="162" t="s">
        <v>276</v>
      </c>
      <c r="D52" s="172" t="s">
        <v>372</v>
      </c>
      <c r="E52" s="109" t="s">
        <v>275</v>
      </c>
      <c r="F52" s="203" t="s">
        <v>279</v>
      </c>
      <c r="G52" s="203" t="s">
        <v>279</v>
      </c>
      <c r="H52" s="203" t="s">
        <v>279</v>
      </c>
      <c r="I52" s="203" t="s">
        <v>279</v>
      </c>
      <c r="J52" s="203" t="s">
        <v>279</v>
      </c>
      <c r="K52" s="203" t="s">
        <v>279</v>
      </c>
      <c r="L52" s="203" t="s">
        <v>279</v>
      </c>
      <c r="M52" s="203" t="s">
        <v>279</v>
      </c>
      <c r="N52" s="203" t="s">
        <v>279</v>
      </c>
      <c r="O52" s="203" t="s">
        <v>279</v>
      </c>
      <c r="P52" s="203" t="s">
        <v>279</v>
      </c>
      <c r="Q52" s="203" t="s">
        <v>279</v>
      </c>
      <c r="R52" s="203" t="s">
        <v>279</v>
      </c>
      <c r="S52" s="203" t="s">
        <v>279</v>
      </c>
      <c r="T52" s="203" t="s">
        <v>279</v>
      </c>
      <c r="U52" s="203" t="s">
        <v>279</v>
      </c>
      <c r="V52" s="203" t="s">
        <v>279</v>
      </c>
      <c r="W52" s="203" t="s">
        <v>279</v>
      </c>
      <c r="X52" s="203" t="s">
        <v>279</v>
      </c>
      <c r="Y52" s="203" t="s">
        <v>279</v>
      </c>
      <c r="Z52" s="203" t="s">
        <v>279</v>
      </c>
      <c r="AA52" s="203" t="s">
        <v>279</v>
      </c>
      <c r="AB52" s="203" t="s">
        <v>279</v>
      </c>
      <c r="AC52" s="203" t="s">
        <v>279</v>
      </c>
      <c r="AD52" s="203" t="s">
        <v>279</v>
      </c>
      <c r="AE52" s="203" t="s">
        <v>279</v>
      </c>
      <c r="AF52" s="203" t="s">
        <v>279</v>
      </c>
      <c r="AG52" s="203" t="s">
        <v>279</v>
      </c>
      <c r="AH52" s="203" t="s">
        <v>279</v>
      </c>
      <c r="AI52" s="203" t="s">
        <v>279</v>
      </c>
      <c r="AJ52" s="203" t="s">
        <v>279</v>
      </c>
      <c r="AK52" s="203" t="s">
        <v>279</v>
      </c>
      <c r="AL52" s="203" t="s">
        <v>279</v>
      </c>
      <c r="AM52" s="203" t="s">
        <v>279</v>
      </c>
      <c r="AN52" s="203" t="s">
        <v>279</v>
      </c>
      <c r="AO52" s="203" t="s">
        <v>279</v>
      </c>
      <c r="AP52" s="203" t="s">
        <v>279</v>
      </c>
      <c r="AQ52" s="203" t="s">
        <v>279</v>
      </c>
      <c r="AR52" s="203" t="s">
        <v>279</v>
      </c>
      <c r="AS52" s="145" t="s">
        <v>431</v>
      </c>
      <c r="AT52" s="194"/>
      <c r="AU52" s="121"/>
      <c r="AV52" s="121"/>
      <c r="AW52" s="155"/>
    </row>
    <row r="53" spans="1:49" s="100" customFormat="1" ht="84">
      <c r="A53" s="191" t="s">
        <v>373</v>
      </c>
      <c r="B53" s="161" t="s">
        <v>374</v>
      </c>
      <c r="C53" s="162" t="s">
        <v>375</v>
      </c>
      <c r="D53" s="172" t="s">
        <v>376</v>
      </c>
      <c r="E53" s="109" t="s">
        <v>275</v>
      </c>
      <c r="F53" s="203" t="s">
        <v>279</v>
      </c>
      <c r="G53" s="203" t="s">
        <v>279</v>
      </c>
      <c r="H53" s="203" t="s">
        <v>279</v>
      </c>
      <c r="I53" s="203" t="s">
        <v>279</v>
      </c>
      <c r="J53" s="203" t="s">
        <v>279</v>
      </c>
      <c r="K53" s="203" t="s">
        <v>279</v>
      </c>
      <c r="L53" s="203" t="s">
        <v>279</v>
      </c>
      <c r="M53" s="203" t="s">
        <v>279</v>
      </c>
      <c r="N53" s="203" t="s">
        <v>279</v>
      </c>
      <c r="O53" s="203" t="s">
        <v>279</v>
      </c>
      <c r="P53" s="203" t="s">
        <v>279</v>
      </c>
      <c r="Q53" s="203" t="s">
        <v>279</v>
      </c>
      <c r="R53" s="203" t="s">
        <v>279</v>
      </c>
      <c r="S53" s="203" t="s">
        <v>279</v>
      </c>
      <c r="T53" s="203" t="s">
        <v>279</v>
      </c>
      <c r="U53" s="203" t="s">
        <v>279</v>
      </c>
      <c r="V53" s="203" t="s">
        <v>279</v>
      </c>
      <c r="W53" s="203" t="s">
        <v>279</v>
      </c>
      <c r="X53" s="203" t="s">
        <v>279</v>
      </c>
      <c r="Y53" s="203" t="s">
        <v>279</v>
      </c>
      <c r="Z53" s="203" t="s">
        <v>279</v>
      </c>
      <c r="AA53" s="203" t="s">
        <v>279</v>
      </c>
      <c r="AB53" s="203" t="s">
        <v>279</v>
      </c>
      <c r="AC53" s="203" t="s">
        <v>279</v>
      </c>
      <c r="AD53" s="203" t="s">
        <v>279</v>
      </c>
      <c r="AE53" s="203" t="s">
        <v>279</v>
      </c>
      <c r="AF53" s="203" t="s">
        <v>279</v>
      </c>
      <c r="AG53" s="203" t="s">
        <v>279</v>
      </c>
      <c r="AH53" s="203" t="s">
        <v>279</v>
      </c>
      <c r="AI53" s="203" t="s">
        <v>279</v>
      </c>
      <c r="AJ53" s="203" t="s">
        <v>279</v>
      </c>
      <c r="AK53" s="203" t="s">
        <v>279</v>
      </c>
      <c r="AL53" s="203" t="s">
        <v>279</v>
      </c>
      <c r="AM53" s="203" t="s">
        <v>279</v>
      </c>
      <c r="AN53" s="203" t="s">
        <v>279</v>
      </c>
      <c r="AO53" s="203" t="s">
        <v>279</v>
      </c>
      <c r="AP53" s="203" t="s">
        <v>279</v>
      </c>
      <c r="AQ53" s="203" t="s">
        <v>279</v>
      </c>
      <c r="AR53" s="203" t="s">
        <v>279</v>
      </c>
      <c r="AS53" s="211" t="s">
        <v>432</v>
      </c>
      <c r="AT53" s="134"/>
      <c r="AU53" s="121"/>
      <c r="AV53" s="121"/>
      <c r="AW53" s="155"/>
    </row>
    <row r="54" spans="1:49" s="100" customFormat="1" ht="72">
      <c r="A54" s="133" t="s">
        <v>377</v>
      </c>
      <c r="B54" s="192" t="s">
        <v>378</v>
      </c>
      <c r="C54" s="162" t="s">
        <v>276</v>
      </c>
      <c r="D54" s="172" t="s">
        <v>379</v>
      </c>
      <c r="E54" s="109" t="s">
        <v>275</v>
      </c>
      <c r="F54" s="203" t="s">
        <v>279</v>
      </c>
      <c r="G54" s="203" t="s">
        <v>279</v>
      </c>
      <c r="H54" s="203" t="s">
        <v>279</v>
      </c>
      <c r="I54" s="203" t="s">
        <v>279</v>
      </c>
      <c r="J54" s="203" t="s">
        <v>279</v>
      </c>
      <c r="K54" s="203" t="s">
        <v>279</v>
      </c>
      <c r="L54" s="203" t="s">
        <v>279</v>
      </c>
      <c r="M54" s="203" t="s">
        <v>279</v>
      </c>
      <c r="N54" s="203" t="s">
        <v>279</v>
      </c>
      <c r="O54" s="203" t="s">
        <v>279</v>
      </c>
      <c r="P54" s="203" t="s">
        <v>279</v>
      </c>
      <c r="Q54" s="203" t="s">
        <v>279</v>
      </c>
      <c r="R54" s="203" t="s">
        <v>279</v>
      </c>
      <c r="S54" s="203" t="s">
        <v>279</v>
      </c>
      <c r="T54" s="203" t="s">
        <v>279</v>
      </c>
      <c r="U54" s="203" t="s">
        <v>279</v>
      </c>
      <c r="V54" s="203" t="s">
        <v>279</v>
      </c>
      <c r="W54" s="203" t="s">
        <v>279</v>
      </c>
      <c r="X54" s="203" t="s">
        <v>279</v>
      </c>
      <c r="Y54" s="203" t="s">
        <v>279</v>
      </c>
      <c r="Z54" s="203" t="s">
        <v>279</v>
      </c>
      <c r="AA54" s="203" t="s">
        <v>279</v>
      </c>
      <c r="AB54" s="203" t="s">
        <v>279</v>
      </c>
      <c r="AC54" s="203" t="s">
        <v>279</v>
      </c>
      <c r="AD54" s="203" t="s">
        <v>279</v>
      </c>
      <c r="AE54" s="203" t="s">
        <v>279</v>
      </c>
      <c r="AF54" s="203" t="s">
        <v>279</v>
      </c>
      <c r="AG54" s="203" t="s">
        <v>279</v>
      </c>
      <c r="AH54" s="203" t="s">
        <v>279</v>
      </c>
      <c r="AI54" s="203" t="s">
        <v>279</v>
      </c>
      <c r="AJ54" s="203" t="s">
        <v>279</v>
      </c>
      <c r="AK54" s="203" t="s">
        <v>279</v>
      </c>
      <c r="AL54" s="203" t="s">
        <v>279</v>
      </c>
      <c r="AM54" s="203" t="s">
        <v>279</v>
      </c>
      <c r="AN54" s="203" t="s">
        <v>279</v>
      </c>
      <c r="AO54" s="203" t="s">
        <v>279</v>
      </c>
      <c r="AP54" s="203" t="s">
        <v>279</v>
      </c>
      <c r="AQ54" s="203"/>
      <c r="AR54" s="203"/>
      <c r="AS54" s="145" t="s">
        <v>433</v>
      </c>
      <c r="AT54" s="134"/>
      <c r="AU54" s="121"/>
      <c r="AV54" s="121"/>
      <c r="AW54" s="155"/>
    </row>
    <row r="55" spans="1:49" s="100" customFormat="1" ht="48">
      <c r="A55" s="136" t="s">
        <v>380</v>
      </c>
      <c r="B55" s="206" t="s">
        <v>278</v>
      </c>
      <c r="C55" s="135" t="s">
        <v>276</v>
      </c>
      <c r="D55" s="172" t="s">
        <v>381</v>
      </c>
      <c r="E55" s="109" t="s">
        <v>275</v>
      </c>
      <c r="F55" s="203" t="s">
        <v>279</v>
      </c>
      <c r="G55" s="203" t="s">
        <v>279</v>
      </c>
      <c r="H55" s="203" t="s">
        <v>279</v>
      </c>
      <c r="I55" s="203" t="s">
        <v>279</v>
      </c>
      <c r="J55" s="203" t="s">
        <v>279</v>
      </c>
      <c r="K55" s="203" t="s">
        <v>279</v>
      </c>
      <c r="L55" s="203" t="s">
        <v>279</v>
      </c>
      <c r="M55" s="203" t="s">
        <v>279</v>
      </c>
      <c r="N55" s="203" t="s">
        <v>279</v>
      </c>
      <c r="O55" s="203" t="s">
        <v>279</v>
      </c>
      <c r="P55" s="203" t="s">
        <v>279</v>
      </c>
      <c r="Q55" s="203" t="s">
        <v>279</v>
      </c>
      <c r="R55" s="203" t="s">
        <v>279</v>
      </c>
      <c r="S55" s="203" t="s">
        <v>279</v>
      </c>
      <c r="T55" s="203" t="s">
        <v>279</v>
      </c>
      <c r="U55" s="203" t="s">
        <v>279</v>
      </c>
      <c r="V55" s="203" t="s">
        <v>279</v>
      </c>
      <c r="W55" s="203" t="s">
        <v>279</v>
      </c>
      <c r="X55" s="203" t="s">
        <v>279</v>
      </c>
      <c r="Y55" s="203" t="s">
        <v>279</v>
      </c>
      <c r="Z55" s="203" t="s">
        <v>279</v>
      </c>
      <c r="AA55" s="203" t="s">
        <v>279</v>
      </c>
      <c r="AB55" s="203" t="s">
        <v>279</v>
      </c>
      <c r="AC55" s="203" t="s">
        <v>279</v>
      </c>
      <c r="AD55" s="203" t="s">
        <v>279</v>
      </c>
      <c r="AE55" s="203" t="s">
        <v>279</v>
      </c>
      <c r="AF55" s="203" t="s">
        <v>279</v>
      </c>
      <c r="AG55" s="203" t="s">
        <v>279</v>
      </c>
      <c r="AH55" s="203" t="s">
        <v>279</v>
      </c>
      <c r="AI55" s="203" t="s">
        <v>279</v>
      </c>
      <c r="AJ55" s="203" t="s">
        <v>279</v>
      </c>
      <c r="AK55" s="203" t="s">
        <v>279</v>
      </c>
      <c r="AL55" s="203" t="s">
        <v>279</v>
      </c>
      <c r="AM55" s="203" t="s">
        <v>279</v>
      </c>
      <c r="AN55" s="203" t="s">
        <v>279</v>
      </c>
      <c r="AO55" s="203" t="s">
        <v>279</v>
      </c>
      <c r="AP55" s="203" t="s">
        <v>279</v>
      </c>
      <c r="AQ55" s="203"/>
      <c r="AR55" s="203"/>
      <c r="AS55" s="145" t="s">
        <v>434</v>
      </c>
      <c r="AT55" s="134"/>
      <c r="AU55" s="121"/>
      <c r="AV55" s="121"/>
      <c r="AW55" s="155"/>
    </row>
    <row r="56" spans="1:49" s="31" customFormat="1" ht="12.75">
      <c r="A56" s="367" t="s">
        <v>382</v>
      </c>
      <c r="B56" s="376" t="s">
        <v>259</v>
      </c>
      <c r="C56" s="416" t="s">
        <v>271</v>
      </c>
      <c r="D56" s="419" t="s">
        <v>383</v>
      </c>
      <c r="E56" s="107" t="s">
        <v>42</v>
      </c>
      <c r="F56" s="104">
        <f>SUM(F57:F59)</f>
        <v>599.4</v>
      </c>
      <c r="G56" s="104">
        <f t="shared" ref="G56" si="57">SUM(G57:G59)</f>
        <v>0</v>
      </c>
      <c r="H56" s="104">
        <f>G56/F56*100</f>
        <v>0</v>
      </c>
      <c r="I56" s="207">
        <f t="shared" ref="I56:AP56" si="58">I57+I58+I59</f>
        <v>0</v>
      </c>
      <c r="J56" s="207">
        <f t="shared" si="58"/>
        <v>0</v>
      </c>
      <c r="K56" s="104">
        <v>0</v>
      </c>
      <c r="L56" s="207">
        <f t="shared" si="58"/>
        <v>0</v>
      </c>
      <c r="M56" s="207">
        <f t="shared" si="58"/>
        <v>0</v>
      </c>
      <c r="N56" s="207">
        <v>0</v>
      </c>
      <c r="O56" s="207">
        <f t="shared" si="58"/>
        <v>0</v>
      </c>
      <c r="P56" s="207">
        <f t="shared" si="58"/>
        <v>0</v>
      </c>
      <c r="Q56" s="104" t="e">
        <f t="shared" ref="Q56:Q58" si="59">P56/O56*100</f>
        <v>#DIV/0!</v>
      </c>
      <c r="R56" s="207">
        <f t="shared" si="58"/>
        <v>119.8</v>
      </c>
      <c r="S56" s="207">
        <f t="shared" si="58"/>
        <v>0</v>
      </c>
      <c r="T56" s="207">
        <f t="shared" si="58"/>
        <v>0</v>
      </c>
      <c r="U56" s="207">
        <f t="shared" si="58"/>
        <v>0</v>
      </c>
      <c r="V56" s="207">
        <f t="shared" si="58"/>
        <v>0</v>
      </c>
      <c r="W56" s="104">
        <v>0</v>
      </c>
      <c r="X56" s="207">
        <f t="shared" si="58"/>
        <v>179.7</v>
      </c>
      <c r="Y56" s="207">
        <f t="shared" si="58"/>
        <v>0</v>
      </c>
      <c r="Z56" s="207">
        <f t="shared" si="58"/>
        <v>0</v>
      </c>
      <c r="AA56" s="207">
        <f t="shared" si="58"/>
        <v>0</v>
      </c>
      <c r="AB56" s="207">
        <f t="shared" si="58"/>
        <v>0</v>
      </c>
      <c r="AC56" s="207">
        <f t="shared" si="58"/>
        <v>0</v>
      </c>
      <c r="AD56" s="207">
        <f t="shared" si="58"/>
        <v>0</v>
      </c>
      <c r="AE56" s="207">
        <f t="shared" si="58"/>
        <v>0</v>
      </c>
      <c r="AF56" s="207">
        <f t="shared" si="58"/>
        <v>0</v>
      </c>
      <c r="AG56" s="207">
        <f t="shared" si="58"/>
        <v>179.7</v>
      </c>
      <c r="AH56" s="207">
        <f t="shared" si="58"/>
        <v>0</v>
      </c>
      <c r="AI56" s="105">
        <f>AH56/AG56*100</f>
        <v>0</v>
      </c>
      <c r="AJ56" s="207">
        <f t="shared" si="58"/>
        <v>0</v>
      </c>
      <c r="AK56" s="207">
        <f t="shared" si="58"/>
        <v>0</v>
      </c>
      <c r="AL56" s="207">
        <f t="shared" si="58"/>
        <v>0</v>
      </c>
      <c r="AM56" s="207">
        <f t="shared" si="58"/>
        <v>120.2</v>
      </c>
      <c r="AN56" s="207">
        <f t="shared" si="58"/>
        <v>0</v>
      </c>
      <c r="AO56" s="207">
        <f t="shared" si="58"/>
        <v>0</v>
      </c>
      <c r="AP56" s="207">
        <f t="shared" si="58"/>
        <v>0</v>
      </c>
      <c r="AQ56" s="104"/>
      <c r="AR56" s="104"/>
      <c r="AS56" s="346" t="s">
        <v>435</v>
      </c>
      <c r="AT56" s="422" t="s">
        <v>429</v>
      </c>
      <c r="AU56" s="121"/>
      <c r="AV56" s="121"/>
      <c r="AW56" s="155"/>
    </row>
    <row r="57" spans="1:49" s="31" customFormat="1" ht="36">
      <c r="A57" s="368"/>
      <c r="B57" s="377"/>
      <c r="C57" s="417"/>
      <c r="D57" s="420"/>
      <c r="E57" s="108" t="s">
        <v>3</v>
      </c>
      <c r="F57" s="104">
        <f>I57+L57+O57+R57+U57+X57+AA57+AD57+AG57+AJ57+AM57+AP57</f>
        <v>0</v>
      </c>
      <c r="G57" s="104">
        <f>J57+M57+P57+S57+V57+Y57+AB57+AE57+AH57+AK57+AN57+AQ57</f>
        <v>0</v>
      </c>
      <c r="H57" s="104">
        <v>0</v>
      </c>
      <c r="I57" s="104">
        <v>0</v>
      </c>
      <c r="J57" s="104">
        <v>0</v>
      </c>
      <c r="K57" s="104">
        <v>0</v>
      </c>
      <c r="L57" s="126">
        <v>0</v>
      </c>
      <c r="M57" s="104">
        <v>0</v>
      </c>
      <c r="N57" s="208">
        <v>0</v>
      </c>
      <c r="O57" s="104">
        <v>0</v>
      </c>
      <c r="P57" s="104">
        <v>0</v>
      </c>
      <c r="Q57" s="104">
        <v>0</v>
      </c>
      <c r="R57" s="104">
        <v>0</v>
      </c>
      <c r="S57" s="104">
        <v>0</v>
      </c>
      <c r="T57" s="104">
        <v>0</v>
      </c>
      <c r="U57" s="105">
        <v>0</v>
      </c>
      <c r="V57" s="105">
        <v>0</v>
      </c>
      <c r="W57" s="105">
        <v>0</v>
      </c>
      <c r="X57" s="105">
        <v>0</v>
      </c>
      <c r="Y57" s="105">
        <v>0</v>
      </c>
      <c r="Z57" s="105">
        <v>0</v>
      </c>
      <c r="AA57" s="105">
        <v>0</v>
      </c>
      <c r="AB57" s="105">
        <v>0</v>
      </c>
      <c r="AC57" s="105">
        <v>0</v>
      </c>
      <c r="AD57" s="105">
        <v>0</v>
      </c>
      <c r="AE57" s="105">
        <v>0</v>
      </c>
      <c r="AF57" s="105">
        <v>0</v>
      </c>
      <c r="AG57" s="105">
        <v>0</v>
      </c>
      <c r="AH57" s="105">
        <v>0</v>
      </c>
      <c r="AI57" s="105">
        <v>0</v>
      </c>
      <c r="AJ57" s="104">
        <v>0</v>
      </c>
      <c r="AK57" s="104">
        <v>0</v>
      </c>
      <c r="AL57" s="104">
        <v>0</v>
      </c>
      <c r="AM57" s="105">
        <v>0</v>
      </c>
      <c r="AN57" s="105">
        <v>0</v>
      </c>
      <c r="AO57" s="105">
        <v>0</v>
      </c>
      <c r="AP57" s="104">
        <v>0</v>
      </c>
      <c r="AQ57" s="104"/>
      <c r="AR57" s="104"/>
      <c r="AS57" s="347"/>
      <c r="AT57" s="423"/>
      <c r="AU57" s="121"/>
      <c r="AV57" s="121"/>
      <c r="AW57" s="155"/>
    </row>
    <row r="58" spans="1:49" s="31" customFormat="1" ht="12.75">
      <c r="A58" s="368"/>
      <c r="B58" s="377"/>
      <c r="C58" s="417"/>
      <c r="D58" s="420"/>
      <c r="E58" s="108" t="s">
        <v>44</v>
      </c>
      <c r="F58" s="104">
        <f t="shared" ref="F58:G59" si="60">I58+L58+O58+R58+U58+X58+AA58+AD58+AG58+AJ58+AM58+AP58</f>
        <v>599.4</v>
      </c>
      <c r="G58" s="104">
        <f t="shared" si="60"/>
        <v>0</v>
      </c>
      <c r="H58" s="104">
        <f>G58/F58*100</f>
        <v>0</v>
      </c>
      <c r="I58" s="104">
        <v>0</v>
      </c>
      <c r="J58" s="104">
        <v>0</v>
      </c>
      <c r="K58" s="104">
        <v>0</v>
      </c>
      <c r="L58" s="126">
        <v>0</v>
      </c>
      <c r="M58" s="104">
        <v>0</v>
      </c>
      <c r="N58" s="208">
        <v>0</v>
      </c>
      <c r="O58" s="104">
        <f>119.8-119.8</f>
        <v>0</v>
      </c>
      <c r="P58" s="104">
        <v>0</v>
      </c>
      <c r="Q58" s="104" t="e">
        <f t="shared" si="59"/>
        <v>#DIV/0!</v>
      </c>
      <c r="R58" s="104">
        <v>119.8</v>
      </c>
      <c r="S58" s="104">
        <v>0</v>
      </c>
      <c r="T58" s="104">
        <v>0</v>
      </c>
      <c r="U58" s="105">
        <v>0</v>
      </c>
      <c r="V58" s="105">
        <v>0</v>
      </c>
      <c r="W58" s="104">
        <v>0</v>
      </c>
      <c r="X58" s="105">
        <v>179.7</v>
      </c>
      <c r="Y58" s="105">
        <v>0</v>
      </c>
      <c r="Z58" s="105">
        <f>Y58/X58*100</f>
        <v>0</v>
      </c>
      <c r="AA58" s="105">
        <v>0</v>
      </c>
      <c r="AB58" s="105">
        <v>0</v>
      </c>
      <c r="AC58" s="105">
        <v>0</v>
      </c>
      <c r="AD58" s="105">
        <v>0</v>
      </c>
      <c r="AE58" s="105">
        <v>0</v>
      </c>
      <c r="AF58" s="105">
        <v>0</v>
      </c>
      <c r="AG58" s="105">
        <v>179.7</v>
      </c>
      <c r="AH58" s="105">
        <v>0</v>
      </c>
      <c r="AI58" s="105">
        <f>AH58/AG58*100</f>
        <v>0</v>
      </c>
      <c r="AJ58" s="104">
        <v>0</v>
      </c>
      <c r="AK58" s="104">
        <v>0</v>
      </c>
      <c r="AL58" s="104">
        <v>0</v>
      </c>
      <c r="AM58" s="105">
        <v>120.2</v>
      </c>
      <c r="AN58" s="105">
        <v>0</v>
      </c>
      <c r="AO58" s="105">
        <v>0</v>
      </c>
      <c r="AP58" s="104">
        <v>0</v>
      </c>
      <c r="AQ58" s="104"/>
      <c r="AR58" s="104"/>
      <c r="AS58" s="347"/>
      <c r="AT58" s="423"/>
      <c r="AU58" s="121"/>
      <c r="AV58" s="121"/>
      <c r="AW58" s="155"/>
    </row>
    <row r="59" spans="1:49" s="31" customFormat="1" ht="66" customHeight="1">
      <c r="A59" s="369"/>
      <c r="B59" s="378"/>
      <c r="C59" s="418"/>
      <c r="D59" s="421"/>
      <c r="E59" s="109" t="s">
        <v>257</v>
      </c>
      <c r="F59" s="104">
        <f t="shared" si="60"/>
        <v>0</v>
      </c>
      <c r="G59" s="104">
        <f t="shared" si="60"/>
        <v>0</v>
      </c>
      <c r="H59" s="104">
        <v>0</v>
      </c>
      <c r="I59" s="104">
        <v>0</v>
      </c>
      <c r="J59" s="104">
        <v>0</v>
      </c>
      <c r="K59" s="104">
        <v>0</v>
      </c>
      <c r="L59" s="126">
        <v>0</v>
      </c>
      <c r="M59" s="104">
        <v>0</v>
      </c>
      <c r="N59" s="104">
        <v>0</v>
      </c>
      <c r="O59" s="104">
        <v>0</v>
      </c>
      <c r="P59" s="104">
        <v>0</v>
      </c>
      <c r="Q59" s="104">
        <v>0</v>
      </c>
      <c r="R59" s="104">
        <v>0</v>
      </c>
      <c r="S59" s="104">
        <v>0</v>
      </c>
      <c r="T59" s="104">
        <v>0</v>
      </c>
      <c r="U59" s="105">
        <v>0</v>
      </c>
      <c r="V59" s="105">
        <v>0</v>
      </c>
      <c r="W59" s="105">
        <v>0</v>
      </c>
      <c r="X59" s="105">
        <v>0</v>
      </c>
      <c r="Y59" s="105">
        <v>0</v>
      </c>
      <c r="Z59" s="105">
        <v>0</v>
      </c>
      <c r="AA59" s="105">
        <v>0</v>
      </c>
      <c r="AB59" s="105">
        <v>0</v>
      </c>
      <c r="AC59" s="105">
        <v>0</v>
      </c>
      <c r="AD59" s="105">
        <v>0</v>
      </c>
      <c r="AE59" s="105">
        <v>0</v>
      </c>
      <c r="AF59" s="105">
        <v>0</v>
      </c>
      <c r="AG59" s="105">
        <v>0</v>
      </c>
      <c r="AH59" s="105">
        <v>0</v>
      </c>
      <c r="AI59" s="105">
        <v>0</v>
      </c>
      <c r="AJ59" s="104">
        <v>0</v>
      </c>
      <c r="AK59" s="104">
        <v>0</v>
      </c>
      <c r="AL59" s="104">
        <v>0</v>
      </c>
      <c r="AM59" s="105">
        <v>0</v>
      </c>
      <c r="AN59" s="105">
        <v>0</v>
      </c>
      <c r="AO59" s="105">
        <v>0</v>
      </c>
      <c r="AP59" s="104">
        <v>0</v>
      </c>
      <c r="AQ59" s="104"/>
      <c r="AR59" s="104"/>
      <c r="AS59" s="348"/>
      <c r="AT59" s="424"/>
      <c r="AU59" s="121"/>
      <c r="AV59" s="121"/>
      <c r="AW59" s="155"/>
    </row>
    <row r="60" spans="1:49" s="31" customFormat="1" ht="15.75">
      <c r="A60" s="352" t="s">
        <v>384</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4"/>
      <c r="AU60" s="121"/>
      <c r="AV60" s="121"/>
      <c r="AW60" s="155"/>
    </row>
    <row r="61" spans="1:49" s="31" customFormat="1" ht="15.75">
      <c r="A61" s="352" t="s">
        <v>385</v>
      </c>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4"/>
      <c r="AU61" s="121"/>
      <c r="AV61" s="121"/>
      <c r="AW61" s="155"/>
    </row>
    <row r="62" spans="1:49" s="100" customFormat="1" ht="12.75">
      <c r="A62" s="355" t="s">
        <v>272</v>
      </c>
      <c r="B62" s="356"/>
      <c r="C62" s="356"/>
      <c r="D62" s="357"/>
      <c r="E62" s="129" t="s">
        <v>42</v>
      </c>
      <c r="F62" s="106">
        <f>F63+F64+F65</f>
        <v>10588.099999999999</v>
      </c>
      <c r="G62" s="106">
        <f t="shared" ref="G62:AP62" si="61">G63+G64+G65</f>
        <v>245</v>
      </c>
      <c r="H62" s="106">
        <f>G62/F62*100</f>
        <v>2.313918455624711</v>
      </c>
      <c r="I62" s="106">
        <f t="shared" si="61"/>
        <v>0</v>
      </c>
      <c r="J62" s="106">
        <f t="shared" si="61"/>
        <v>0</v>
      </c>
      <c r="K62" s="106">
        <v>0</v>
      </c>
      <c r="L62" s="106">
        <f t="shared" si="61"/>
        <v>193.39999999999998</v>
      </c>
      <c r="M62" s="106">
        <f t="shared" si="61"/>
        <v>173.7</v>
      </c>
      <c r="N62" s="106">
        <f t="shared" si="61"/>
        <v>186.62063134160093</v>
      </c>
      <c r="O62" s="106">
        <f t="shared" si="61"/>
        <v>173.90000000000009</v>
      </c>
      <c r="P62" s="106">
        <f t="shared" si="61"/>
        <v>71.3</v>
      </c>
      <c r="Q62" s="106">
        <f>P62/O62*100</f>
        <v>41.000575043128215</v>
      </c>
      <c r="R62" s="106">
        <f t="shared" si="61"/>
        <v>4338.7999999999993</v>
      </c>
      <c r="S62" s="106">
        <f t="shared" si="61"/>
        <v>0</v>
      </c>
      <c r="T62" s="106">
        <f>S62/R62*100</f>
        <v>0</v>
      </c>
      <c r="U62" s="106">
        <f t="shared" si="61"/>
        <v>1300.6000000000001</v>
      </c>
      <c r="V62" s="106">
        <f t="shared" si="61"/>
        <v>0</v>
      </c>
      <c r="W62" s="106">
        <f t="shared" si="61"/>
        <v>0</v>
      </c>
      <c r="X62" s="106">
        <f t="shared" si="61"/>
        <v>1288.6000000000001</v>
      </c>
      <c r="Y62" s="106">
        <f t="shared" si="61"/>
        <v>0</v>
      </c>
      <c r="Z62" s="106">
        <f t="shared" si="61"/>
        <v>0</v>
      </c>
      <c r="AA62" s="106">
        <f t="shared" si="61"/>
        <v>1075.6000000000001</v>
      </c>
      <c r="AB62" s="106">
        <f t="shared" si="61"/>
        <v>0</v>
      </c>
      <c r="AC62" s="106">
        <f t="shared" si="61"/>
        <v>0</v>
      </c>
      <c r="AD62" s="106">
        <f t="shared" si="61"/>
        <v>150.6</v>
      </c>
      <c r="AE62" s="106">
        <f t="shared" si="61"/>
        <v>0</v>
      </c>
      <c r="AF62" s="106">
        <f t="shared" ref="AF62" si="62">AE62/AD62*100</f>
        <v>0</v>
      </c>
      <c r="AG62" s="106">
        <f t="shared" si="61"/>
        <v>200.6</v>
      </c>
      <c r="AH62" s="106">
        <f t="shared" si="61"/>
        <v>0</v>
      </c>
      <c r="AI62" s="106">
        <f t="shared" si="61"/>
        <v>0</v>
      </c>
      <c r="AJ62" s="106">
        <f t="shared" si="61"/>
        <v>162.6</v>
      </c>
      <c r="AK62" s="106">
        <f t="shared" si="61"/>
        <v>0</v>
      </c>
      <c r="AL62" s="106">
        <f t="shared" si="61"/>
        <v>0</v>
      </c>
      <c r="AM62" s="106">
        <f t="shared" si="61"/>
        <v>1339.8</v>
      </c>
      <c r="AN62" s="106">
        <f t="shared" si="61"/>
        <v>0</v>
      </c>
      <c r="AO62" s="106">
        <f t="shared" si="61"/>
        <v>0</v>
      </c>
      <c r="AP62" s="106">
        <f t="shared" si="61"/>
        <v>363.6</v>
      </c>
      <c r="AQ62" s="106">
        <f>AQ92+AQ100</f>
        <v>0</v>
      </c>
      <c r="AR62" s="106">
        <f>AR92+AR100</f>
        <v>0</v>
      </c>
      <c r="AS62" s="319"/>
      <c r="AT62" s="364"/>
      <c r="AU62" s="121"/>
      <c r="AV62" s="121"/>
      <c r="AW62" s="155"/>
    </row>
    <row r="63" spans="1:49" s="100" customFormat="1" ht="36">
      <c r="A63" s="358"/>
      <c r="B63" s="359"/>
      <c r="C63" s="359"/>
      <c r="D63" s="360"/>
      <c r="E63" s="111" t="s">
        <v>3</v>
      </c>
      <c r="F63" s="106">
        <f>F70+F74+F78</f>
        <v>0</v>
      </c>
      <c r="G63" s="106">
        <f t="shared" ref="G63:AR65" si="63">G70+G74+G78</f>
        <v>0</v>
      </c>
      <c r="H63" s="106">
        <v>0</v>
      </c>
      <c r="I63" s="106">
        <f t="shared" si="63"/>
        <v>0</v>
      </c>
      <c r="J63" s="106">
        <f t="shared" si="63"/>
        <v>0</v>
      </c>
      <c r="K63" s="106">
        <v>0</v>
      </c>
      <c r="L63" s="106">
        <f t="shared" si="63"/>
        <v>0</v>
      </c>
      <c r="M63" s="106">
        <f t="shared" si="63"/>
        <v>0</v>
      </c>
      <c r="N63" s="106">
        <f t="shared" si="63"/>
        <v>0</v>
      </c>
      <c r="O63" s="106">
        <f t="shared" si="63"/>
        <v>0</v>
      </c>
      <c r="P63" s="106">
        <f t="shared" si="63"/>
        <v>0</v>
      </c>
      <c r="Q63" s="106">
        <v>0</v>
      </c>
      <c r="R63" s="106">
        <f t="shared" si="63"/>
        <v>0</v>
      </c>
      <c r="S63" s="106">
        <f t="shared" si="63"/>
        <v>0</v>
      </c>
      <c r="T63" s="106">
        <v>0</v>
      </c>
      <c r="U63" s="106">
        <f t="shared" si="63"/>
        <v>0</v>
      </c>
      <c r="V63" s="106">
        <f t="shared" si="63"/>
        <v>0</v>
      </c>
      <c r="W63" s="106">
        <f t="shared" si="63"/>
        <v>0</v>
      </c>
      <c r="X63" s="106">
        <f t="shared" si="63"/>
        <v>0</v>
      </c>
      <c r="Y63" s="106">
        <f t="shared" si="63"/>
        <v>0</v>
      </c>
      <c r="Z63" s="106">
        <f t="shared" si="63"/>
        <v>0</v>
      </c>
      <c r="AA63" s="106">
        <f t="shared" si="63"/>
        <v>0</v>
      </c>
      <c r="AB63" s="106">
        <f t="shared" si="63"/>
        <v>0</v>
      </c>
      <c r="AC63" s="106">
        <f t="shared" si="63"/>
        <v>0</v>
      </c>
      <c r="AD63" s="106">
        <f t="shared" si="63"/>
        <v>0</v>
      </c>
      <c r="AE63" s="106">
        <f t="shared" si="63"/>
        <v>0</v>
      </c>
      <c r="AF63" s="106">
        <f t="shared" si="63"/>
        <v>0</v>
      </c>
      <c r="AG63" s="106">
        <f t="shared" si="63"/>
        <v>0</v>
      </c>
      <c r="AH63" s="106">
        <f t="shared" si="63"/>
        <v>0</v>
      </c>
      <c r="AI63" s="106">
        <f t="shared" si="63"/>
        <v>0</v>
      </c>
      <c r="AJ63" s="106">
        <f t="shared" si="63"/>
        <v>0</v>
      </c>
      <c r="AK63" s="106">
        <f t="shared" si="63"/>
        <v>0</v>
      </c>
      <c r="AL63" s="106">
        <f t="shared" si="63"/>
        <v>0</v>
      </c>
      <c r="AM63" s="106">
        <f t="shared" si="63"/>
        <v>0</v>
      </c>
      <c r="AN63" s="106">
        <f t="shared" si="63"/>
        <v>0</v>
      </c>
      <c r="AO63" s="106">
        <f t="shared" si="63"/>
        <v>0</v>
      </c>
      <c r="AP63" s="106">
        <f t="shared" si="63"/>
        <v>0</v>
      </c>
      <c r="AQ63" s="106">
        <f t="shared" si="63"/>
        <v>0</v>
      </c>
      <c r="AR63" s="106">
        <f t="shared" si="63"/>
        <v>0</v>
      </c>
      <c r="AS63" s="320"/>
      <c r="AT63" s="365"/>
      <c r="AU63" s="121"/>
      <c r="AV63" s="121"/>
      <c r="AW63" s="155"/>
    </row>
    <row r="64" spans="1:49" s="100" customFormat="1" ht="24">
      <c r="A64" s="358"/>
      <c r="B64" s="359"/>
      <c r="C64" s="359"/>
      <c r="D64" s="360"/>
      <c r="E64" s="111" t="s">
        <v>44</v>
      </c>
      <c r="F64" s="106">
        <f>F71+F75+F79</f>
        <v>10588.099999999999</v>
      </c>
      <c r="G64" s="106">
        <f t="shared" si="63"/>
        <v>245</v>
      </c>
      <c r="H64" s="106">
        <f>G64/F64*100</f>
        <v>2.313918455624711</v>
      </c>
      <c r="I64" s="106">
        <f t="shared" si="63"/>
        <v>0</v>
      </c>
      <c r="J64" s="106">
        <f t="shared" si="63"/>
        <v>0</v>
      </c>
      <c r="K64" s="106">
        <v>0</v>
      </c>
      <c r="L64" s="106">
        <f t="shared" si="63"/>
        <v>193.39999999999998</v>
      </c>
      <c r="M64" s="106">
        <f t="shared" si="63"/>
        <v>173.7</v>
      </c>
      <c r="N64" s="106">
        <f t="shared" si="63"/>
        <v>186.62063134160093</v>
      </c>
      <c r="O64" s="106">
        <f t="shared" si="63"/>
        <v>173.90000000000009</v>
      </c>
      <c r="P64" s="106">
        <f t="shared" si="63"/>
        <v>71.3</v>
      </c>
      <c r="Q64" s="106">
        <f t="shared" ref="Q64" si="64">P64/O64*100</f>
        <v>41.000575043128215</v>
      </c>
      <c r="R64" s="106">
        <f t="shared" si="63"/>
        <v>4338.7999999999993</v>
      </c>
      <c r="S64" s="106">
        <f t="shared" si="63"/>
        <v>0</v>
      </c>
      <c r="T64" s="106">
        <f t="shared" ref="T64" si="65">S64/R64*100</f>
        <v>0</v>
      </c>
      <c r="U64" s="106">
        <f t="shared" si="63"/>
        <v>1300.6000000000001</v>
      </c>
      <c r="V64" s="106">
        <f t="shared" si="63"/>
        <v>0</v>
      </c>
      <c r="W64" s="106">
        <f t="shared" si="63"/>
        <v>0</v>
      </c>
      <c r="X64" s="106">
        <f t="shared" si="63"/>
        <v>1288.6000000000001</v>
      </c>
      <c r="Y64" s="106">
        <f t="shared" si="63"/>
        <v>0</v>
      </c>
      <c r="Z64" s="106">
        <f t="shared" si="63"/>
        <v>0</v>
      </c>
      <c r="AA64" s="106">
        <f t="shared" si="63"/>
        <v>1075.6000000000001</v>
      </c>
      <c r="AB64" s="106">
        <f t="shared" si="63"/>
        <v>0</v>
      </c>
      <c r="AC64" s="106">
        <f t="shared" si="63"/>
        <v>0</v>
      </c>
      <c r="AD64" s="106">
        <f t="shared" si="63"/>
        <v>150.6</v>
      </c>
      <c r="AE64" s="106">
        <f t="shared" si="63"/>
        <v>0</v>
      </c>
      <c r="AF64" s="106">
        <f t="shared" ref="AF64" si="66">AE64/AD64*100</f>
        <v>0</v>
      </c>
      <c r="AG64" s="106">
        <f t="shared" si="63"/>
        <v>200.6</v>
      </c>
      <c r="AH64" s="106">
        <f t="shared" si="63"/>
        <v>0</v>
      </c>
      <c r="AI64" s="106">
        <f t="shared" si="63"/>
        <v>0</v>
      </c>
      <c r="AJ64" s="106">
        <f t="shared" si="63"/>
        <v>162.6</v>
      </c>
      <c r="AK64" s="106">
        <f t="shared" si="63"/>
        <v>0</v>
      </c>
      <c r="AL64" s="106">
        <f t="shared" si="63"/>
        <v>0</v>
      </c>
      <c r="AM64" s="106">
        <f t="shared" si="63"/>
        <v>1339.8</v>
      </c>
      <c r="AN64" s="106">
        <f t="shared" si="63"/>
        <v>0</v>
      </c>
      <c r="AO64" s="106">
        <f t="shared" si="63"/>
        <v>0</v>
      </c>
      <c r="AP64" s="106">
        <f t="shared" si="63"/>
        <v>363.6</v>
      </c>
      <c r="AQ64" s="106">
        <f t="shared" si="63"/>
        <v>0</v>
      </c>
      <c r="AR64" s="106">
        <f t="shared" si="63"/>
        <v>0</v>
      </c>
      <c r="AS64" s="320"/>
      <c r="AT64" s="365"/>
      <c r="AU64" s="121"/>
      <c r="AV64" s="121"/>
      <c r="AW64" s="155"/>
    </row>
    <row r="65" spans="1:49" s="100" customFormat="1" ht="24">
      <c r="A65" s="361"/>
      <c r="B65" s="362"/>
      <c r="C65" s="362"/>
      <c r="D65" s="363"/>
      <c r="E65" s="110" t="s">
        <v>257</v>
      </c>
      <c r="F65" s="106">
        <f>F72+F76+F80</f>
        <v>0</v>
      </c>
      <c r="G65" s="106">
        <f t="shared" si="63"/>
        <v>0</v>
      </c>
      <c r="H65" s="106">
        <v>0</v>
      </c>
      <c r="I65" s="106">
        <f t="shared" si="63"/>
        <v>0</v>
      </c>
      <c r="J65" s="106">
        <f t="shared" si="63"/>
        <v>0</v>
      </c>
      <c r="K65" s="106">
        <v>0</v>
      </c>
      <c r="L65" s="106">
        <f t="shared" si="63"/>
        <v>0</v>
      </c>
      <c r="M65" s="106">
        <f t="shared" si="63"/>
        <v>0</v>
      </c>
      <c r="N65" s="106">
        <f t="shared" si="63"/>
        <v>0</v>
      </c>
      <c r="O65" s="106">
        <f t="shared" si="63"/>
        <v>0</v>
      </c>
      <c r="P65" s="106">
        <f t="shared" si="63"/>
        <v>0</v>
      </c>
      <c r="Q65" s="106">
        <v>0</v>
      </c>
      <c r="R65" s="106">
        <f t="shared" si="63"/>
        <v>0</v>
      </c>
      <c r="S65" s="106">
        <f t="shared" si="63"/>
        <v>0</v>
      </c>
      <c r="T65" s="106">
        <v>0</v>
      </c>
      <c r="U65" s="106">
        <f t="shared" si="63"/>
        <v>0</v>
      </c>
      <c r="V65" s="106">
        <f t="shared" si="63"/>
        <v>0</v>
      </c>
      <c r="W65" s="106">
        <f t="shared" si="63"/>
        <v>0</v>
      </c>
      <c r="X65" s="106">
        <f t="shared" si="63"/>
        <v>0</v>
      </c>
      <c r="Y65" s="106">
        <f t="shared" si="63"/>
        <v>0</v>
      </c>
      <c r="Z65" s="106">
        <f t="shared" si="63"/>
        <v>0</v>
      </c>
      <c r="AA65" s="106">
        <f t="shared" si="63"/>
        <v>0</v>
      </c>
      <c r="AB65" s="106">
        <f t="shared" si="63"/>
        <v>0</v>
      </c>
      <c r="AC65" s="106">
        <f t="shared" si="63"/>
        <v>0</v>
      </c>
      <c r="AD65" s="106">
        <f t="shared" si="63"/>
        <v>0</v>
      </c>
      <c r="AE65" s="106">
        <f t="shared" si="63"/>
        <v>0</v>
      </c>
      <c r="AF65" s="106">
        <f t="shared" si="63"/>
        <v>0</v>
      </c>
      <c r="AG65" s="106">
        <f t="shared" si="63"/>
        <v>0</v>
      </c>
      <c r="AH65" s="106">
        <f t="shared" si="63"/>
        <v>0</v>
      </c>
      <c r="AI65" s="106">
        <f t="shared" si="63"/>
        <v>0</v>
      </c>
      <c r="AJ65" s="106">
        <f t="shared" si="63"/>
        <v>0</v>
      </c>
      <c r="AK65" s="106">
        <f t="shared" si="63"/>
        <v>0</v>
      </c>
      <c r="AL65" s="106">
        <f t="shared" si="63"/>
        <v>0</v>
      </c>
      <c r="AM65" s="106">
        <f t="shared" si="63"/>
        <v>0</v>
      </c>
      <c r="AN65" s="106">
        <f t="shared" si="63"/>
        <v>0</v>
      </c>
      <c r="AO65" s="106">
        <f t="shared" si="63"/>
        <v>0</v>
      </c>
      <c r="AP65" s="106">
        <f t="shared" si="63"/>
        <v>0</v>
      </c>
      <c r="AQ65" s="106">
        <f t="shared" si="63"/>
        <v>0</v>
      </c>
      <c r="AR65" s="106">
        <f t="shared" si="63"/>
        <v>0</v>
      </c>
      <c r="AS65" s="321"/>
      <c r="AT65" s="366"/>
      <c r="AU65" s="121"/>
      <c r="AV65" s="121"/>
      <c r="AW65" s="155"/>
    </row>
    <row r="66" spans="1:49" s="100" customFormat="1" ht="72">
      <c r="A66" s="133" t="s">
        <v>386</v>
      </c>
      <c r="B66" s="161" t="s">
        <v>280</v>
      </c>
      <c r="C66" s="162" t="s">
        <v>387</v>
      </c>
      <c r="D66" s="172" t="s">
        <v>388</v>
      </c>
      <c r="E66" s="143" t="s">
        <v>275</v>
      </c>
      <c r="F66" s="149" t="s">
        <v>279</v>
      </c>
      <c r="G66" s="149" t="s">
        <v>279</v>
      </c>
      <c r="H66" s="149" t="s">
        <v>279</v>
      </c>
      <c r="I66" s="149" t="s">
        <v>279</v>
      </c>
      <c r="J66" s="149" t="s">
        <v>279</v>
      </c>
      <c r="K66" s="149" t="s">
        <v>279</v>
      </c>
      <c r="L66" s="149" t="s">
        <v>279</v>
      </c>
      <c r="M66" s="149" t="s">
        <v>279</v>
      </c>
      <c r="N66" s="149" t="s">
        <v>279</v>
      </c>
      <c r="O66" s="149" t="s">
        <v>279</v>
      </c>
      <c r="P66" s="149" t="s">
        <v>279</v>
      </c>
      <c r="Q66" s="149" t="s">
        <v>279</v>
      </c>
      <c r="R66" s="149" t="s">
        <v>279</v>
      </c>
      <c r="S66" s="149" t="s">
        <v>279</v>
      </c>
      <c r="T66" s="149" t="s">
        <v>279</v>
      </c>
      <c r="U66" s="149" t="s">
        <v>279</v>
      </c>
      <c r="V66" s="149" t="s">
        <v>279</v>
      </c>
      <c r="W66" s="149" t="s">
        <v>279</v>
      </c>
      <c r="X66" s="149" t="s">
        <v>279</v>
      </c>
      <c r="Y66" s="149" t="s">
        <v>279</v>
      </c>
      <c r="Z66" s="149" t="s">
        <v>279</v>
      </c>
      <c r="AA66" s="149" t="s">
        <v>279</v>
      </c>
      <c r="AB66" s="149" t="s">
        <v>279</v>
      </c>
      <c r="AC66" s="149" t="s">
        <v>279</v>
      </c>
      <c r="AD66" s="149" t="s">
        <v>279</v>
      </c>
      <c r="AE66" s="149" t="s">
        <v>279</v>
      </c>
      <c r="AF66" s="149" t="s">
        <v>279</v>
      </c>
      <c r="AG66" s="149" t="s">
        <v>279</v>
      </c>
      <c r="AH66" s="149" t="s">
        <v>279</v>
      </c>
      <c r="AI66" s="149" t="s">
        <v>279</v>
      </c>
      <c r="AJ66" s="149" t="s">
        <v>279</v>
      </c>
      <c r="AK66" s="149" t="s">
        <v>279</v>
      </c>
      <c r="AL66" s="149" t="s">
        <v>279</v>
      </c>
      <c r="AM66" s="149" t="s">
        <v>279</v>
      </c>
      <c r="AN66" s="149" t="s">
        <v>279</v>
      </c>
      <c r="AO66" s="149" t="s">
        <v>279</v>
      </c>
      <c r="AP66" s="149" t="s">
        <v>279</v>
      </c>
      <c r="AQ66" s="149" t="s">
        <v>279</v>
      </c>
      <c r="AR66" s="149" t="s">
        <v>279</v>
      </c>
      <c r="AS66" s="145" t="s">
        <v>419</v>
      </c>
      <c r="AT66" s="134"/>
      <c r="AU66" s="121"/>
      <c r="AV66" s="121"/>
      <c r="AW66" s="155"/>
    </row>
    <row r="67" spans="1:49" s="100" customFormat="1" ht="96">
      <c r="A67" s="133" t="s">
        <v>389</v>
      </c>
      <c r="B67" s="161" t="s">
        <v>390</v>
      </c>
      <c r="C67" s="162" t="s">
        <v>387</v>
      </c>
      <c r="D67" s="171" t="s">
        <v>391</v>
      </c>
      <c r="E67" s="143" t="s">
        <v>275</v>
      </c>
      <c r="F67" s="149" t="s">
        <v>279</v>
      </c>
      <c r="G67" s="149" t="s">
        <v>279</v>
      </c>
      <c r="H67" s="149" t="s">
        <v>279</v>
      </c>
      <c r="I67" s="149" t="s">
        <v>279</v>
      </c>
      <c r="J67" s="149" t="s">
        <v>279</v>
      </c>
      <c r="K67" s="149" t="s">
        <v>279</v>
      </c>
      <c r="L67" s="149" t="s">
        <v>279</v>
      </c>
      <c r="M67" s="149" t="s">
        <v>279</v>
      </c>
      <c r="N67" s="149" t="s">
        <v>279</v>
      </c>
      <c r="O67" s="149" t="s">
        <v>279</v>
      </c>
      <c r="P67" s="149" t="s">
        <v>279</v>
      </c>
      <c r="Q67" s="149" t="s">
        <v>279</v>
      </c>
      <c r="R67" s="149" t="s">
        <v>279</v>
      </c>
      <c r="S67" s="149" t="s">
        <v>279</v>
      </c>
      <c r="T67" s="149" t="s">
        <v>279</v>
      </c>
      <c r="U67" s="149" t="s">
        <v>279</v>
      </c>
      <c r="V67" s="149" t="s">
        <v>279</v>
      </c>
      <c r="W67" s="149" t="s">
        <v>279</v>
      </c>
      <c r="X67" s="149" t="s">
        <v>279</v>
      </c>
      <c r="Y67" s="149" t="s">
        <v>279</v>
      </c>
      <c r="Z67" s="149" t="s">
        <v>279</v>
      </c>
      <c r="AA67" s="149" t="s">
        <v>279</v>
      </c>
      <c r="AB67" s="149" t="s">
        <v>279</v>
      </c>
      <c r="AC67" s="149" t="s">
        <v>279</v>
      </c>
      <c r="AD67" s="149" t="s">
        <v>279</v>
      </c>
      <c r="AE67" s="149" t="s">
        <v>279</v>
      </c>
      <c r="AF67" s="149" t="s">
        <v>279</v>
      </c>
      <c r="AG67" s="149" t="s">
        <v>279</v>
      </c>
      <c r="AH67" s="149" t="s">
        <v>279</v>
      </c>
      <c r="AI67" s="149" t="s">
        <v>279</v>
      </c>
      <c r="AJ67" s="149" t="s">
        <v>279</v>
      </c>
      <c r="AK67" s="149" t="s">
        <v>279</v>
      </c>
      <c r="AL67" s="149" t="s">
        <v>279</v>
      </c>
      <c r="AM67" s="149" t="s">
        <v>279</v>
      </c>
      <c r="AN67" s="149" t="s">
        <v>279</v>
      </c>
      <c r="AO67" s="149" t="s">
        <v>279</v>
      </c>
      <c r="AP67" s="149" t="s">
        <v>279</v>
      </c>
      <c r="AQ67" s="149" t="s">
        <v>279</v>
      </c>
      <c r="AR67" s="149" t="s">
        <v>279</v>
      </c>
      <c r="AS67" s="145" t="s">
        <v>420</v>
      </c>
      <c r="AT67" s="134"/>
      <c r="AU67" s="121"/>
      <c r="AV67" s="121"/>
      <c r="AW67" s="155"/>
    </row>
    <row r="68" spans="1:49" s="100" customFormat="1" ht="264">
      <c r="A68" s="133" t="s">
        <v>392</v>
      </c>
      <c r="B68" s="161" t="s">
        <v>393</v>
      </c>
      <c r="C68" s="162" t="s">
        <v>387</v>
      </c>
      <c r="D68" s="171" t="s">
        <v>394</v>
      </c>
      <c r="E68" s="143" t="s">
        <v>275</v>
      </c>
      <c r="F68" s="149" t="s">
        <v>279</v>
      </c>
      <c r="G68" s="149" t="s">
        <v>279</v>
      </c>
      <c r="H68" s="149" t="s">
        <v>279</v>
      </c>
      <c r="I68" s="149" t="s">
        <v>279</v>
      </c>
      <c r="J68" s="149" t="s">
        <v>279</v>
      </c>
      <c r="K68" s="149" t="s">
        <v>279</v>
      </c>
      <c r="L68" s="149" t="s">
        <v>279</v>
      </c>
      <c r="M68" s="149" t="s">
        <v>279</v>
      </c>
      <c r="N68" s="149" t="s">
        <v>279</v>
      </c>
      <c r="O68" s="149" t="s">
        <v>279</v>
      </c>
      <c r="P68" s="149" t="s">
        <v>279</v>
      </c>
      <c r="Q68" s="149" t="s">
        <v>279</v>
      </c>
      <c r="R68" s="149" t="s">
        <v>279</v>
      </c>
      <c r="S68" s="149" t="s">
        <v>279</v>
      </c>
      <c r="T68" s="149" t="s">
        <v>279</v>
      </c>
      <c r="U68" s="149" t="s">
        <v>279</v>
      </c>
      <c r="V68" s="149" t="s">
        <v>279</v>
      </c>
      <c r="W68" s="149" t="s">
        <v>279</v>
      </c>
      <c r="X68" s="149" t="s">
        <v>279</v>
      </c>
      <c r="Y68" s="149" t="s">
        <v>279</v>
      </c>
      <c r="Z68" s="149" t="s">
        <v>279</v>
      </c>
      <c r="AA68" s="149" t="s">
        <v>279</v>
      </c>
      <c r="AB68" s="149" t="s">
        <v>279</v>
      </c>
      <c r="AC68" s="149" t="s">
        <v>279</v>
      </c>
      <c r="AD68" s="149" t="s">
        <v>279</v>
      </c>
      <c r="AE68" s="149" t="s">
        <v>279</v>
      </c>
      <c r="AF68" s="149" t="s">
        <v>279</v>
      </c>
      <c r="AG68" s="149" t="s">
        <v>279</v>
      </c>
      <c r="AH68" s="149" t="s">
        <v>279</v>
      </c>
      <c r="AI68" s="149" t="s">
        <v>279</v>
      </c>
      <c r="AJ68" s="149" t="s">
        <v>279</v>
      </c>
      <c r="AK68" s="149" t="s">
        <v>279</v>
      </c>
      <c r="AL68" s="149" t="s">
        <v>279</v>
      </c>
      <c r="AM68" s="149" t="s">
        <v>279</v>
      </c>
      <c r="AN68" s="149" t="s">
        <v>279</v>
      </c>
      <c r="AO68" s="149" t="s">
        <v>279</v>
      </c>
      <c r="AP68" s="149" t="s">
        <v>279</v>
      </c>
      <c r="AQ68" s="149" t="s">
        <v>279</v>
      </c>
      <c r="AR68" s="149" t="s">
        <v>279</v>
      </c>
      <c r="AS68" s="145" t="s">
        <v>421</v>
      </c>
      <c r="AT68" s="134"/>
      <c r="AU68" s="121"/>
      <c r="AV68" s="121"/>
      <c r="AW68" s="155"/>
    </row>
    <row r="69" spans="1:49" s="31" customFormat="1" ht="12.75">
      <c r="A69" s="328" t="s">
        <v>395</v>
      </c>
      <c r="B69" s="331" t="s">
        <v>396</v>
      </c>
      <c r="C69" s="334" t="s">
        <v>277</v>
      </c>
      <c r="D69" s="337" t="s">
        <v>397</v>
      </c>
      <c r="E69" s="107" t="s">
        <v>42</v>
      </c>
      <c r="F69" s="123">
        <f>SUM(F70:F72)</f>
        <v>1572.1</v>
      </c>
      <c r="G69" s="123">
        <f t="shared" ref="G69" si="67">SUM(G70:G72)</f>
        <v>227.2</v>
      </c>
      <c r="H69" s="123">
        <f>G69/F69*100</f>
        <v>14.452006869791997</v>
      </c>
      <c r="I69" s="138">
        <f t="shared" ref="I69:AP69" si="68">I70+I71+I72</f>
        <v>0</v>
      </c>
      <c r="J69" s="138">
        <f t="shared" si="68"/>
        <v>0</v>
      </c>
      <c r="K69" s="123">
        <v>0</v>
      </c>
      <c r="L69" s="138">
        <f t="shared" si="68"/>
        <v>177.39999999999998</v>
      </c>
      <c r="M69" s="132">
        <f t="shared" si="68"/>
        <v>158.1</v>
      </c>
      <c r="N69" s="132">
        <f>M69/L69*100</f>
        <v>89.120631341600912</v>
      </c>
      <c r="O69" s="132">
        <f t="shared" si="68"/>
        <v>70.000000000000014</v>
      </c>
      <c r="P69" s="132">
        <f t="shared" si="68"/>
        <v>69.099999999999994</v>
      </c>
      <c r="Q69" s="123">
        <f t="shared" ref="Q69:Q79" si="69">P69/O69*100</f>
        <v>98.714285714285694</v>
      </c>
      <c r="R69" s="132">
        <f t="shared" si="68"/>
        <v>61.4</v>
      </c>
      <c r="S69" s="132">
        <f t="shared" si="68"/>
        <v>0</v>
      </c>
      <c r="T69" s="132">
        <f>S69/R69*100</f>
        <v>0</v>
      </c>
      <c r="U69" s="138">
        <f t="shared" si="68"/>
        <v>61.4</v>
      </c>
      <c r="V69" s="138">
        <f t="shared" si="68"/>
        <v>0</v>
      </c>
      <c r="W69" s="132">
        <f t="shared" ref="W69" si="70">V69/U69*100</f>
        <v>0</v>
      </c>
      <c r="X69" s="132">
        <f t="shared" si="68"/>
        <v>61.4</v>
      </c>
      <c r="Y69" s="132">
        <f t="shared" si="68"/>
        <v>0</v>
      </c>
      <c r="Z69" s="132">
        <f t="shared" ref="Z69" si="71">Y69/X69*100</f>
        <v>0</v>
      </c>
      <c r="AA69" s="132">
        <f t="shared" si="68"/>
        <v>61.4</v>
      </c>
      <c r="AB69" s="132">
        <f t="shared" si="68"/>
        <v>0</v>
      </c>
      <c r="AC69" s="132">
        <f t="shared" ref="AC69" si="72">AB69/AA69*100</f>
        <v>0</v>
      </c>
      <c r="AD69" s="132">
        <f t="shared" si="68"/>
        <v>61.4</v>
      </c>
      <c r="AE69" s="138">
        <f t="shared" si="68"/>
        <v>0</v>
      </c>
      <c r="AF69" s="104">
        <f t="shared" ref="AF69" si="73">AE69/AD69*100</f>
        <v>0</v>
      </c>
      <c r="AG69" s="138">
        <f t="shared" si="68"/>
        <v>61.4</v>
      </c>
      <c r="AH69" s="138">
        <f t="shared" si="68"/>
        <v>0</v>
      </c>
      <c r="AI69" s="132">
        <f t="shared" ref="AI69" si="74">AH69/AG69*100</f>
        <v>0</v>
      </c>
      <c r="AJ69" s="138">
        <f t="shared" si="68"/>
        <v>61.4</v>
      </c>
      <c r="AK69" s="138">
        <f t="shared" si="68"/>
        <v>0</v>
      </c>
      <c r="AL69" s="138">
        <f t="shared" si="68"/>
        <v>0</v>
      </c>
      <c r="AM69" s="138">
        <f t="shared" si="68"/>
        <v>780.5</v>
      </c>
      <c r="AN69" s="138">
        <f t="shared" si="68"/>
        <v>0</v>
      </c>
      <c r="AO69" s="138">
        <f t="shared" si="68"/>
        <v>0</v>
      </c>
      <c r="AP69" s="138">
        <f t="shared" si="68"/>
        <v>114.39999999999999</v>
      </c>
      <c r="AQ69" s="104"/>
      <c r="AR69" s="104"/>
      <c r="AS69" s="340" t="s">
        <v>422</v>
      </c>
      <c r="AT69" s="425" t="s">
        <v>423</v>
      </c>
      <c r="AU69" s="121"/>
      <c r="AV69" s="121"/>
      <c r="AW69" s="155"/>
    </row>
    <row r="70" spans="1:49" s="31" customFormat="1" ht="36">
      <c r="A70" s="329"/>
      <c r="B70" s="332"/>
      <c r="C70" s="335"/>
      <c r="D70" s="338"/>
      <c r="E70" s="108" t="s">
        <v>3</v>
      </c>
      <c r="F70" s="123">
        <f>I70+L70+O70+R70+U70+X70+AA70+AD70+AG70+AJ70+AM70+AP70</f>
        <v>0</v>
      </c>
      <c r="G70" s="123">
        <f>J70+M70+P70+S70+V70+Y70+AB70+AE70+AH70+AK70+AN70+AQ70</f>
        <v>0</v>
      </c>
      <c r="H70" s="123">
        <v>0</v>
      </c>
      <c r="I70" s="123">
        <v>0</v>
      </c>
      <c r="J70" s="123">
        <v>0</v>
      </c>
      <c r="K70" s="123">
        <v>0</v>
      </c>
      <c r="L70" s="150">
        <v>0</v>
      </c>
      <c r="M70" s="123">
        <v>0</v>
      </c>
      <c r="N70" s="138">
        <v>0</v>
      </c>
      <c r="O70" s="123">
        <v>0</v>
      </c>
      <c r="P70" s="123">
        <v>0</v>
      </c>
      <c r="Q70" s="123">
        <v>0</v>
      </c>
      <c r="R70" s="123">
        <v>0</v>
      </c>
      <c r="S70" s="123">
        <v>0</v>
      </c>
      <c r="T70" s="132">
        <v>0</v>
      </c>
      <c r="U70" s="117">
        <v>0</v>
      </c>
      <c r="V70" s="117">
        <v>0</v>
      </c>
      <c r="W70" s="117">
        <v>0</v>
      </c>
      <c r="X70" s="117">
        <v>0</v>
      </c>
      <c r="Y70" s="117">
        <v>0</v>
      </c>
      <c r="Z70" s="117">
        <v>0</v>
      </c>
      <c r="AA70" s="117">
        <v>0</v>
      </c>
      <c r="AB70" s="117">
        <v>0</v>
      </c>
      <c r="AC70" s="117">
        <v>0</v>
      </c>
      <c r="AD70" s="117">
        <v>0</v>
      </c>
      <c r="AE70" s="117">
        <v>0</v>
      </c>
      <c r="AF70" s="117">
        <v>0</v>
      </c>
      <c r="AG70" s="117">
        <v>0</v>
      </c>
      <c r="AH70" s="117">
        <v>0</v>
      </c>
      <c r="AI70" s="117">
        <v>0</v>
      </c>
      <c r="AJ70" s="123">
        <v>0</v>
      </c>
      <c r="AK70" s="123">
        <v>0</v>
      </c>
      <c r="AL70" s="123">
        <v>0</v>
      </c>
      <c r="AM70" s="117">
        <v>0</v>
      </c>
      <c r="AN70" s="117">
        <v>0</v>
      </c>
      <c r="AO70" s="117">
        <v>0</v>
      </c>
      <c r="AP70" s="123">
        <v>0</v>
      </c>
      <c r="AQ70" s="104"/>
      <c r="AR70" s="104"/>
      <c r="AS70" s="341"/>
      <c r="AT70" s="426"/>
      <c r="AU70" s="121"/>
      <c r="AV70" s="121"/>
      <c r="AW70" s="155"/>
    </row>
    <row r="71" spans="1:49" s="31" customFormat="1" ht="12.75">
      <c r="A71" s="329"/>
      <c r="B71" s="332"/>
      <c r="C71" s="335"/>
      <c r="D71" s="338"/>
      <c r="E71" s="108" t="s">
        <v>44</v>
      </c>
      <c r="F71" s="123">
        <f t="shared" ref="F71:G72" si="75">I71+L71+O71+R71+U71+X71+AA71+AD71+AG71+AJ71+AM71+AP71</f>
        <v>1572.1</v>
      </c>
      <c r="G71" s="123">
        <f t="shared" si="75"/>
        <v>227.2</v>
      </c>
      <c r="H71" s="123">
        <f>G71/F71*100</f>
        <v>14.452006869791997</v>
      </c>
      <c r="I71" s="123">
        <v>0</v>
      </c>
      <c r="J71" s="123">
        <v>0</v>
      </c>
      <c r="K71" s="123">
        <v>0</v>
      </c>
      <c r="L71" s="150">
        <f>61.4+10.2+105.8</f>
        <v>177.39999999999998</v>
      </c>
      <c r="M71" s="123">
        <v>158.1</v>
      </c>
      <c r="N71" s="138">
        <f t="shared" ref="N71" si="76">M71/L71*100</f>
        <v>89.120631341600912</v>
      </c>
      <c r="O71" s="123">
        <f>207.4-31.6-105.8</f>
        <v>70.000000000000014</v>
      </c>
      <c r="P71" s="123">
        <v>69.099999999999994</v>
      </c>
      <c r="Q71" s="123">
        <f t="shared" si="69"/>
        <v>98.714285714285694</v>
      </c>
      <c r="R71" s="123">
        <v>61.4</v>
      </c>
      <c r="S71" s="123">
        <v>0</v>
      </c>
      <c r="T71" s="132">
        <f t="shared" ref="T71:T79" si="77">S71/R71*100</f>
        <v>0</v>
      </c>
      <c r="U71" s="117">
        <v>61.4</v>
      </c>
      <c r="V71" s="117">
        <v>0</v>
      </c>
      <c r="W71" s="132">
        <f t="shared" ref="W71" si="78">V71/U71*100</f>
        <v>0</v>
      </c>
      <c r="X71" s="117">
        <v>61.4</v>
      </c>
      <c r="Y71" s="117">
        <v>0</v>
      </c>
      <c r="Z71" s="132">
        <f t="shared" ref="Z71" si="79">Y71/X71*100</f>
        <v>0</v>
      </c>
      <c r="AA71" s="117">
        <v>61.4</v>
      </c>
      <c r="AB71" s="117">
        <v>0</v>
      </c>
      <c r="AC71" s="132">
        <f t="shared" ref="AC71" si="80">AB71/AA71*100</f>
        <v>0</v>
      </c>
      <c r="AD71" s="117">
        <v>61.4</v>
      </c>
      <c r="AE71" s="117">
        <v>0</v>
      </c>
      <c r="AF71" s="132">
        <f t="shared" ref="AF71" si="81">AE71/AD71*100</f>
        <v>0</v>
      </c>
      <c r="AG71" s="117">
        <v>61.4</v>
      </c>
      <c r="AH71" s="117">
        <v>0</v>
      </c>
      <c r="AI71" s="132">
        <f t="shared" ref="AI71" si="82">AH71/AG71*100</f>
        <v>0</v>
      </c>
      <c r="AJ71" s="123">
        <v>61.4</v>
      </c>
      <c r="AK71" s="123">
        <v>0</v>
      </c>
      <c r="AL71" s="123">
        <v>0</v>
      </c>
      <c r="AM71" s="117">
        <f>790.7-10.2</f>
        <v>780.5</v>
      </c>
      <c r="AN71" s="117">
        <v>0</v>
      </c>
      <c r="AO71" s="117">
        <v>0</v>
      </c>
      <c r="AP71" s="123">
        <f>122.8-8.4</f>
        <v>114.39999999999999</v>
      </c>
      <c r="AQ71" s="104"/>
      <c r="AR71" s="104"/>
      <c r="AS71" s="341"/>
      <c r="AT71" s="426"/>
      <c r="AU71" s="121"/>
      <c r="AV71" s="121"/>
      <c r="AW71" s="155"/>
    </row>
    <row r="72" spans="1:49" s="31" customFormat="1" ht="39.75" customHeight="1">
      <c r="A72" s="330"/>
      <c r="B72" s="333"/>
      <c r="C72" s="336"/>
      <c r="D72" s="339"/>
      <c r="E72" s="109" t="s">
        <v>257</v>
      </c>
      <c r="F72" s="123">
        <f t="shared" si="75"/>
        <v>0</v>
      </c>
      <c r="G72" s="123">
        <f t="shared" si="75"/>
        <v>0</v>
      </c>
      <c r="H72" s="123">
        <v>0</v>
      </c>
      <c r="I72" s="123">
        <v>0</v>
      </c>
      <c r="J72" s="123">
        <v>0</v>
      </c>
      <c r="K72" s="123">
        <v>0</v>
      </c>
      <c r="L72" s="150">
        <v>0</v>
      </c>
      <c r="M72" s="123">
        <v>0</v>
      </c>
      <c r="N72" s="123">
        <v>0</v>
      </c>
      <c r="O72" s="123">
        <v>0</v>
      </c>
      <c r="P72" s="123">
        <v>0</v>
      </c>
      <c r="Q72" s="123">
        <v>0</v>
      </c>
      <c r="R72" s="123">
        <v>0</v>
      </c>
      <c r="S72" s="123">
        <v>0</v>
      </c>
      <c r="T72" s="132">
        <v>0</v>
      </c>
      <c r="U72" s="117">
        <v>0</v>
      </c>
      <c r="V72" s="117">
        <v>0</v>
      </c>
      <c r="W72" s="117">
        <v>0</v>
      </c>
      <c r="X72" s="117">
        <v>0</v>
      </c>
      <c r="Y72" s="117">
        <v>0</v>
      </c>
      <c r="Z72" s="117">
        <v>0</v>
      </c>
      <c r="AA72" s="117">
        <v>0</v>
      </c>
      <c r="AB72" s="117">
        <v>0</v>
      </c>
      <c r="AC72" s="117">
        <v>0</v>
      </c>
      <c r="AD72" s="117">
        <v>0</v>
      </c>
      <c r="AE72" s="117">
        <v>0</v>
      </c>
      <c r="AF72" s="117">
        <v>0</v>
      </c>
      <c r="AG72" s="117">
        <v>0</v>
      </c>
      <c r="AH72" s="117">
        <v>0</v>
      </c>
      <c r="AI72" s="117">
        <v>0</v>
      </c>
      <c r="AJ72" s="123">
        <v>0</v>
      </c>
      <c r="AK72" s="123">
        <v>0</v>
      </c>
      <c r="AL72" s="123">
        <v>0</v>
      </c>
      <c r="AM72" s="117">
        <v>0</v>
      </c>
      <c r="AN72" s="117">
        <v>0</v>
      </c>
      <c r="AO72" s="117">
        <v>0</v>
      </c>
      <c r="AP72" s="123">
        <v>0</v>
      </c>
      <c r="AQ72" s="104"/>
      <c r="AR72" s="104"/>
      <c r="AS72" s="342"/>
      <c r="AT72" s="427"/>
      <c r="AU72" s="121"/>
      <c r="AV72" s="121"/>
      <c r="AW72" s="155"/>
    </row>
    <row r="73" spans="1:49" s="31" customFormat="1" ht="12.75">
      <c r="A73" s="328" t="s">
        <v>398</v>
      </c>
      <c r="B73" s="331" t="s">
        <v>258</v>
      </c>
      <c r="C73" s="334" t="s">
        <v>277</v>
      </c>
      <c r="D73" s="337" t="s">
        <v>400</v>
      </c>
      <c r="E73" s="107" t="s">
        <v>42</v>
      </c>
      <c r="F73" s="123">
        <f>SUM(F74:F76)</f>
        <v>455.1</v>
      </c>
      <c r="G73" s="123">
        <f t="shared" ref="G73" si="83">SUM(G74:G76)</f>
        <v>0</v>
      </c>
      <c r="H73" s="123">
        <f>G73/F73*100</f>
        <v>0</v>
      </c>
      <c r="I73" s="138">
        <f t="shared" ref="I73:AP73" si="84">I74+I75+I76</f>
        <v>0</v>
      </c>
      <c r="J73" s="138">
        <f t="shared" si="84"/>
        <v>0</v>
      </c>
      <c r="K73" s="123">
        <v>0</v>
      </c>
      <c r="L73" s="138">
        <f t="shared" si="84"/>
        <v>0</v>
      </c>
      <c r="M73" s="132">
        <f t="shared" si="84"/>
        <v>0</v>
      </c>
      <c r="N73" s="132">
        <v>0</v>
      </c>
      <c r="O73" s="132">
        <f t="shared" si="84"/>
        <v>0</v>
      </c>
      <c r="P73" s="132">
        <f t="shared" si="84"/>
        <v>0</v>
      </c>
      <c r="Q73" s="123">
        <v>0</v>
      </c>
      <c r="R73" s="132">
        <f t="shared" si="84"/>
        <v>0</v>
      </c>
      <c r="S73" s="132">
        <f t="shared" si="84"/>
        <v>0</v>
      </c>
      <c r="T73" s="132">
        <v>0</v>
      </c>
      <c r="U73" s="132">
        <f t="shared" si="84"/>
        <v>0</v>
      </c>
      <c r="V73" s="132">
        <f t="shared" si="84"/>
        <v>0</v>
      </c>
      <c r="W73" s="132">
        <f t="shared" si="84"/>
        <v>0</v>
      </c>
      <c r="X73" s="132">
        <f t="shared" si="84"/>
        <v>0</v>
      </c>
      <c r="Y73" s="132">
        <f t="shared" si="84"/>
        <v>0</v>
      </c>
      <c r="Z73" s="138">
        <f t="shared" si="84"/>
        <v>0</v>
      </c>
      <c r="AA73" s="138">
        <f t="shared" si="84"/>
        <v>0</v>
      </c>
      <c r="AB73" s="138">
        <f t="shared" si="84"/>
        <v>0</v>
      </c>
      <c r="AC73" s="138">
        <f t="shared" si="84"/>
        <v>0</v>
      </c>
      <c r="AD73" s="132">
        <f t="shared" si="84"/>
        <v>0</v>
      </c>
      <c r="AE73" s="132">
        <f t="shared" si="84"/>
        <v>0</v>
      </c>
      <c r="AF73" s="132">
        <f t="shared" si="84"/>
        <v>0</v>
      </c>
      <c r="AG73" s="132">
        <f t="shared" si="84"/>
        <v>0</v>
      </c>
      <c r="AH73" s="132">
        <f t="shared" si="84"/>
        <v>0</v>
      </c>
      <c r="AI73" s="132">
        <f t="shared" si="84"/>
        <v>0</v>
      </c>
      <c r="AJ73" s="132">
        <f t="shared" si="84"/>
        <v>0</v>
      </c>
      <c r="AK73" s="132">
        <f t="shared" si="84"/>
        <v>0</v>
      </c>
      <c r="AL73" s="132">
        <f t="shared" si="84"/>
        <v>0</v>
      </c>
      <c r="AM73" s="132">
        <f t="shared" si="84"/>
        <v>455.1</v>
      </c>
      <c r="AN73" s="132">
        <f t="shared" si="84"/>
        <v>0</v>
      </c>
      <c r="AO73" s="132">
        <f t="shared" si="84"/>
        <v>0</v>
      </c>
      <c r="AP73" s="132">
        <f t="shared" si="84"/>
        <v>0</v>
      </c>
      <c r="AQ73" s="104"/>
      <c r="AR73" s="104"/>
      <c r="AS73" s="346" t="s">
        <v>425</v>
      </c>
      <c r="AT73" s="428" t="s">
        <v>424</v>
      </c>
      <c r="AU73" s="121"/>
      <c r="AV73" s="121"/>
      <c r="AW73" s="155"/>
    </row>
    <row r="74" spans="1:49" s="31" customFormat="1" ht="36">
      <c r="A74" s="329"/>
      <c r="B74" s="332"/>
      <c r="C74" s="335"/>
      <c r="D74" s="338"/>
      <c r="E74" s="108" t="s">
        <v>3</v>
      </c>
      <c r="F74" s="123">
        <f>I74+L74+O74+R74+U74+X74+AA74+AD74+AG74+AJ74+AM74+AP74</f>
        <v>0</v>
      </c>
      <c r="G74" s="123">
        <f>J74+M74+P74+S74+V74+Y74+AB74+AE74+AH74+AK74+AN74+AQ74</f>
        <v>0</v>
      </c>
      <c r="H74" s="123">
        <v>0</v>
      </c>
      <c r="I74" s="123">
        <v>0</v>
      </c>
      <c r="J74" s="123">
        <v>0</v>
      </c>
      <c r="K74" s="123">
        <v>0</v>
      </c>
      <c r="L74" s="150">
        <v>0</v>
      </c>
      <c r="M74" s="123">
        <v>0</v>
      </c>
      <c r="N74" s="138">
        <v>0</v>
      </c>
      <c r="O74" s="123">
        <v>0</v>
      </c>
      <c r="P74" s="123">
        <v>0</v>
      </c>
      <c r="Q74" s="123">
        <v>0</v>
      </c>
      <c r="R74" s="123">
        <v>0</v>
      </c>
      <c r="S74" s="123">
        <v>0</v>
      </c>
      <c r="T74" s="138">
        <v>0</v>
      </c>
      <c r="U74" s="117">
        <v>0</v>
      </c>
      <c r="V74" s="117">
        <v>0</v>
      </c>
      <c r="W74" s="117">
        <v>0</v>
      </c>
      <c r="X74" s="117">
        <v>0</v>
      </c>
      <c r="Y74" s="117">
        <v>0</v>
      </c>
      <c r="Z74" s="117">
        <v>0</v>
      </c>
      <c r="AA74" s="117">
        <v>0</v>
      </c>
      <c r="AB74" s="117">
        <v>0</v>
      </c>
      <c r="AC74" s="117">
        <v>0</v>
      </c>
      <c r="AD74" s="117">
        <v>0</v>
      </c>
      <c r="AE74" s="117">
        <v>0</v>
      </c>
      <c r="AF74" s="117">
        <v>0</v>
      </c>
      <c r="AG74" s="117">
        <v>0</v>
      </c>
      <c r="AH74" s="117">
        <v>0</v>
      </c>
      <c r="AI74" s="117">
        <v>0</v>
      </c>
      <c r="AJ74" s="123">
        <v>0</v>
      </c>
      <c r="AK74" s="123">
        <v>0</v>
      </c>
      <c r="AL74" s="123">
        <v>0</v>
      </c>
      <c r="AM74" s="117">
        <v>0</v>
      </c>
      <c r="AN74" s="117">
        <v>0</v>
      </c>
      <c r="AO74" s="117">
        <v>0</v>
      </c>
      <c r="AP74" s="123">
        <v>0</v>
      </c>
      <c r="AQ74" s="104"/>
      <c r="AR74" s="104"/>
      <c r="AS74" s="347"/>
      <c r="AT74" s="429"/>
      <c r="AU74" s="121"/>
      <c r="AV74" s="121"/>
      <c r="AW74" s="155"/>
    </row>
    <row r="75" spans="1:49" s="31" customFormat="1" ht="24.75" customHeight="1">
      <c r="A75" s="329"/>
      <c r="B75" s="332"/>
      <c r="C75" s="335"/>
      <c r="D75" s="338"/>
      <c r="E75" s="108" t="s">
        <v>44</v>
      </c>
      <c r="F75" s="123">
        <f t="shared" ref="F75:G76" si="85">I75+L75+O75+R75+U75+X75+AA75+AD75+AG75+AJ75+AM75+AP75</f>
        <v>455.1</v>
      </c>
      <c r="G75" s="123">
        <f t="shared" si="85"/>
        <v>0</v>
      </c>
      <c r="H75" s="123">
        <f>G75/F75*100</f>
        <v>0</v>
      </c>
      <c r="I75" s="123">
        <v>0</v>
      </c>
      <c r="J75" s="123">
        <v>0</v>
      </c>
      <c r="K75" s="123">
        <v>0</v>
      </c>
      <c r="L75" s="150">
        <v>0</v>
      </c>
      <c r="M75" s="123">
        <v>0</v>
      </c>
      <c r="N75" s="138">
        <v>0</v>
      </c>
      <c r="O75" s="123">
        <v>0</v>
      </c>
      <c r="P75" s="123">
        <v>0</v>
      </c>
      <c r="Q75" s="123">
        <v>0</v>
      </c>
      <c r="R75" s="123">
        <v>0</v>
      </c>
      <c r="S75" s="123">
        <v>0</v>
      </c>
      <c r="T75" s="138">
        <v>0</v>
      </c>
      <c r="U75" s="117">
        <v>0</v>
      </c>
      <c r="V75" s="117">
        <v>0</v>
      </c>
      <c r="W75" s="117">
        <v>0</v>
      </c>
      <c r="X75" s="117">
        <v>0</v>
      </c>
      <c r="Y75" s="117">
        <v>0</v>
      </c>
      <c r="Z75" s="117">
        <v>0</v>
      </c>
      <c r="AA75" s="117">
        <v>0</v>
      </c>
      <c r="AB75" s="117">
        <v>0</v>
      </c>
      <c r="AC75" s="117">
        <v>0</v>
      </c>
      <c r="AD75" s="117">
        <v>0</v>
      </c>
      <c r="AE75" s="117">
        <v>0</v>
      </c>
      <c r="AF75" s="117">
        <v>0</v>
      </c>
      <c r="AG75" s="117">
        <v>0</v>
      </c>
      <c r="AH75" s="117">
        <v>0</v>
      </c>
      <c r="AI75" s="117">
        <v>0</v>
      </c>
      <c r="AJ75" s="123">
        <v>0</v>
      </c>
      <c r="AK75" s="123">
        <v>0</v>
      </c>
      <c r="AL75" s="123">
        <v>0</v>
      </c>
      <c r="AM75" s="117">
        <v>455.1</v>
      </c>
      <c r="AN75" s="117">
        <v>0</v>
      </c>
      <c r="AO75" s="117">
        <v>0</v>
      </c>
      <c r="AP75" s="123">
        <v>0</v>
      </c>
      <c r="AQ75" s="104"/>
      <c r="AR75" s="104"/>
      <c r="AS75" s="347"/>
      <c r="AT75" s="429"/>
      <c r="AU75" s="121"/>
      <c r="AV75" s="121"/>
      <c r="AW75" s="155"/>
    </row>
    <row r="76" spans="1:49" s="31" customFormat="1" ht="24" customHeight="1">
      <c r="A76" s="330"/>
      <c r="B76" s="333"/>
      <c r="C76" s="336"/>
      <c r="D76" s="339"/>
      <c r="E76" s="109" t="s">
        <v>257</v>
      </c>
      <c r="F76" s="123">
        <f t="shared" si="85"/>
        <v>0</v>
      </c>
      <c r="G76" s="123">
        <f t="shared" si="85"/>
        <v>0</v>
      </c>
      <c r="H76" s="123">
        <v>0</v>
      </c>
      <c r="I76" s="123">
        <v>0</v>
      </c>
      <c r="J76" s="123">
        <v>0</v>
      </c>
      <c r="K76" s="123">
        <v>0</v>
      </c>
      <c r="L76" s="150">
        <v>0</v>
      </c>
      <c r="M76" s="123">
        <v>0</v>
      </c>
      <c r="N76" s="123">
        <v>0</v>
      </c>
      <c r="O76" s="123">
        <v>0</v>
      </c>
      <c r="P76" s="123">
        <v>0</v>
      </c>
      <c r="Q76" s="123">
        <v>0</v>
      </c>
      <c r="R76" s="123">
        <v>0</v>
      </c>
      <c r="S76" s="123">
        <v>0</v>
      </c>
      <c r="T76" s="138">
        <v>0</v>
      </c>
      <c r="U76" s="117">
        <v>0</v>
      </c>
      <c r="V76" s="117">
        <v>0</v>
      </c>
      <c r="W76" s="117">
        <v>0</v>
      </c>
      <c r="X76" s="117">
        <v>0</v>
      </c>
      <c r="Y76" s="117">
        <v>0</v>
      </c>
      <c r="Z76" s="117">
        <v>0</v>
      </c>
      <c r="AA76" s="117">
        <v>0</v>
      </c>
      <c r="AB76" s="117">
        <v>0</v>
      </c>
      <c r="AC76" s="117">
        <v>0</v>
      </c>
      <c r="AD76" s="117">
        <v>0</v>
      </c>
      <c r="AE76" s="117">
        <v>0</v>
      </c>
      <c r="AF76" s="117">
        <v>0</v>
      </c>
      <c r="AG76" s="117">
        <v>0</v>
      </c>
      <c r="AH76" s="117">
        <v>0</v>
      </c>
      <c r="AI76" s="117">
        <v>0</v>
      </c>
      <c r="AJ76" s="123">
        <v>0</v>
      </c>
      <c r="AK76" s="123">
        <v>0</v>
      </c>
      <c r="AL76" s="123">
        <v>0</v>
      </c>
      <c r="AM76" s="117">
        <v>0</v>
      </c>
      <c r="AN76" s="117">
        <v>0</v>
      </c>
      <c r="AO76" s="117">
        <v>0</v>
      </c>
      <c r="AP76" s="123">
        <v>0</v>
      </c>
      <c r="AQ76" s="104"/>
      <c r="AR76" s="104"/>
      <c r="AS76" s="348"/>
      <c r="AT76" s="430"/>
      <c r="AU76" s="121"/>
      <c r="AV76" s="121"/>
      <c r="AW76" s="155"/>
    </row>
    <row r="77" spans="1:49" s="31" customFormat="1" ht="12.75">
      <c r="A77" s="328" t="s">
        <v>399</v>
      </c>
      <c r="B77" s="331" t="s">
        <v>295</v>
      </c>
      <c r="C77" s="334" t="s">
        <v>401</v>
      </c>
      <c r="D77" s="337" t="s">
        <v>402</v>
      </c>
      <c r="E77" s="107" t="s">
        <v>42</v>
      </c>
      <c r="F77" s="123">
        <f>SUM(F78:F80)</f>
        <v>8560.9</v>
      </c>
      <c r="G77" s="123">
        <f t="shared" ref="G77" si="86">SUM(G78:G80)</f>
        <v>17.8</v>
      </c>
      <c r="H77" s="123">
        <f>G77/F77*100</f>
        <v>0.20792206426894369</v>
      </c>
      <c r="I77" s="132">
        <f t="shared" ref="I77:AP77" si="87">I78+I79+I80</f>
        <v>0</v>
      </c>
      <c r="J77" s="132">
        <f t="shared" si="87"/>
        <v>0</v>
      </c>
      <c r="K77" s="123">
        <v>0</v>
      </c>
      <c r="L77" s="132">
        <f t="shared" si="87"/>
        <v>16</v>
      </c>
      <c r="M77" s="132">
        <f t="shared" si="87"/>
        <v>15.6</v>
      </c>
      <c r="N77" s="132">
        <f>M77/L77*100</f>
        <v>97.5</v>
      </c>
      <c r="O77" s="132">
        <f t="shared" si="87"/>
        <v>103.90000000000009</v>
      </c>
      <c r="P77" s="132">
        <f t="shared" si="87"/>
        <v>2.2000000000000002</v>
      </c>
      <c r="Q77" s="123">
        <f t="shared" si="69"/>
        <v>2.1174205967276212</v>
      </c>
      <c r="R77" s="132">
        <f t="shared" si="87"/>
        <v>4277.3999999999996</v>
      </c>
      <c r="S77" s="132">
        <f t="shared" si="87"/>
        <v>0</v>
      </c>
      <c r="T77" s="132">
        <f t="shared" si="77"/>
        <v>0</v>
      </c>
      <c r="U77" s="132">
        <f t="shared" si="87"/>
        <v>1239.2</v>
      </c>
      <c r="V77" s="132">
        <f t="shared" si="87"/>
        <v>0</v>
      </c>
      <c r="W77" s="138">
        <f t="shared" ref="W77" si="88">V77/U77*100</f>
        <v>0</v>
      </c>
      <c r="X77" s="132">
        <f t="shared" si="87"/>
        <v>1227.2</v>
      </c>
      <c r="Y77" s="132">
        <f t="shared" si="87"/>
        <v>0</v>
      </c>
      <c r="Z77" s="132">
        <f t="shared" si="87"/>
        <v>0</v>
      </c>
      <c r="AA77" s="132">
        <f t="shared" si="87"/>
        <v>1014.2</v>
      </c>
      <c r="AB77" s="132">
        <f t="shared" si="87"/>
        <v>0</v>
      </c>
      <c r="AC77" s="117">
        <f>AB77/AA77*100</f>
        <v>0</v>
      </c>
      <c r="AD77" s="132">
        <f t="shared" si="87"/>
        <v>89.2</v>
      </c>
      <c r="AE77" s="132">
        <f t="shared" si="87"/>
        <v>0</v>
      </c>
      <c r="AF77" s="104">
        <f t="shared" ref="AF77" si="89">AE77/AD77*100</f>
        <v>0</v>
      </c>
      <c r="AG77" s="132">
        <f t="shared" si="87"/>
        <v>139.19999999999999</v>
      </c>
      <c r="AH77" s="132">
        <f t="shared" si="87"/>
        <v>0</v>
      </c>
      <c r="AI77" s="104">
        <f t="shared" ref="AI77" si="90">AH77/AG77*100</f>
        <v>0</v>
      </c>
      <c r="AJ77" s="132">
        <f t="shared" si="87"/>
        <v>101.2</v>
      </c>
      <c r="AK77" s="132">
        <f t="shared" si="87"/>
        <v>0</v>
      </c>
      <c r="AL77" s="132">
        <f t="shared" si="87"/>
        <v>0</v>
      </c>
      <c r="AM77" s="132">
        <f t="shared" si="87"/>
        <v>104.2</v>
      </c>
      <c r="AN77" s="132">
        <f t="shared" si="87"/>
        <v>0</v>
      </c>
      <c r="AO77" s="132">
        <f t="shared" si="87"/>
        <v>0</v>
      </c>
      <c r="AP77" s="132">
        <f t="shared" si="87"/>
        <v>249.20000000000002</v>
      </c>
      <c r="AQ77" s="104"/>
      <c r="AR77" s="104"/>
      <c r="AS77" s="340" t="s">
        <v>427</v>
      </c>
      <c r="AT77" s="425" t="s">
        <v>426</v>
      </c>
      <c r="AU77" s="121"/>
      <c r="AV77" s="121"/>
      <c r="AW77" s="155"/>
    </row>
    <row r="78" spans="1:49" s="31" customFormat="1" ht="36">
      <c r="A78" s="329"/>
      <c r="B78" s="332"/>
      <c r="C78" s="335"/>
      <c r="D78" s="338"/>
      <c r="E78" s="108" t="s">
        <v>3</v>
      </c>
      <c r="F78" s="123">
        <f>I78+L78+O78+R78+U78+X78+AA78+AD78+AG78+AJ78+AM78+AP78</f>
        <v>0</v>
      </c>
      <c r="G78" s="123">
        <f>J78+M78+P78+S78+V78+Y78+AB78+AE78+AH78+AK78+AN78+AQ78</f>
        <v>0</v>
      </c>
      <c r="H78" s="123">
        <v>0</v>
      </c>
      <c r="I78" s="123">
        <v>0</v>
      </c>
      <c r="J78" s="123">
        <v>0</v>
      </c>
      <c r="K78" s="123">
        <v>0</v>
      </c>
      <c r="L78" s="150">
        <v>0</v>
      </c>
      <c r="M78" s="123">
        <v>0</v>
      </c>
      <c r="N78" s="138">
        <v>0</v>
      </c>
      <c r="O78" s="123">
        <v>0</v>
      </c>
      <c r="P78" s="123">
        <v>0</v>
      </c>
      <c r="Q78" s="123">
        <v>0</v>
      </c>
      <c r="R78" s="123">
        <v>0</v>
      </c>
      <c r="S78" s="123">
        <v>0</v>
      </c>
      <c r="T78" s="138">
        <v>0</v>
      </c>
      <c r="U78" s="117">
        <v>0</v>
      </c>
      <c r="V78" s="117">
        <v>0</v>
      </c>
      <c r="W78" s="117">
        <v>0</v>
      </c>
      <c r="X78" s="117">
        <v>0</v>
      </c>
      <c r="Y78" s="117">
        <v>0</v>
      </c>
      <c r="Z78" s="117">
        <v>0</v>
      </c>
      <c r="AA78" s="117">
        <v>0</v>
      </c>
      <c r="AB78" s="117">
        <v>0</v>
      </c>
      <c r="AC78" s="117">
        <v>0</v>
      </c>
      <c r="AD78" s="117">
        <v>0</v>
      </c>
      <c r="AE78" s="117">
        <v>0</v>
      </c>
      <c r="AF78" s="117">
        <v>0</v>
      </c>
      <c r="AG78" s="117">
        <v>0</v>
      </c>
      <c r="AH78" s="117">
        <v>0</v>
      </c>
      <c r="AI78" s="117">
        <v>0</v>
      </c>
      <c r="AJ78" s="123">
        <v>0</v>
      </c>
      <c r="AK78" s="123">
        <v>0</v>
      </c>
      <c r="AL78" s="123">
        <v>0</v>
      </c>
      <c r="AM78" s="117">
        <v>0</v>
      </c>
      <c r="AN78" s="117">
        <v>0</v>
      </c>
      <c r="AO78" s="117">
        <v>0</v>
      </c>
      <c r="AP78" s="123">
        <v>0</v>
      </c>
      <c r="AQ78" s="104"/>
      <c r="AR78" s="104"/>
      <c r="AS78" s="341"/>
      <c r="AT78" s="426"/>
      <c r="AU78" s="121"/>
      <c r="AV78" s="121"/>
      <c r="AW78" s="155"/>
    </row>
    <row r="79" spans="1:49" s="31" customFormat="1" ht="12.75">
      <c r="A79" s="329"/>
      <c r="B79" s="332"/>
      <c r="C79" s="335"/>
      <c r="D79" s="338"/>
      <c r="E79" s="108" t="s">
        <v>44</v>
      </c>
      <c r="F79" s="123">
        <f t="shared" ref="F79:G80" si="91">I79+L79+O79+R79+U79+X79+AA79+AD79+AG79+AJ79+AM79+AP79</f>
        <v>8560.9</v>
      </c>
      <c r="G79" s="123">
        <f t="shared" si="91"/>
        <v>17.8</v>
      </c>
      <c r="H79" s="123">
        <f>G79/F79*100</f>
        <v>0.20792206426894369</v>
      </c>
      <c r="I79" s="123">
        <v>0</v>
      </c>
      <c r="J79" s="123">
        <v>0</v>
      </c>
      <c r="K79" s="123">
        <v>0</v>
      </c>
      <c r="L79" s="150">
        <f>2231.1+45-2276.1+16</f>
        <v>16</v>
      </c>
      <c r="M79" s="123">
        <v>15.6</v>
      </c>
      <c r="N79" s="138">
        <f t="shared" ref="N79" si="92">M79/L79*100</f>
        <v>97.5</v>
      </c>
      <c r="O79" s="123">
        <f>1844+40+50-1734.1-16-80</f>
        <v>103.90000000000009</v>
      </c>
      <c r="P79" s="123">
        <v>2.2000000000000002</v>
      </c>
      <c r="Q79" s="123">
        <f t="shared" si="69"/>
        <v>2.1174205967276212</v>
      </c>
      <c r="R79" s="123">
        <f>229.2+38+4010.2</f>
        <v>4277.3999999999996</v>
      </c>
      <c r="S79" s="123">
        <v>0</v>
      </c>
      <c r="T79" s="138">
        <f t="shared" si="77"/>
        <v>0</v>
      </c>
      <c r="U79" s="117">
        <f>1129.2+30+80</f>
        <v>1239.2</v>
      </c>
      <c r="V79" s="117">
        <v>0</v>
      </c>
      <c r="W79" s="138">
        <f t="shared" ref="W79" si="93">V79/U79*100</f>
        <v>0</v>
      </c>
      <c r="X79" s="117">
        <f>1149.2+28+50</f>
        <v>1227.2</v>
      </c>
      <c r="Y79" s="117">
        <v>0</v>
      </c>
      <c r="Z79" s="117">
        <f>Y79/X79*100</f>
        <v>0</v>
      </c>
      <c r="AA79" s="117">
        <f>994.2+20</f>
        <v>1014.2</v>
      </c>
      <c r="AB79" s="117">
        <v>0</v>
      </c>
      <c r="AC79" s="117">
        <f>AB79/AA79*100</f>
        <v>0</v>
      </c>
      <c r="AD79" s="117">
        <f>69.2+20</f>
        <v>89.2</v>
      </c>
      <c r="AE79" s="117">
        <v>0</v>
      </c>
      <c r="AF79" s="117">
        <f>AE79/AD79*100</f>
        <v>0</v>
      </c>
      <c r="AG79" s="117">
        <f>69.2+20+50</f>
        <v>139.19999999999999</v>
      </c>
      <c r="AH79" s="117">
        <v>0</v>
      </c>
      <c r="AI79" s="104">
        <f t="shared" ref="AI79" si="94">AH79/AG79*100</f>
        <v>0</v>
      </c>
      <c r="AJ79" s="123">
        <f>69.2+32</f>
        <v>101.2</v>
      </c>
      <c r="AK79" s="123">
        <v>0</v>
      </c>
      <c r="AL79" s="123">
        <v>0</v>
      </c>
      <c r="AM79" s="117">
        <f>69.2+35</f>
        <v>104.2</v>
      </c>
      <c r="AN79" s="117">
        <v>0</v>
      </c>
      <c r="AO79" s="117">
        <v>0</v>
      </c>
      <c r="AP79" s="123">
        <f>187.8+61.4+24.7*2-49.4</f>
        <v>249.20000000000002</v>
      </c>
      <c r="AQ79" s="104"/>
      <c r="AR79" s="104"/>
      <c r="AS79" s="341"/>
      <c r="AT79" s="426"/>
      <c r="AU79" s="121"/>
      <c r="AV79" s="121"/>
      <c r="AW79" s="155"/>
    </row>
    <row r="80" spans="1:49" s="31" customFormat="1" ht="9" customHeight="1">
      <c r="A80" s="330"/>
      <c r="B80" s="333"/>
      <c r="C80" s="336"/>
      <c r="D80" s="339"/>
      <c r="E80" s="109" t="s">
        <v>257</v>
      </c>
      <c r="F80" s="123">
        <f t="shared" si="91"/>
        <v>0</v>
      </c>
      <c r="G80" s="123">
        <f t="shared" si="91"/>
        <v>0</v>
      </c>
      <c r="H80" s="123">
        <v>0</v>
      </c>
      <c r="I80" s="123">
        <v>0</v>
      </c>
      <c r="J80" s="123">
        <v>0</v>
      </c>
      <c r="K80" s="123">
        <v>0</v>
      </c>
      <c r="L80" s="150">
        <v>0</v>
      </c>
      <c r="M80" s="123">
        <v>0</v>
      </c>
      <c r="N80" s="123">
        <v>0</v>
      </c>
      <c r="O80" s="123">
        <v>0</v>
      </c>
      <c r="P80" s="123">
        <v>0</v>
      </c>
      <c r="Q80" s="123">
        <v>0</v>
      </c>
      <c r="R80" s="123">
        <v>0</v>
      </c>
      <c r="S80" s="123">
        <v>0</v>
      </c>
      <c r="T80" s="138">
        <v>0</v>
      </c>
      <c r="U80" s="117">
        <v>0</v>
      </c>
      <c r="V80" s="117">
        <v>0</v>
      </c>
      <c r="W80" s="117">
        <v>0</v>
      </c>
      <c r="X80" s="117">
        <v>0</v>
      </c>
      <c r="Y80" s="117">
        <v>0</v>
      </c>
      <c r="Z80" s="117">
        <v>0</v>
      </c>
      <c r="AA80" s="117">
        <v>0</v>
      </c>
      <c r="AB80" s="117">
        <v>0</v>
      </c>
      <c r="AC80" s="117">
        <v>0</v>
      </c>
      <c r="AD80" s="117">
        <v>0</v>
      </c>
      <c r="AE80" s="117">
        <v>0</v>
      </c>
      <c r="AF80" s="117">
        <v>0</v>
      </c>
      <c r="AG80" s="117">
        <v>0</v>
      </c>
      <c r="AH80" s="117">
        <v>0</v>
      </c>
      <c r="AI80" s="117">
        <v>0</v>
      </c>
      <c r="AJ80" s="123">
        <v>0</v>
      </c>
      <c r="AK80" s="123">
        <v>0</v>
      </c>
      <c r="AL80" s="123">
        <v>0</v>
      </c>
      <c r="AM80" s="117">
        <v>0</v>
      </c>
      <c r="AN80" s="117">
        <v>0</v>
      </c>
      <c r="AO80" s="117">
        <v>0</v>
      </c>
      <c r="AP80" s="123">
        <v>0</v>
      </c>
      <c r="AQ80" s="104"/>
      <c r="AR80" s="104"/>
      <c r="AS80" s="342"/>
      <c r="AT80" s="427"/>
      <c r="AU80" s="121"/>
      <c r="AV80" s="121"/>
      <c r="AW80" s="155"/>
    </row>
    <row r="81" spans="1:48" s="100" customFormat="1" ht="12.75">
      <c r="A81" s="310" t="s">
        <v>256</v>
      </c>
      <c r="B81" s="311"/>
      <c r="C81" s="311"/>
      <c r="D81" s="312"/>
      <c r="E81" s="110" t="s">
        <v>42</v>
      </c>
      <c r="F81" s="106">
        <f>F82+F83+F84</f>
        <v>433567.59999999992</v>
      </c>
      <c r="G81" s="106">
        <f t="shared" ref="G81:AP81" si="95">G82+G83+G84</f>
        <v>87573.099999999977</v>
      </c>
      <c r="H81" s="106">
        <f>G81/F81*100</f>
        <v>20.198257434365484</v>
      </c>
      <c r="I81" s="106">
        <f t="shared" si="95"/>
        <v>13742.399999999998</v>
      </c>
      <c r="J81" s="106">
        <f t="shared" si="95"/>
        <v>25267</v>
      </c>
      <c r="K81" s="106">
        <f>J81/I81*100</f>
        <v>183.86162533473049</v>
      </c>
      <c r="L81" s="106">
        <f t="shared" si="95"/>
        <v>42724.600000000006</v>
      </c>
      <c r="M81" s="106">
        <f t="shared" si="95"/>
        <v>33691.599999999999</v>
      </c>
      <c r="N81" s="106">
        <f>M81/L81*100</f>
        <v>78.857613646470639</v>
      </c>
      <c r="O81" s="106">
        <f t="shared" si="95"/>
        <v>36856.100000000006</v>
      </c>
      <c r="P81" s="106">
        <f t="shared" si="95"/>
        <v>28614.499999999996</v>
      </c>
      <c r="Q81" s="106">
        <f>P81/O81*100</f>
        <v>77.638437056552362</v>
      </c>
      <c r="R81" s="106">
        <f t="shared" si="95"/>
        <v>47106.6</v>
      </c>
      <c r="S81" s="106">
        <f t="shared" si="95"/>
        <v>0</v>
      </c>
      <c r="T81" s="106">
        <f>S81/R81*100</f>
        <v>0</v>
      </c>
      <c r="U81" s="106">
        <f t="shared" si="95"/>
        <v>35582.399999999994</v>
      </c>
      <c r="V81" s="106">
        <f t="shared" si="95"/>
        <v>0</v>
      </c>
      <c r="W81" s="106">
        <f t="shared" si="95"/>
        <v>0</v>
      </c>
      <c r="X81" s="106">
        <f t="shared" si="95"/>
        <v>41537.69999999999</v>
      </c>
      <c r="Y81" s="106">
        <f t="shared" si="95"/>
        <v>0</v>
      </c>
      <c r="Z81" s="106" t="e">
        <f t="shared" si="95"/>
        <v>#REF!</v>
      </c>
      <c r="AA81" s="106">
        <f t="shared" si="95"/>
        <v>50658.1</v>
      </c>
      <c r="AB81" s="106">
        <f t="shared" si="95"/>
        <v>0</v>
      </c>
      <c r="AC81" s="106" t="e">
        <f t="shared" si="95"/>
        <v>#REF!</v>
      </c>
      <c r="AD81" s="106">
        <f t="shared" si="95"/>
        <v>36590</v>
      </c>
      <c r="AE81" s="106">
        <f t="shared" si="95"/>
        <v>0</v>
      </c>
      <c r="AF81" s="103">
        <f t="shared" ref="AF81:AF84" si="96">AE81/AD81*100</f>
        <v>0</v>
      </c>
      <c r="AG81" s="106">
        <f t="shared" si="95"/>
        <v>27715.699999999997</v>
      </c>
      <c r="AH81" s="106">
        <f t="shared" si="95"/>
        <v>0</v>
      </c>
      <c r="AI81" s="106" t="e">
        <f t="shared" si="95"/>
        <v>#REF!</v>
      </c>
      <c r="AJ81" s="106">
        <f t="shared" si="95"/>
        <v>24977.5</v>
      </c>
      <c r="AK81" s="106">
        <f t="shared" si="95"/>
        <v>0</v>
      </c>
      <c r="AL81" s="106" t="e">
        <f t="shared" si="95"/>
        <v>#REF!</v>
      </c>
      <c r="AM81" s="106">
        <f t="shared" si="95"/>
        <v>25612.799999999996</v>
      </c>
      <c r="AN81" s="106">
        <f t="shared" si="95"/>
        <v>0</v>
      </c>
      <c r="AO81" s="106" t="e">
        <f t="shared" si="95"/>
        <v>#REF!</v>
      </c>
      <c r="AP81" s="106">
        <f t="shared" si="95"/>
        <v>50463.7</v>
      </c>
      <c r="AQ81" s="103">
        <f t="shared" ref="AQ81:AR81" si="97">SUM(AQ82:AQ84)</f>
        <v>0</v>
      </c>
      <c r="AR81" s="103" t="e">
        <f t="shared" si="97"/>
        <v>#REF!</v>
      </c>
      <c r="AS81" s="319"/>
      <c r="AT81" s="322"/>
      <c r="AU81" s="121"/>
      <c r="AV81" s="127"/>
    </row>
    <row r="82" spans="1:48" s="100" customFormat="1" ht="36">
      <c r="A82" s="313"/>
      <c r="B82" s="314"/>
      <c r="C82" s="314"/>
      <c r="D82" s="315"/>
      <c r="E82" s="111" t="s">
        <v>3</v>
      </c>
      <c r="F82" s="106">
        <f t="shared" ref="F82:G84" si="98">F10+F34+F49+F63</f>
        <v>125134.89999999997</v>
      </c>
      <c r="G82" s="106">
        <f t="shared" si="98"/>
        <v>17974.2</v>
      </c>
      <c r="H82" s="106">
        <f>G82/F82*100</f>
        <v>14.363858523881031</v>
      </c>
      <c r="I82" s="106">
        <f t="shared" ref="I82:J84" si="99">I10+I34+I49+I63</f>
        <v>849.99999999999989</v>
      </c>
      <c r="J82" s="106">
        <f t="shared" si="99"/>
        <v>826.6</v>
      </c>
      <c r="K82" s="106">
        <f t="shared" ref="K82:K84" si="100">J82/I82*100</f>
        <v>97.247058823529429</v>
      </c>
      <c r="L82" s="106">
        <f t="shared" ref="L82:M84" si="101">L10+L34+L49+L63</f>
        <v>8876.4</v>
      </c>
      <c r="M82" s="106">
        <f t="shared" si="101"/>
        <v>8651.2000000000007</v>
      </c>
      <c r="N82" s="106">
        <f t="shared" ref="N82:N84" si="102">M82/L82*100</f>
        <v>97.462935424271109</v>
      </c>
      <c r="O82" s="106">
        <f t="shared" ref="O82:P84" si="103">O10+O34+O49+O63</f>
        <v>8999.7999999999993</v>
      </c>
      <c r="P82" s="106">
        <f t="shared" si="103"/>
        <v>8496.4</v>
      </c>
      <c r="Q82" s="106">
        <f t="shared" ref="Q82:Q84" si="104">P82/O82*100</f>
        <v>94.406542367608168</v>
      </c>
      <c r="R82" s="106">
        <f t="shared" ref="R82:S84" si="105">R10+R34+R49+R63</f>
        <v>10160.799999999999</v>
      </c>
      <c r="S82" s="106">
        <f t="shared" si="105"/>
        <v>0</v>
      </c>
      <c r="T82" s="106">
        <f t="shared" ref="T82:T84" si="106">S82/R82*100</f>
        <v>0</v>
      </c>
      <c r="U82" s="106">
        <f t="shared" ref="U82:AE84" si="107">U10+U34+U49+U63</f>
        <v>8653.3999999999978</v>
      </c>
      <c r="V82" s="106">
        <f t="shared" si="107"/>
        <v>0</v>
      </c>
      <c r="W82" s="106">
        <f t="shared" si="107"/>
        <v>0</v>
      </c>
      <c r="X82" s="106">
        <f t="shared" si="107"/>
        <v>10366.799999999999</v>
      </c>
      <c r="Y82" s="106">
        <f t="shared" si="107"/>
        <v>0</v>
      </c>
      <c r="Z82" s="106" t="e">
        <f t="shared" si="107"/>
        <v>#REF!</v>
      </c>
      <c r="AA82" s="106">
        <f t="shared" si="107"/>
        <v>11679.3</v>
      </c>
      <c r="AB82" s="106">
        <f t="shared" si="107"/>
        <v>0</v>
      </c>
      <c r="AC82" s="106" t="e">
        <f t="shared" si="107"/>
        <v>#REF!</v>
      </c>
      <c r="AD82" s="106">
        <f t="shared" si="107"/>
        <v>11285.099999999999</v>
      </c>
      <c r="AE82" s="106">
        <f t="shared" si="107"/>
        <v>0</v>
      </c>
      <c r="AF82" s="103">
        <f t="shared" si="96"/>
        <v>0</v>
      </c>
      <c r="AG82" s="106">
        <f t="shared" ref="AG82:AR84" si="108">AG10+AG34+AG49+AG63</f>
        <v>9471.7000000000007</v>
      </c>
      <c r="AH82" s="106">
        <f t="shared" si="108"/>
        <v>0</v>
      </c>
      <c r="AI82" s="106" t="e">
        <f t="shared" si="108"/>
        <v>#REF!</v>
      </c>
      <c r="AJ82" s="106">
        <f t="shared" si="108"/>
        <v>9999.1999999999989</v>
      </c>
      <c r="AK82" s="106">
        <f t="shared" si="108"/>
        <v>0</v>
      </c>
      <c r="AL82" s="106" t="e">
        <f t="shared" si="108"/>
        <v>#REF!</v>
      </c>
      <c r="AM82" s="106">
        <f t="shared" si="108"/>
        <v>8893.0999999999985</v>
      </c>
      <c r="AN82" s="106">
        <f t="shared" si="108"/>
        <v>0</v>
      </c>
      <c r="AO82" s="106" t="e">
        <f t="shared" si="108"/>
        <v>#REF!</v>
      </c>
      <c r="AP82" s="106">
        <f t="shared" si="108"/>
        <v>25899.299999999996</v>
      </c>
      <c r="AQ82" s="106">
        <f t="shared" si="108"/>
        <v>0</v>
      </c>
      <c r="AR82" s="106" t="e">
        <f t="shared" si="108"/>
        <v>#REF!</v>
      </c>
      <c r="AS82" s="320"/>
      <c r="AT82" s="323"/>
      <c r="AU82" s="121"/>
      <c r="AV82" s="127"/>
    </row>
    <row r="83" spans="1:48" s="100" customFormat="1" ht="24">
      <c r="A83" s="313"/>
      <c r="B83" s="314"/>
      <c r="C83" s="314"/>
      <c r="D83" s="315"/>
      <c r="E83" s="111" t="s">
        <v>44</v>
      </c>
      <c r="F83" s="106">
        <f t="shared" si="98"/>
        <v>302600.59999999998</v>
      </c>
      <c r="G83" s="106">
        <f t="shared" si="98"/>
        <v>68792.999999999985</v>
      </c>
      <c r="H83" s="106">
        <f>G83/F83*100</f>
        <v>22.733927163396235</v>
      </c>
      <c r="I83" s="106">
        <f t="shared" si="99"/>
        <v>12630.599999999999</v>
      </c>
      <c r="J83" s="106">
        <f t="shared" si="99"/>
        <v>24440.400000000001</v>
      </c>
      <c r="K83" s="106">
        <f t="shared" si="100"/>
        <v>193.50149636596839</v>
      </c>
      <c r="L83" s="106">
        <f t="shared" si="101"/>
        <v>33511.700000000004</v>
      </c>
      <c r="M83" s="106">
        <f t="shared" si="101"/>
        <v>24818.800000000003</v>
      </c>
      <c r="N83" s="106">
        <f t="shared" si="102"/>
        <v>74.060104381454835</v>
      </c>
      <c r="O83" s="106">
        <f t="shared" si="103"/>
        <v>27130</v>
      </c>
      <c r="P83" s="106">
        <f t="shared" si="103"/>
        <v>19533.8</v>
      </c>
      <c r="Q83" s="106">
        <f t="shared" si="104"/>
        <v>72.000737191301141</v>
      </c>
      <c r="R83" s="106">
        <f t="shared" si="105"/>
        <v>36205.199999999997</v>
      </c>
      <c r="S83" s="106">
        <f t="shared" si="105"/>
        <v>0</v>
      </c>
      <c r="T83" s="106">
        <f t="shared" si="106"/>
        <v>0</v>
      </c>
      <c r="U83" s="106">
        <f t="shared" si="107"/>
        <v>26449.299999999996</v>
      </c>
      <c r="V83" s="106">
        <f t="shared" si="107"/>
        <v>0</v>
      </c>
      <c r="W83" s="106">
        <f t="shared" si="107"/>
        <v>0</v>
      </c>
      <c r="X83" s="106">
        <f t="shared" si="107"/>
        <v>30719.199999999993</v>
      </c>
      <c r="Y83" s="106">
        <f t="shared" si="107"/>
        <v>0</v>
      </c>
      <c r="Z83" s="106" t="e">
        <f t="shared" si="107"/>
        <v>#REF!</v>
      </c>
      <c r="AA83" s="106">
        <f t="shared" si="107"/>
        <v>38309.699999999997</v>
      </c>
      <c r="AB83" s="106">
        <f t="shared" si="107"/>
        <v>0</v>
      </c>
      <c r="AC83" s="106" t="e">
        <f t="shared" si="107"/>
        <v>#REF!</v>
      </c>
      <c r="AD83" s="106">
        <f t="shared" si="107"/>
        <v>24785.899999999998</v>
      </c>
      <c r="AE83" s="106">
        <f t="shared" si="107"/>
        <v>0</v>
      </c>
      <c r="AF83" s="106">
        <f t="shared" si="96"/>
        <v>0</v>
      </c>
      <c r="AG83" s="106">
        <f t="shared" si="108"/>
        <v>17942.399999999998</v>
      </c>
      <c r="AH83" s="106">
        <f t="shared" si="108"/>
        <v>0</v>
      </c>
      <c r="AI83" s="106" t="e">
        <f t="shared" si="108"/>
        <v>#REF!</v>
      </c>
      <c r="AJ83" s="106">
        <f t="shared" si="108"/>
        <v>14413.7</v>
      </c>
      <c r="AK83" s="106">
        <f t="shared" si="108"/>
        <v>0</v>
      </c>
      <c r="AL83" s="106" t="e">
        <f t="shared" si="108"/>
        <v>#REF!</v>
      </c>
      <c r="AM83" s="106">
        <f t="shared" si="108"/>
        <v>16193.299999999997</v>
      </c>
      <c r="AN83" s="106">
        <f t="shared" si="108"/>
        <v>0</v>
      </c>
      <c r="AO83" s="106" t="e">
        <f t="shared" si="108"/>
        <v>#REF!</v>
      </c>
      <c r="AP83" s="106">
        <f t="shared" si="108"/>
        <v>24309.599999999995</v>
      </c>
      <c r="AQ83" s="106">
        <f t="shared" si="108"/>
        <v>0</v>
      </c>
      <c r="AR83" s="106" t="e">
        <f t="shared" si="108"/>
        <v>#REF!</v>
      </c>
      <c r="AS83" s="320"/>
      <c r="AT83" s="323"/>
      <c r="AU83" s="121"/>
      <c r="AV83" s="127"/>
    </row>
    <row r="84" spans="1:48" s="100" customFormat="1" ht="24">
      <c r="A84" s="316"/>
      <c r="B84" s="317"/>
      <c r="C84" s="317"/>
      <c r="D84" s="318"/>
      <c r="E84" s="110" t="s">
        <v>257</v>
      </c>
      <c r="F84" s="106">
        <f t="shared" si="98"/>
        <v>5832.0999999999995</v>
      </c>
      <c r="G84" s="106">
        <f t="shared" si="98"/>
        <v>805.9</v>
      </c>
      <c r="H84" s="106">
        <f>G84/F84*100</f>
        <v>13.818350165463556</v>
      </c>
      <c r="I84" s="106">
        <f t="shared" si="99"/>
        <v>261.8</v>
      </c>
      <c r="J84" s="106">
        <f t="shared" si="99"/>
        <v>0</v>
      </c>
      <c r="K84" s="106">
        <f t="shared" si="100"/>
        <v>0</v>
      </c>
      <c r="L84" s="106">
        <f t="shared" si="101"/>
        <v>336.5</v>
      </c>
      <c r="M84" s="106">
        <f t="shared" si="101"/>
        <v>221.6</v>
      </c>
      <c r="N84" s="106">
        <f t="shared" si="102"/>
        <v>65.854383358098062</v>
      </c>
      <c r="O84" s="106">
        <f t="shared" si="103"/>
        <v>726.3</v>
      </c>
      <c r="P84" s="106">
        <f t="shared" si="103"/>
        <v>584.29999999999995</v>
      </c>
      <c r="Q84" s="106">
        <f t="shared" si="104"/>
        <v>80.448850337326178</v>
      </c>
      <c r="R84" s="106">
        <f t="shared" si="105"/>
        <v>740.6</v>
      </c>
      <c r="S84" s="106">
        <f t="shared" si="105"/>
        <v>0</v>
      </c>
      <c r="T84" s="106">
        <f t="shared" si="106"/>
        <v>0</v>
      </c>
      <c r="U84" s="106">
        <f t="shared" si="107"/>
        <v>479.7</v>
      </c>
      <c r="V84" s="106">
        <f t="shared" si="107"/>
        <v>0</v>
      </c>
      <c r="W84" s="106">
        <f t="shared" si="107"/>
        <v>0</v>
      </c>
      <c r="X84" s="106">
        <f t="shared" si="107"/>
        <v>451.70000000000005</v>
      </c>
      <c r="Y84" s="106">
        <f t="shared" si="107"/>
        <v>0</v>
      </c>
      <c r="Z84" s="106" t="e">
        <f t="shared" si="107"/>
        <v>#REF!</v>
      </c>
      <c r="AA84" s="106">
        <f t="shared" si="107"/>
        <v>669.1</v>
      </c>
      <c r="AB84" s="106">
        <f t="shared" si="107"/>
        <v>0</v>
      </c>
      <c r="AC84" s="106" t="e">
        <f t="shared" si="107"/>
        <v>#REF!</v>
      </c>
      <c r="AD84" s="106">
        <f t="shared" si="107"/>
        <v>519</v>
      </c>
      <c r="AE84" s="106">
        <f t="shared" si="107"/>
        <v>0</v>
      </c>
      <c r="AF84" s="106">
        <f t="shared" si="96"/>
        <v>0</v>
      </c>
      <c r="AG84" s="106">
        <f t="shared" si="108"/>
        <v>301.60000000000002</v>
      </c>
      <c r="AH84" s="106">
        <f t="shared" si="108"/>
        <v>0</v>
      </c>
      <c r="AI84" s="106" t="e">
        <f t="shared" si="108"/>
        <v>#REF!</v>
      </c>
      <c r="AJ84" s="106">
        <f t="shared" si="108"/>
        <v>564.6</v>
      </c>
      <c r="AK84" s="106">
        <f t="shared" si="108"/>
        <v>0</v>
      </c>
      <c r="AL84" s="106" t="e">
        <f t="shared" si="108"/>
        <v>#REF!</v>
      </c>
      <c r="AM84" s="106">
        <f t="shared" si="108"/>
        <v>526.4</v>
      </c>
      <c r="AN84" s="106">
        <f t="shared" si="108"/>
        <v>0</v>
      </c>
      <c r="AO84" s="106" t="e">
        <f t="shared" si="108"/>
        <v>#REF!</v>
      </c>
      <c r="AP84" s="106">
        <f t="shared" si="108"/>
        <v>254.8</v>
      </c>
      <c r="AQ84" s="106">
        <f t="shared" si="108"/>
        <v>0</v>
      </c>
      <c r="AR84" s="106" t="e">
        <f t="shared" si="108"/>
        <v>#REF!</v>
      </c>
      <c r="AS84" s="321"/>
      <c r="AT84" s="324"/>
      <c r="AU84" s="121"/>
      <c r="AV84" s="127"/>
    </row>
    <row r="85" spans="1:48" s="31" customFormat="1" ht="12.75">
      <c r="A85" s="32"/>
      <c r="B85" s="151"/>
      <c r="C85" s="151"/>
      <c r="D85" s="151"/>
      <c r="E85" s="29"/>
      <c r="F85" s="101"/>
      <c r="G85" s="101"/>
      <c r="H85" s="41"/>
      <c r="I85" s="151"/>
      <c r="J85" s="151"/>
      <c r="K85" s="151"/>
      <c r="L85" s="151"/>
      <c r="M85" s="151"/>
      <c r="N85" s="151"/>
      <c r="O85" s="151"/>
      <c r="P85" s="151"/>
      <c r="Q85" s="151"/>
      <c r="R85" s="151"/>
      <c r="S85" s="151"/>
      <c r="T85" s="151"/>
      <c r="U85" s="99"/>
      <c r="V85" s="99"/>
      <c r="W85" s="99"/>
      <c r="X85" s="99"/>
      <c r="Y85" s="99"/>
      <c r="Z85" s="99"/>
      <c r="AA85" s="99"/>
      <c r="AB85" s="99"/>
      <c r="AC85" s="99"/>
      <c r="AD85" s="99"/>
      <c r="AE85" s="99"/>
      <c r="AF85" s="99"/>
      <c r="AG85" s="99"/>
      <c r="AH85" s="99"/>
      <c r="AI85" s="99"/>
      <c r="AJ85" s="151"/>
      <c r="AK85" s="151"/>
      <c r="AL85" s="151"/>
      <c r="AM85" s="99"/>
      <c r="AN85" s="99"/>
      <c r="AO85" s="99"/>
      <c r="AS85" s="131"/>
    </row>
    <row r="86" spans="1:48" s="31" customFormat="1">
      <c r="A86" s="32"/>
      <c r="B86" s="325"/>
      <c r="C86" s="325"/>
      <c r="D86" s="325"/>
      <c r="E86" s="326"/>
      <c r="F86" s="327"/>
      <c r="G86" s="142"/>
      <c r="H86" s="41"/>
      <c r="I86" s="41">
        <f>I81+L81+O81</f>
        <v>93323.1</v>
      </c>
      <c r="J86" s="41">
        <f>R81+U81+X81</f>
        <v>124226.69999999998</v>
      </c>
      <c r="K86" s="41">
        <f>AA81+AD81+AG81</f>
        <v>114963.8</v>
      </c>
      <c r="L86" s="41">
        <f>AJ81+AM81+AP81</f>
        <v>101054</v>
      </c>
      <c r="M86" s="151"/>
      <c r="N86" s="151"/>
      <c r="O86" s="151"/>
      <c r="P86" s="151"/>
      <c r="Q86" s="151"/>
      <c r="R86" s="151"/>
      <c r="S86" s="151"/>
      <c r="T86" s="151"/>
      <c r="U86" s="99"/>
      <c r="V86" s="99"/>
      <c r="W86" s="99"/>
      <c r="X86" s="99"/>
      <c r="Y86" s="99"/>
      <c r="Z86" s="99"/>
      <c r="AA86" s="99"/>
      <c r="AB86" s="99"/>
      <c r="AC86" s="99"/>
      <c r="AD86" s="99"/>
      <c r="AE86" s="99"/>
      <c r="AF86" s="99"/>
      <c r="AG86" s="99"/>
      <c r="AH86" s="99"/>
      <c r="AI86" s="99"/>
      <c r="AJ86" s="151"/>
      <c r="AK86" s="151"/>
      <c r="AL86" s="151"/>
      <c r="AM86" s="99"/>
      <c r="AN86" s="99"/>
      <c r="AO86" s="99"/>
      <c r="AS86" s="131"/>
    </row>
    <row r="87" spans="1:48" s="31" customFormat="1" ht="12.75">
      <c r="A87" s="32"/>
      <c r="E87" s="119"/>
      <c r="F87" s="120"/>
      <c r="G87" s="120"/>
      <c r="H87" s="121"/>
      <c r="P87" s="151"/>
      <c r="Q87" s="151"/>
      <c r="R87" s="151"/>
      <c r="S87" s="151"/>
      <c r="T87" s="151"/>
      <c r="U87" s="99"/>
      <c r="V87" s="99"/>
      <c r="W87" s="99"/>
      <c r="X87" s="99"/>
      <c r="Y87" s="99"/>
      <c r="Z87" s="99"/>
      <c r="AA87" s="99"/>
      <c r="AB87" s="99"/>
      <c r="AC87" s="99"/>
      <c r="AD87" s="99"/>
      <c r="AE87" s="99"/>
      <c r="AF87" s="99"/>
      <c r="AG87" s="99"/>
      <c r="AH87" s="99"/>
      <c r="AI87" s="99"/>
      <c r="AJ87" s="151"/>
      <c r="AK87" s="151"/>
      <c r="AL87" s="151"/>
      <c r="AM87" s="99"/>
      <c r="AN87" s="99"/>
      <c r="AO87" s="99"/>
      <c r="AS87" s="131"/>
    </row>
    <row r="88" spans="1:48" s="31" customFormat="1" ht="12.75">
      <c r="A88" s="309" t="s">
        <v>282</v>
      </c>
      <c r="B88" s="309"/>
      <c r="C88" s="309"/>
      <c r="D88" s="151"/>
      <c r="E88" s="29"/>
      <c r="F88" s="101"/>
      <c r="G88" s="101"/>
      <c r="H88" s="41"/>
      <c r="I88" s="151"/>
      <c r="J88" s="146" t="s">
        <v>284</v>
      </c>
      <c r="K88" s="151"/>
      <c r="L88" s="151"/>
      <c r="M88" s="151"/>
      <c r="N88" s="151"/>
      <c r="O88" s="151"/>
      <c r="P88" s="151"/>
      <c r="Q88" s="151"/>
      <c r="R88" s="151"/>
      <c r="S88" s="151"/>
      <c r="T88" s="151"/>
      <c r="U88" s="99"/>
      <c r="V88" s="99"/>
      <c r="W88" s="99"/>
      <c r="X88" s="99"/>
      <c r="Y88" s="99"/>
      <c r="Z88" s="99"/>
      <c r="AA88" s="99"/>
      <c r="AB88" s="99"/>
      <c r="AC88" s="99"/>
      <c r="AD88" s="99"/>
      <c r="AE88" s="99"/>
      <c r="AF88" s="99"/>
      <c r="AG88" s="99"/>
      <c r="AH88" s="99"/>
      <c r="AI88" s="99"/>
      <c r="AJ88" s="151"/>
      <c r="AK88" s="151"/>
      <c r="AL88" s="151"/>
      <c r="AM88" s="99"/>
      <c r="AN88" s="99"/>
      <c r="AO88" s="99"/>
      <c r="AS88" s="131"/>
    </row>
    <row r="89" spans="1:48" s="31" customFormat="1" ht="12.75">
      <c r="A89" s="309" t="s">
        <v>283</v>
      </c>
      <c r="B89" s="309"/>
      <c r="C89" s="309"/>
      <c r="D89" s="309"/>
      <c r="E89" s="309"/>
      <c r="F89" s="309"/>
      <c r="G89" s="101"/>
      <c r="H89" s="41"/>
      <c r="I89" s="151"/>
      <c r="J89" s="146" t="s">
        <v>285</v>
      </c>
      <c r="K89" s="151"/>
      <c r="L89" s="151"/>
      <c r="M89" s="151"/>
      <c r="N89" s="151"/>
      <c r="O89" s="151"/>
      <c r="P89" s="151"/>
      <c r="Q89" s="151"/>
      <c r="R89" s="151"/>
      <c r="S89" s="151"/>
      <c r="T89" s="151"/>
      <c r="U89" s="99"/>
      <c r="V89" s="99"/>
      <c r="W89" s="99"/>
      <c r="X89" s="99"/>
      <c r="Y89" s="99"/>
      <c r="Z89" s="99"/>
      <c r="AA89" s="99"/>
      <c r="AB89" s="99"/>
      <c r="AC89" s="99"/>
      <c r="AD89" s="99"/>
      <c r="AE89" s="99"/>
      <c r="AF89" s="99"/>
      <c r="AG89" s="99"/>
      <c r="AH89" s="99"/>
      <c r="AI89" s="99"/>
      <c r="AJ89" s="151"/>
      <c r="AK89" s="151"/>
      <c r="AL89" s="151"/>
      <c r="AM89" s="99"/>
      <c r="AN89" s="99"/>
      <c r="AO89" s="99"/>
      <c r="AS89" s="131"/>
    </row>
    <row r="90" spans="1:48" s="31" customFormat="1" ht="12.75">
      <c r="A90" s="309"/>
      <c r="B90" s="309"/>
      <c r="C90" s="309"/>
      <c r="D90" s="309"/>
      <c r="E90" s="151"/>
      <c r="F90" s="101"/>
      <c r="G90" s="101"/>
      <c r="H90" s="41"/>
      <c r="I90" s="151"/>
      <c r="J90" s="146" t="s">
        <v>286</v>
      </c>
      <c r="K90" s="151"/>
      <c r="L90" s="115"/>
      <c r="M90" s="151"/>
      <c r="N90" s="151"/>
      <c r="O90" s="151"/>
      <c r="P90" s="151"/>
      <c r="Q90" s="151"/>
      <c r="R90" s="151"/>
      <c r="S90" s="151"/>
      <c r="T90" s="151"/>
      <c r="U90" s="99"/>
      <c r="V90" s="99"/>
      <c r="W90" s="99"/>
      <c r="X90" s="99"/>
      <c r="Y90" s="99"/>
      <c r="Z90" s="99"/>
      <c r="AA90" s="99"/>
      <c r="AB90" s="99"/>
      <c r="AC90" s="99"/>
      <c r="AD90" s="99"/>
      <c r="AE90" s="99"/>
      <c r="AF90" s="99"/>
      <c r="AG90" s="99"/>
      <c r="AH90" s="99"/>
      <c r="AI90" s="99"/>
      <c r="AJ90" s="151"/>
      <c r="AK90" s="151"/>
      <c r="AL90" s="151"/>
      <c r="AM90" s="99"/>
      <c r="AN90" s="99"/>
      <c r="AO90" s="99"/>
      <c r="AS90" s="131"/>
    </row>
    <row r="91" spans="1:48" s="31" customFormat="1" ht="12.75">
      <c r="A91" s="147" t="s">
        <v>288</v>
      </c>
      <c r="B91" s="147"/>
      <c r="C91" s="147"/>
      <c r="D91" s="148"/>
      <c r="E91" s="112" t="s">
        <v>260</v>
      </c>
      <c r="F91" s="113"/>
      <c r="G91" s="113"/>
      <c r="H91" s="114"/>
      <c r="I91" s="115"/>
      <c r="J91" s="146"/>
      <c r="K91" s="115"/>
      <c r="M91" s="115" t="s">
        <v>292</v>
      </c>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6"/>
      <c r="AQ91" s="116"/>
      <c r="AR91" s="116"/>
      <c r="AS91" s="131"/>
    </row>
    <row r="92" spans="1:48">
      <c r="A92" s="309"/>
      <c r="B92" s="309"/>
      <c r="C92" s="309"/>
      <c r="D92" s="309"/>
      <c r="E92" s="131"/>
      <c r="F92" s="131"/>
      <c r="J92" s="146" t="s">
        <v>287</v>
      </c>
      <c r="AS92" s="131"/>
    </row>
    <row r="93" spans="1:48">
      <c r="A93" s="147" t="s">
        <v>289</v>
      </c>
      <c r="B93" s="147"/>
      <c r="C93" s="147"/>
      <c r="D93" s="148"/>
      <c r="E93" s="131" t="s">
        <v>293</v>
      </c>
      <c r="F93" s="131"/>
      <c r="AS93" s="131"/>
    </row>
    <row r="94" spans="1:48">
      <c r="AS94" s="131"/>
    </row>
    <row r="95" spans="1:48">
      <c r="AS95" s="131"/>
    </row>
    <row r="96" spans="1:48">
      <c r="A96" s="309" t="s">
        <v>404</v>
      </c>
      <c r="B96" s="309"/>
      <c r="C96" s="309"/>
      <c r="D96" s="309"/>
      <c r="AS96" s="131"/>
    </row>
    <row r="97" spans="1:45">
      <c r="A97" s="309" t="s">
        <v>291</v>
      </c>
      <c r="B97" s="309"/>
      <c r="C97" s="309"/>
      <c r="AS97" s="131"/>
    </row>
    <row r="98" spans="1:45">
      <c r="AS98" s="131"/>
    </row>
    <row r="99" spans="1:45">
      <c r="AS99" s="131"/>
    </row>
    <row r="100" spans="1:45">
      <c r="AS100" s="131"/>
    </row>
    <row r="101" spans="1:45">
      <c r="AS101" s="131"/>
    </row>
    <row r="102" spans="1:45">
      <c r="AS102" s="131"/>
    </row>
    <row r="103" spans="1:45">
      <c r="AS103" s="131"/>
    </row>
    <row r="104" spans="1:45">
      <c r="AS104" s="131"/>
    </row>
    <row r="105" spans="1:45">
      <c r="AS105" s="131"/>
    </row>
    <row r="106" spans="1:45">
      <c r="AS106" s="131"/>
    </row>
    <row r="107" spans="1:45">
      <c r="AS107" s="131"/>
    </row>
    <row r="108" spans="1:45">
      <c r="AS108" s="131"/>
    </row>
    <row r="109" spans="1:45">
      <c r="AS109" s="131"/>
    </row>
    <row r="110" spans="1:45">
      <c r="AS110" s="131"/>
    </row>
    <row r="111" spans="1:45">
      <c r="AS111" s="131"/>
    </row>
    <row r="112" spans="1:45">
      <c r="AS112" s="131"/>
    </row>
    <row r="113" spans="45:45">
      <c r="AS113" s="131"/>
    </row>
    <row r="114" spans="45:45">
      <c r="AS114" s="131"/>
    </row>
    <row r="115" spans="45:45">
      <c r="AS115" s="131"/>
    </row>
    <row r="116" spans="45:45">
      <c r="AS116" s="131"/>
    </row>
    <row r="117" spans="45:45">
      <c r="AS117" s="131"/>
    </row>
    <row r="118" spans="45:45">
      <c r="AS118" s="131"/>
    </row>
    <row r="119" spans="45:45">
      <c r="AS119" s="131"/>
    </row>
    <row r="120" spans="45:45">
      <c r="AS120" s="131"/>
    </row>
    <row r="121" spans="45:45">
      <c r="AS121" s="131"/>
    </row>
    <row r="122" spans="45:45">
      <c r="AS122" s="131"/>
    </row>
    <row r="123" spans="45:45">
      <c r="AS123" s="131"/>
    </row>
    <row r="124" spans="45:45">
      <c r="AS124" s="131"/>
    </row>
    <row r="125" spans="45:45">
      <c r="AS125" s="131"/>
    </row>
    <row r="126" spans="45:45">
      <c r="AS126" s="131"/>
    </row>
    <row r="127" spans="45:45">
      <c r="AS127" s="131"/>
    </row>
    <row r="128" spans="45:45">
      <c r="AS128" s="131"/>
    </row>
    <row r="129" spans="45:45">
      <c r="AS129" s="131"/>
    </row>
    <row r="130" spans="45:45">
      <c r="AS130" s="131"/>
    </row>
    <row r="131" spans="45:45">
      <c r="AS131" s="131"/>
    </row>
    <row r="132" spans="45:45">
      <c r="AS132" s="131"/>
    </row>
    <row r="133" spans="45:45">
      <c r="AS133" s="131"/>
    </row>
    <row r="134" spans="45:45">
      <c r="AS134" s="131"/>
    </row>
    <row r="135" spans="45:45">
      <c r="AS135" s="131"/>
    </row>
    <row r="136" spans="45:45">
      <c r="AS136" s="131"/>
    </row>
    <row r="137" spans="45:45">
      <c r="AS137" s="131"/>
    </row>
    <row r="138" spans="45:45">
      <c r="AS138" s="131"/>
    </row>
    <row r="139" spans="45:45">
      <c r="AS139" s="131"/>
    </row>
    <row r="140" spans="45:45">
      <c r="AS140" s="131"/>
    </row>
    <row r="141" spans="45:45">
      <c r="AS141" s="131"/>
    </row>
    <row r="142" spans="45:45">
      <c r="AS142" s="131"/>
    </row>
    <row r="143" spans="45:45">
      <c r="AS143" s="131"/>
    </row>
    <row r="144" spans="45:45">
      <c r="AS144" s="131"/>
    </row>
    <row r="145" spans="45:45">
      <c r="AS145" s="131"/>
    </row>
    <row r="146" spans="45:45">
      <c r="AS146" s="131"/>
    </row>
    <row r="147" spans="45:45">
      <c r="AS147" s="131"/>
    </row>
    <row r="148" spans="45:45">
      <c r="AS148" s="131"/>
    </row>
    <row r="149" spans="45:45">
      <c r="AS149" s="131"/>
    </row>
    <row r="150" spans="45:45">
      <c r="AS150" s="131"/>
    </row>
    <row r="151" spans="45:45">
      <c r="AS151" s="131"/>
    </row>
    <row r="152" spans="45:45">
      <c r="AS152" s="131"/>
    </row>
    <row r="153" spans="45:45">
      <c r="AS153" s="131"/>
    </row>
    <row r="154" spans="45:45">
      <c r="AS154" s="131"/>
    </row>
    <row r="155" spans="45:45">
      <c r="AS155" s="131"/>
    </row>
    <row r="156" spans="45:45">
      <c r="AS156" s="131"/>
    </row>
    <row r="157" spans="45:45">
      <c r="AS157" s="131"/>
    </row>
    <row r="158" spans="45:45">
      <c r="AS158" s="131"/>
    </row>
    <row r="159" spans="45:45">
      <c r="AS159" s="131"/>
    </row>
    <row r="160" spans="45:45">
      <c r="AS160" s="131"/>
    </row>
    <row r="161" spans="45:45">
      <c r="AS161" s="131"/>
    </row>
    <row r="162" spans="45:45">
      <c r="AS162" s="131"/>
    </row>
    <row r="163" spans="45:45">
      <c r="AS163" s="131"/>
    </row>
    <row r="164" spans="45:45">
      <c r="AS164" s="131"/>
    </row>
    <row r="165" spans="45:45">
      <c r="AS165" s="131"/>
    </row>
    <row r="166" spans="45:45">
      <c r="AS166" s="131"/>
    </row>
    <row r="167" spans="45:45">
      <c r="AS167" s="131"/>
    </row>
    <row r="168" spans="45:45">
      <c r="AS168" s="131"/>
    </row>
    <row r="169" spans="45:45">
      <c r="AS169" s="131"/>
    </row>
    <row r="170" spans="45:45">
      <c r="AS170" s="131"/>
    </row>
    <row r="171" spans="45:45">
      <c r="AS171" s="131"/>
    </row>
    <row r="172" spans="45:45">
      <c r="AS172" s="131"/>
    </row>
    <row r="173" spans="45:45">
      <c r="AS173" s="131"/>
    </row>
    <row r="174" spans="45:45">
      <c r="AS174" s="131"/>
    </row>
    <row r="175" spans="45:45">
      <c r="AS175" s="131"/>
    </row>
    <row r="176" spans="45:45">
      <c r="AS176" s="131"/>
    </row>
    <row r="177" spans="45:45">
      <c r="AS177" s="131"/>
    </row>
    <row r="178" spans="45:45">
      <c r="AS178" s="131"/>
    </row>
    <row r="179" spans="45:45">
      <c r="AS179" s="131"/>
    </row>
    <row r="180" spans="45:45">
      <c r="AS180" s="131"/>
    </row>
  </sheetData>
  <mergeCells count="111">
    <mergeCell ref="A2:AR2"/>
    <mergeCell ref="A3:AR3"/>
    <mergeCell ref="A5:A6"/>
    <mergeCell ref="B5:B6"/>
    <mergeCell ref="C5:C6"/>
    <mergeCell ref="D5:D6"/>
    <mergeCell ref="E5:E6"/>
    <mergeCell ref="F5:H5"/>
    <mergeCell ref="I5:K5"/>
    <mergeCell ref="L5:N5"/>
    <mergeCell ref="AG5:AI5"/>
    <mergeCell ref="AJ5:AL5"/>
    <mergeCell ref="AM5:AO5"/>
    <mergeCell ref="AP5:AR5"/>
    <mergeCell ref="AS5:AS6"/>
    <mergeCell ref="AT5:AT6"/>
    <mergeCell ref="O5:Q5"/>
    <mergeCell ref="R5:T5"/>
    <mergeCell ref="U5:W5"/>
    <mergeCell ref="X5:Z5"/>
    <mergeCell ref="AA5:AC5"/>
    <mergeCell ref="AD5:AF5"/>
    <mergeCell ref="A7:AT7"/>
    <mergeCell ref="A8:AT8"/>
    <mergeCell ref="A9:D12"/>
    <mergeCell ref="AS9:AS12"/>
    <mergeCell ref="AT9:AT12"/>
    <mergeCell ref="A13:A16"/>
    <mergeCell ref="B13:B16"/>
    <mergeCell ref="C13:C16"/>
    <mergeCell ref="D13:D16"/>
    <mergeCell ref="AS13:AS16"/>
    <mergeCell ref="A22:A24"/>
    <mergeCell ref="B22:B24"/>
    <mergeCell ref="C22:C24"/>
    <mergeCell ref="D22:D24"/>
    <mergeCell ref="AS22:AS24"/>
    <mergeCell ref="AT22:AT24"/>
    <mergeCell ref="AT13:AT16"/>
    <mergeCell ref="A17:A20"/>
    <mergeCell ref="B17:B20"/>
    <mergeCell ref="C17:C20"/>
    <mergeCell ref="D17:D20"/>
    <mergeCell ref="AS17:AS20"/>
    <mergeCell ref="AT17:AT20"/>
    <mergeCell ref="A29:A31"/>
    <mergeCell ref="B29:B31"/>
    <mergeCell ref="C29:C31"/>
    <mergeCell ref="D29:D31"/>
    <mergeCell ref="AS29:AS31"/>
    <mergeCell ref="AT29:AT31"/>
    <mergeCell ref="A25:A28"/>
    <mergeCell ref="B25:B28"/>
    <mergeCell ref="C25:C28"/>
    <mergeCell ref="D25:D28"/>
    <mergeCell ref="AS25:AS28"/>
    <mergeCell ref="AT25:AT28"/>
    <mergeCell ref="A32:AT32"/>
    <mergeCell ref="A33:D36"/>
    <mergeCell ref="AS33:AS36"/>
    <mergeCell ref="AT33:AT36"/>
    <mergeCell ref="A42:A45"/>
    <mergeCell ref="B42:B45"/>
    <mergeCell ref="C42:C45"/>
    <mergeCell ref="D42:D45"/>
    <mergeCell ref="AS42:AS45"/>
    <mergeCell ref="AT42:AT45"/>
    <mergeCell ref="A46:AT46"/>
    <mergeCell ref="A47:AT47"/>
    <mergeCell ref="A48:D51"/>
    <mergeCell ref="AS48:AS51"/>
    <mergeCell ref="AT48:AT51"/>
    <mergeCell ref="A56:A59"/>
    <mergeCell ref="B56:B59"/>
    <mergeCell ref="C56:C59"/>
    <mergeCell ref="D56:D59"/>
    <mergeCell ref="AS56:AS59"/>
    <mergeCell ref="A69:A72"/>
    <mergeCell ref="B69:B72"/>
    <mergeCell ref="C69:C72"/>
    <mergeCell ref="D69:D72"/>
    <mergeCell ref="AS69:AS72"/>
    <mergeCell ref="AT69:AT72"/>
    <mergeCell ref="AT56:AT59"/>
    <mergeCell ref="A60:AT60"/>
    <mergeCell ref="A61:AT61"/>
    <mergeCell ref="A62:D65"/>
    <mergeCell ref="AS62:AS65"/>
    <mergeCell ref="AT62:AT65"/>
    <mergeCell ref="A77:A80"/>
    <mergeCell ref="B77:B80"/>
    <mergeCell ref="C77:C80"/>
    <mergeCell ref="D77:D80"/>
    <mergeCell ref="AS77:AS80"/>
    <mergeCell ref="AT77:AT80"/>
    <mergeCell ref="A73:A76"/>
    <mergeCell ref="B73:B76"/>
    <mergeCell ref="C73:C76"/>
    <mergeCell ref="D73:D76"/>
    <mergeCell ref="AS73:AS76"/>
    <mergeCell ref="AT73:AT76"/>
    <mergeCell ref="A90:D90"/>
    <mergeCell ref="A92:D92"/>
    <mergeCell ref="A96:D96"/>
    <mergeCell ref="A97:C97"/>
    <mergeCell ref="A81:D84"/>
    <mergeCell ref="AS81:AS84"/>
    <mergeCell ref="AT81:AT84"/>
    <mergeCell ref="B86:F86"/>
    <mergeCell ref="A88:C88"/>
    <mergeCell ref="A89:F89"/>
  </mergeCells>
  <conditionalFormatting sqref="H91 H69:H80 H56:H59 H48:H51 H42:H45 H30:H31 H27:H28 H24">
    <cfRule type="cellIs" dxfId="1" priority="1" stopIfTrue="1" operator="notEqual">
      <formula>#REF!</formula>
    </cfRule>
  </conditionalFormatting>
  <pageMargins left="0.7" right="0.7" top="0.75" bottom="0.75" header="0.3" footer="0.3"/>
  <pageSetup paperSize="9" scale="40" orientation="landscape" r:id="rId1"/>
  <rowBreaks count="2" manualBreakCount="2">
    <brk id="52" max="45" man="1"/>
    <brk id="84"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dimension ref="A1:BL172"/>
  <sheetViews>
    <sheetView tabSelected="1" topLeftCell="A7" zoomScale="130" zoomScaleNormal="130" workbookViewId="0">
      <pane xSplit="4" ySplit="4" topLeftCell="AR71" activePane="bottomRight" state="frozen"/>
      <selection activeCell="A7" sqref="A7"/>
      <selection pane="topRight" activeCell="E7" sqref="E7"/>
      <selection pane="bottomLeft" activeCell="A11" sqref="A11"/>
      <selection pane="bottomRight" activeCell="AR78" sqref="AR78:AR82"/>
    </sheetView>
  </sheetViews>
  <sheetFormatPr defaultColWidth="9.140625" defaultRowHeight="15"/>
  <cols>
    <col min="1" max="1" width="5.5703125" style="255" customWidth="1"/>
    <col min="2" max="3" width="23.7109375" style="255" customWidth="1"/>
    <col min="4" max="4" width="16.42578125" style="255" customWidth="1"/>
    <col min="5" max="5" width="10.85546875" style="255" customWidth="1"/>
    <col min="6" max="6" width="10.7109375" style="255" customWidth="1"/>
    <col min="7" max="7" width="9.140625" style="255"/>
    <col min="8" max="10" width="9.140625" style="255" customWidth="1"/>
    <col min="11" max="11" width="8.85546875" style="255" customWidth="1"/>
    <col min="12" max="12" width="9.140625" style="255" customWidth="1"/>
    <col min="13" max="13" width="10.42578125" style="255" customWidth="1"/>
    <col min="14" max="15" width="9.140625" style="255" customWidth="1"/>
    <col min="16" max="16" width="11.140625" style="255" customWidth="1"/>
    <col min="17" max="17" width="9.42578125" style="255" customWidth="1"/>
    <col min="18" max="18" width="10.5703125" style="255" hidden="1" customWidth="1"/>
    <col min="19" max="19" width="11.140625" style="255" hidden="1" customWidth="1"/>
    <col min="20" max="20" width="9.140625" style="255" customWidth="1"/>
    <col min="21" max="21" width="9.140625" style="255" hidden="1" customWidth="1"/>
    <col min="22" max="22" width="10.85546875" style="255" hidden="1" customWidth="1"/>
    <col min="23" max="23" width="9.140625" style="255" customWidth="1"/>
    <col min="24" max="24" width="9.140625" style="255" hidden="1" customWidth="1"/>
    <col min="25" max="25" width="10.28515625" style="255" hidden="1" customWidth="1"/>
    <col min="26" max="26" width="10.42578125" style="255" customWidth="1"/>
    <col min="27" max="28" width="10.42578125" style="255" hidden="1" customWidth="1"/>
    <col min="29" max="29" width="10.42578125" style="255" customWidth="1"/>
    <col min="30" max="30" width="11" style="255" hidden="1" customWidth="1"/>
    <col min="31" max="31" width="10.42578125" style="255" hidden="1" customWidth="1"/>
    <col min="32" max="32" width="9.140625" style="255" customWidth="1"/>
    <col min="33" max="33" width="11.140625" style="255" hidden="1" customWidth="1"/>
    <col min="34" max="34" width="10.85546875" style="255" hidden="1" customWidth="1"/>
    <col min="35" max="35" width="9.42578125" style="255" customWidth="1"/>
    <col min="36" max="36" width="9.140625" style="255" hidden="1" customWidth="1"/>
    <col min="37" max="37" width="10.5703125" style="255" hidden="1" customWidth="1"/>
    <col min="38" max="38" width="9.140625" style="255" customWidth="1"/>
    <col min="39" max="40" width="9.140625" style="255" hidden="1" customWidth="1"/>
    <col min="41" max="41" width="9.140625" style="256" customWidth="1"/>
    <col min="42" max="42" width="10.42578125" style="255" hidden="1" customWidth="1"/>
    <col min="43" max="43" width="9.140625" style="255" hidden="1" customWidth="1"/>
    <col min="44" max="44" width="65.28515625" style="247" customWidth="1"/>
    <col min="45" max="45" width="44.7109375" style="255" customWidth="1"/>
    <col min="46" max="49" width="9.140625" style="255" customWidth="1"/>
    <col min="50" max="16384" width="9.140625" style="255"/>
  </cols>
  <sheetData>
    <row r="1" spans="1:50" s="247" customFormat="1">
      <c r="I1" s="261"/>
      <c r="J1" s="261"/>
      <c r="K1" s="261"/>
      <c r="Y1" s="262"/>
      <c r="AI1" s="261"/>
      <c r="AO1" s="248"/>
      <c r="AS1" s="249" t="s">
        <v>453</v>
      </c>
    </row>
    <row r="2" spans="1:50" s="247" customFormat="1">
      <c r="F2" s="261"/>
      <c r="H2" s="261"/>
      <c r="I2" s="261"/>
      <c r="J2" s="261"/>
      <c r="Q2" s="261"/>
      <c r="AB2" s="261"/>
      <c r="AH2" s="262"/>
      <c r="AO2" s="248"/>
      <c r="AS2" s="249" t="s">
        <v>454</v>
      </c>
    </row>
    <row r="3" spans="1:50" s="247" customFormat="1" ht="15.75" customHeight="1">
      <c r="AO3" s="248"/>
      <c r="AS3" s="249" t="s">
        <v>455</v>
      </c>
    </row>
    <row r="4" spans="1:50" s="247" customFormat="1">
      <c r="AO4" s="248"/>
    </row>
    <row r="5" spans="1:50" s="247" customFormat="1">
      <c r="AO5" s="248"/>
      <c r="AS5" s="249" t="s">
        <v>450</v>
      </c>
    </row>
    <row r="6" spans="1:50" s="240" customFormat="1" ht="16.5" customHeight="1">
      <c r="A6" s="455" t="s">
        <v>449</v>
      </c>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row>
    <row r="7" spans="1:50" s="240" customFormat="1" ht="18.75">
      <c r="A7" s="455" t="s">
        <v>501</v>
      </c>
      <c r="B7" s="455"/>
      <c r="C7" s="455"/>
      <c r="D7" s="455"/>
      <c r="E7" s="455"/>
      <c r="F7" s="455"/>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row>
    <row r="8" spans="1:50" s="235" customFormat="1" ht="12.75">
      <c r="A8" s="214"/>
      <c r="B8" s="212"/>
      <c r="C8" s="212"/>
      <c r="D8" s="213"/>
      <c r="E8" s="213"/>
      <c r="F8" s="213"/>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5"/>
      <c r="AP8" s="215"/>
      <c r="AQ8" s="215"/>
      <c r="AR8" s="215"/>
    </row>
    <row r="9" spans="1:50" s="235" customFormat="1" ht="27.75" customHeight="1">
      <c r="A9" s="456" t="s">
        <v>494</v>
      </c>
      <c r="B9" s="456" t="s">
        <v>491</v>
      </c>
      <c r="C9" s="457" t="s">
        <v>492</v>
      </c>
      <c r="D9" s="456" t="s">
        <v>1</v>
      </c>
      <c r="E9" s="456" t="s">
        <v>493</v>
      </c>
      <c r="F9" s="456"/>
      <c r="G9" s="456"/>
      <c r="H9" s="456" t="s">
        <v>18</v>
      </c>
      <c r="I9" s="456"/>
      <c r="J9" s="456"/>
      <c r="K9" s="456" t="s">
        <v>19</v>
      </c>
      <c r="L9" s="456"/>
      <c r="M9" s="456"/>
      <c r="N9" s="456" t="s">
        <v>23</v>
      </c>
      <c r="O9" s="456"/>
      <c r="P9" s="456"/>
      <c r="Q9" s="456" t="s">
        <v>25</v>
      </c>
      <c r="R9" s="456"/>
      <c r="S9" s="456"/>
      <c r="T9" s="456" t="s">
        <v>26</v>
      </c>
      <c r="U9" s="456"/>
      <c r="V9" s="456"/>
      <c r="W9" s="456" t="s">
        <v>27</v>
      </c>
      <c r="X9" s="456"/>
      <c r="Y9" s="456"/>
      <c r="Z9" s="456" t="s">
        <v>29</v>
      </c>
      <c r="AA9" s="456"/>
      <c r="AB9" s="456"/>
      <c r="AC9" s="456" t="s">
        <v>30</v>
      </c>
      <c r="AD9" s="456"/>
      <c r="AE9" s="456"/>
      <c r="AF9" s="456" t="s">
        <v>31</v>
      </c>
      <c r="AG9" s="456"/>
      <c r="AH9" s="456"/>
      <c r="AI9" s="456" t="s">
        <v>33</v>
      </c>
      <c r="AJ9" s="456"/>
      <c r="AK9" s="456"/>
      <c r="AL9" s="456" t="s">
        <v>34</v>
      </c>
      <c r="AM9" s="456"/>
      <c r="AN9" s="456"/>
      <c r="AO9" s="456" t="s">
        <v>35</v>
      </c>
      <c r="AP9" s="456"/>
      <c r="AQ9" s="456"/>
      <c r="AR9" s="459" t="s">
        <v>273</v>
      </c>
      <c r="AS9" s="460" t="s">
        <v>274</v>
      </c>
      <c r="AT9" s="242"/>
      <c r="AU9" s="242"/>
    </row>
    <row r="10" spans="1:50" s="235" customFormat="1" ht="37.5" customHeight="1">
      <c r="A10" s="456"/>
      <c r="B10" s="456"/>
      <c r="C10" s="458"/>
      <c r="D10" s="456"/>
      <c r="E10" s="250" t="s">
        <v>264</v>
      </c>
      <c r="F10" s="250" t="s">
        <v>265</v>
      </c>
      <c r="G10" s="251" t="s">
        <v>266</v>
      </c>
      <c r="H10" s="250" t="s">
        <v>264</v>
      </c>
      <c r="I10" s="250" t="s">
        <v>265</v>
      </c>
      <c r="J10" s="251" t="s">
        <v>266</v>
      </c>
      <c r="K10" s="250" t="s">
        <v>264</v>
      </c>
      <c r="L10" s="250" t="s">
        <v>265</v>
      </c>
      <c r="M10" s="251" t="s">
        <v>266</v>
      </c>
      <c r="N10" s="250" t="s">
        <v>264</v>
      </c>
      <c r="O10" s="250" t="s">
        <v>265</v>
      </c>
      <c r="P10" s="251" t="s">
        <v>266</v>
      </c>
      <c r="Q10" s="250" t="s">
        <v>264</v>
      </c>
      <c r="R10" s="250" t="s">
        <v>265</v>
      </c>
      <c r="S10" s="251" t="s">
        <v>266</v>
      </c>
      <c r="T10" s="250" t="s">
        <v>264</v>
      </c>
      <c r="U10" s="250" t="s">
        <v>265</v>
      </c>
      <c r="V10" s="251" t="s">
        <v>266</v>
      </c>
      <c r="W10" s="250" t="s">
        <v>264</v>
      </c>
      <c r="X10" s="250" t="s">
        <v>265</v>
      </c>
      <c r="Y10" s="251" t="s">
        <v>266</v>
      </c>
      <c r="Z10" s="250" t="s">
        <v>264</v>
      </c>
      <c r="AA10" s="250" t="s">
        <v>265</v>
      </c>
      <c r="AB10" s="251" t="s">
        <v>266</v>
      </c>
      <c r="AC10" s="250" t="s">
        <v>264</v>
      </c>
      <c r="AD10" s="250" t="s">
        <v>265</v>
      </c>
      <c r="AE10" s="251" t="s">
        <v>266</v>
      </c>
      <c r="AF10" s="250" t="s">
        <v>264</v>
      </c>
      <c r="AG10" s="250" t="s">
        <v>265</v>
      </c>
      <c r="AH10" s="251" t="s">
        <v>266</v>
      </c>
      <c r="AI10" s="250" t="s">
        <v>264</v>
      </c>
      <c r="AJ10" s="260" t="s">
        <v>265</v>
      </c>
      <c r="AK10" s="251" t="s">
        <v>266</v>
      </c>
      <c r="AL10" s="260" t="s">
        <v>264</v>
      </c>
      <c r="AM10" s="260" t="s">
        <v>265</v>
      </c>
      <c r="AN10" s="251" t="s">
        <v>266</v>
      </c>
      <c r="AO10" s="260" t="s">
        <v>264</v>
      </c>
      <c r="AP10" s="260" t="s">
        <v>265</v>
      </c>
      <c r="AQ10" s="251" t="s">
        <v>266</v>
      </c>
      <c r="AR10" s="459"/>
      <c r="AS10" s="460"/>
    </row>
    <row r="11" spans="1:50" s="244" customFormat="1" ht="12.75" customHeight="1">
      <c r="A11" s="461" t="s">
        <v>458</v>
      </c>
      <c r="B11" s="464" t="s">
        <v>446</v>
      </c>
      <c r="C11" s="465"/>
      <c r="D11" s="216" t="s">
        <v>444</v>
      </c>
      <c r="E11" s="149">
        <f>E12+E13+E15</f>
        <v>448911.50000000006</v>
      </c>
      <c r="F11" s="149">
        <f t="shared" ref="F11:AP11" si="0">F12+F13+F15</f>
        <v>85273.000000000015</v>
      </c>
      <c r="G11" s="149">
        <f t="shared" ref="G11:G23" si="1">F11/E11*100</f>
        <v>18.995503568075222</v>
      </c>
      <c r="H11" s="149">
        <f t="shared" si="0"/>
        <v>17862.100000000002</v>
      </c>
      <c r="I11" s="149">
        <f t="shared" si="0"/>
        <v>17654.599999999999</v>
      </c>
      <c r="J11" s="149">
        <f>I11/H11*100</f>
        <v>98.838322481679057</v>
      </c>
      <c r="K11" s="149">
        <f t="shared" si="0"/>
        <v>37855.800000000003</v>
      </c>
      <c r="L11" s="149">
        <f t="shared" si="0"/>
        <v>36847.599999999999</v>
      </c>
      <c r="M11" s="149">
        <f>L11/K11*100</f>
        <v>97.336735718172633</v>
      </c>
      <c r="N11" s="149">
        <f t="shared" si="0"/>
        <v>41046.399999999994</v>
      </c>
      <c r="O11" s="149">
        <f t="shared" si="0"/>
        <v>30770.800000000003</v>
      </c>
      <c r="P11" s="149">
        <f>O11/N11*100</f>
        <v>74.965892258517215</v>
      </c>
      <c r="Q11" s="149">
        <f t="shared" si="0"/>
        <v>39102.199999999997</v>
      </c>
      <c r="R11" s="149">
        <f t="shared" si="0"/>
        <v>0</v>
      </c>
      <c r="S11" s="149">
        <f>R11/Q11*100</f>
        <v>0</v>
      </c>
      <c r="T11" s="149">
        <f t="shared" si="0"/>
        <v>38852.800000000003</v>
      </c>
      <c r="U11" s="149">
        <f t="shared" si="0"/>
        <v>0</v>
      </c>
      <c r="V11" s="149">
        <f>U11/T11*100</f>
        <v>0</v>
      </c>
      <c r="W11" s="149">
        <f t="shared" si="0"/>
        <v>38770.699999999997</v>
      </c>
      <c r="X11" s="149">
        <f t="shared" si="0"/>
        <v>0</v>
      </c>
      <c r="Y11" s="149">
        <f>X11/W11*100</f>
        <v>0</v>
      </c>
      <c r="Z11" s="149">
        <f t="shared" si="0"/>
        <v>45205.700000000004</v>
      </c>
      <c r="AA11" s="149">
        <f t="shared" si="0"/>
        <v>0</v>
      </c>
      <c r="AB11" s="149">
        <f t="shared" ref="AB11:AB18" si="2">AA11/Z11*100</f>
        <v>0</v>
      </c>
      <c r="AC11" s="149">
        <f t="shared" si="0"/>
        <v>38340.800000000003</v>
      </c>
      <c r="AD11" s="149">
        <f t="shared" si="0"/>
        <v>0</v>
      </c>
      <c r="AE11" s="149">
        <f>AD11/AC11*100</f>
        <v>0</v>
      </c>
      <c r="AF11" s="149">
        <f t="shared" si="0"/>
        <v>32749.5</v>
      </c>
      <c r="AG11" s="149">
        <f t="shared" si="0"/>
        <v>0</v>
      </c>
      <c r="AH11" s="149">
        <f>AG11/AF11*100</f>
        <v>0</v>
      </c>
      <c r="AI11" s="149">
        <f t="shared" si="0"/>
        <v>32152.5</v>
      </c>
      <c r="AJ11" s="149">
        <f t="shared" si="0"/>
        <v>0</v>
      </c>
      <c r="AK11" s="149">
        <f t="shared" ref="AK11:AK13" si="3">AJ11/AI11*100</f>
        <v>0</v>
      </c>
      <c r="AL11" s="149">
        <f t="shared" si="0"/>
        <v>31376.899999999998</v>
      </c>
      <c r="AM11" s="149">
        <f t="shared" si="0"/>
        <v>0</v>
      </c>
      <c r="AN11" s="149">
        <f t="shared" ref="AN11:AN13" si="4">AM11/AL11*100</f>
        <v>0</v>
      </c>
      <c r="AO11" s="149">
        <f t="shared" si="0"/>
        <v>55596.1</v>
      </c>
      <c r="AP11" s="149">
        <f t="shared" si="0"/>
        <v>0</v>
      </c>
      <c r="AQ11" s="149" t="e">
        <f t="shared" ref="AQ11:AQ13" si="5">AO11/AP11*100</f>
        <v>#DIV/0!</v>
      </c>
      <c r="AR11" s="470"/>
      <c r="AS11" s="473"/>
      <c r="AT11" s="243"/>
    </row>
    <row r="12" spans="1:50" s="244" customFormat="1" ht="48">
      <c r="A12" s="462"/>
      <c r="B12" s="466"/>
      <c r="C12" s="467"/>
      <c r="D12" s="217" t="s">
        <v>442</v>
      </c>
      <c r="E12" s="149">
        <f>E18+E24+E29+E34+E39+E45</f>
        <v>96737.799999999988</v>
      </c>
      <c r="F12" s="149">
        <f>F18+F24+F29+F34+F39+F45</f>
        <v>13847.300000000001</v>
      </c>
      <c r="G12" s="149">
        <f t="shared" si="1"/>
        <v>14.314259782628923</v>
      </c>
      <c r="H12" s="149">
        <f>H18+H24+H29+H34+H39+H45</f>
        <v>805.8</v>
      </c>
      <c r="I12" s="149">
        <f>I18+I24+I29+I34+I39+I45</f>
        <v>614.6</v>
      </c>
      <c r="J12" s="149">
        <f t="shared" ref="J12:J13" si="6">I12/H12*100</f>
        <v>76.272027798461167</v>
      </c>
      <c r="K12" s="149">
        <f>K18+K24+K29+K34+K39+K45</f>
        <v>6811.5</v>
      </c>
      <c r="L12" s="149">
        <f>L18+L24+L29+L34+L39+L45</f>
        <v>5873.3</v>
      </c>
      <c r="M12" s="149">
        <f t="shared" ref="M12:M15" si="7">L12/K12*100</f>
        <v>86.226235043676141</v>
      </c>
      <c r="N12" s="149">
        <f>N18+N24+N29+N34+N39+N45</f>
        <v>7924.7</v>
      </c>
      <c r="O12" s="149">
        <f>O18+O24+O29+O34+O39+O45</f>
        <v>7359.4000000000005</v>
      </c>
      <c r="P12" s="149">
        <f t="shared" ref="P12:P15" si="8">O12/N12*100</f>
        <v>92.866606937802075</v>
      </c>
      <c r="Q12" s="149">
        <f>Q18+Q24+Q29+Q34+Q39+Q45</f>
        <v>7824.7</v>
      </c>
      <c r="R12" s="149">
        <f>R18+R24+R29+R34+R39+R45</f>
        <v>0</v>
      </c>
      <c r="S12" s="149">
        <f t="shared" ref="S12:S15" si="9">R12/Q12*100</f>
        <v>0</v>
      </c>
      <c r="T12" s="149">
        <f>T18+T24+T29+T34+T39+T45</f>
        <v>8885.9</v>
      </c>
      <c r="U12" s="149">
        <f>U18+U24+U29+U34+U39+U45</f>
        <v>0</v>
      </c>
      <c r="V12" s="149">
        <f t="shared" ref="V12:V15" si="10">U12/T12*100</f>
        <v>0</v>
      </c>
      <c r="W12" s="149">
        <f>W18+W24+W29+W34+W39+W45</f>
        <v>7085.1</v>
      </c>
      <c r="X12" s="149">
        <f>X18+X24+X29+X34+X39+X45</f>
        <v>0</v>
      </c>
      <c r="Y12" s="149">
        <f t="shared" ref="Y12:Y15" si="11">X12/W12*100</f>
        <v>0</v>
      </c>
      <c r="Z12" s="149">
        <f>Z18+Z24+Z29+Z34+Z39+Z45</f>
        <v>9331.4</v>
      </c>
      <c r="AA12" s="149">
        <f>AA18+AA24+AA29+AA34+AA39+AA45</f>
        <v>0</v>
      </c>
      <c r="AB12" s="149">
        <f t="shared" si="2"/>
        <v>0</v>
      </c>
      <c r="AC12" s="149">
        <f>AC18+AC24+AC29+AC34+AC39+AC45</f>
        <v>8376.5</v>
      </c>
      <c r="AD12" s="149">
        <f>AD18+AD24+AD29+AD34+AD39+AD45</f>
        <v>0</v>
      </c>
      <c r="AE12" s="149">
        <f t="shared" ref="AE12:AE33" si="12">AD12/AC12*100</f>
        <v>0</v>
      </c>
      <c r="AF12" s="149">
        <f>AF18+AF24+AF29+AF34+AF39+AF45</f>
        <v>7243.7999999999993</v>
      </c>
      <c r="AG12" s="149">
        <f>AG18+AG24+AG29+AG34+AG39+AG45</f>
        <v>0</v>
      </c>
      <c r="AH12" s="149">
        <f>AG12/AF12*100</f>
        <v>0</v>
      </c>
      <c r="AI12" s="149">
        <f>AI18+AI24+AI29+AI34+AI39+AI45</f>
        <v>7665.8</v>
      </c>
      <c r="AJ12" s="149">
        <f>AJ18+AJ24+AJ29+AJ34+AJ39+AJ45</f>
        <v>0</v>
      </c>
      <c r="AK12" s="149">
        <f t="shared" si="3"/>
        <v>0</v>
      </c>
      <c r="AL12" s="149">
        <f>AL18+AL24+AL29+AL34+AL39+AL45</f>
        <v>7354.9</v>
      </c>
      <c r="AM12" s="149">
        <f>AM18+AM24+AM29+AM34+AM39+AM45</f>
        <v>0</v>
      </c>
      <c r="AN12" s="149">
        <f t="shared" si="4"/>
        <v>0</v>
      </c>
      <c r="AO12" s="149">
        <f>AO18+AO24+AO29+AO34+AO39+AO45</f>
        <v>17427.7</v>
      </c>
      <c r="AP12" s="149">
        <f>AP18+AP24+AP29+AP34+AP39+AP45</f>
        <v>0</v>
      </c>
      <c r="AQ12" s="149" t="e">
        <f t="shared" si="5"/>
        <v>#DIV/0!</v>
      </c>
      <c r="AR12" s="471"/>
      <c r="AS12" s="474"/>
      <c r="AT12" s="243"/>
    </row>
    <row r="13" spans="1:50" s="244" customFormat="1" ht="12.75">
      <c r="A13" s="462"/>
      <c r="B13" s="466"/>
      <c r="C13" s="467"/>
      <c r="D13" s="217" t="s">
        <v>457</v>
      </c>
      <c r="E13" s="149">
        <f>E19+E25+E30+E35+E40</f>
        <v>346576.80000000005</v>
      </c>
      <c r="F13" s="149">
        <f>F19+F25+F30+F35+F40</f>
        <v>70395.100000000006</v>
      </c>
      <c r="G13" s="149">
        <f t="shared" si="1"/>
        <v>20.311544223387138</v>
      </c>
      <c r="H13" s="149">
        <f>H19+H25+H30+H35+H40</f>
        <v>17001.400000000001</v>
      </c>
      <c r="I13" s="149">
        <f>I19+I25+I30+I35+I40</f>
        <v>16985.099999999999</v>
      </c>
      <c r="J13" s="149">
        <f t="shared" si="6"/>
        <v>99.904125542602358</v>
      </c>
      <c r="K13" s="149">
        <f>K19+K25+K30+K35+K40</f>
        <v>30591.600000000002</v>
      </c>
      <c r="L13" s="149">
        <f>L19+L25+L30+L35+L40</f>
        <v>30521.600000000002</v>
      </c>
      <c r="M13" s="149">
        <f t="shared" si="7"/>
        <v>99.771179016462028</v>
      </c>
      <c r="N13" s="149">
        <f>N19+N25+N30+N35+N40</f>
        <v>32568.1</v>
      </c>
      <c r="O13" s="149">
        <f>O19+O25+O30+O35+O40</f>
        <v>22888.400000000001</v>
      </c>
      <c r="P13" s="149">
        <f t="shared" si="8"/>
        <v>70.278585487025651</v>
      </c>
      <c r="Q13" s="149">
        <f>Q19+Q25+Q30+Q35+Q40</f>
        <v>30794.1</v>
      </c>
      <c r="R13" s="149">
        <f>R19+R25+R30+R35+R40</f>
        <v>0</v>
      </c>
      <c r="S13" s="149">
        <f t="shared" si="9"/>
        <v>0</v>
      </c>
      <c r="T13" s="149">
        <f>T19+T25+T30+T35+T40</f>
        <v>29579</v>
      </c>
      <c r="U13" s="149">
        <f>U19+U25+U30+U35+U40</f>
        <v>0</v>
      </c>
      <c r="V13" s="149">
        <f t="shared" si="10"/>
        <v>0</v>
      </c>
      <c r="W13" s="149">
        <f>W19+W25+W30+W35+W40</f>
        <v>30735.599999999999</v>
      </c>
      <c r="X13" s="149">
        <f>X19+X25+X30+X35+X40</f>
        <v>0</v>
      </c>
      <c r="Y13" s="149">
        <f t="shared" si="11"/>
        <v>0</v>
      </c>
      <c r="Z13" s="149">
        <f>Z19+Z25+Z30+Z35+Z40</f>
        <v>35352.5</v>
      </c>
      <c r="AA13" s="149">
        <f>AA19+AA25+AA30+AA35+AA40</f>
        <v>0</v>
      </c>
      <c r="AB13" s="149">
        <f t="shared" si="2"/>
        <v>0</v>
      </c>
      <c r="AC13" s="149">
        <f>AC19+AC25+AC30+AC35+AC40</f>
        <v>29415</v>
      </c>
      <c r="AD13" s="149">
        <f>AD19+AD25+AD30+AD35+AD40</f>
        <v>0</v>
      </c>
      <c r="AE13" s="149">
        <f t="shared" si="12"/>
        <v>0</v>
      </c>
      <c r="AF13" s="149">
        <f>AF19+AF25+AF30+AF35+AF40</f>
        <v>25144.799999999999</v>
      </c>
      <c r="AG13" s="149">
        <f>AG19+AG25+AG30+AG35+AG40</f>
        <v>0</v>
      </c>
      <c r="AH13" s="149">
        <f>AG13/AF13*100</f>
        <v>0</v>
      </c>
      <c r="AI13" s="149">
        <f>AI19+AI25+AI30+AI35+AI40</f>
        <v>24157.5</v>
      </c>
      <c r="AJ13" s="149">
        <f>AJ19+AJ25+AJ30+AJ35+AJ40</f>
        <v>0</v>
      </c>
      <c r="AK13" s="149">
        <f t="shared" si="3"/>
        <v>0</v>
      </c>
      <c r="AL13" s="149">
        <f>AL19+AL25+AL30+AL35+AL40</f>
        <v>23643.699999999997</v>
      </c>
      <c r="AM13" s="149">
        <f>AM19+AM25+AM30+AM35+AM40</f>
        <v>0</v>
      </c>
      <c r="AN13" s="149">
        <f t="shared" si="4"/>
        <v>0</v>
      </c>
      <c r="AO13" s="149">
        <f>AO19+AO25+AO30+AO35+AO40</f>
        <v>37593.5</v>
      </c>
      <c r="AP13" s="149">
        <f>AP19+AP25+AP30+AP35+AP40</f>
        <v>0</v>
      </c>
      <c r="AQ13" s="149" t="e">
        <f t="shared" si="5"/>
        <v>#DIV/0!</v>
      </c>
      <c r="AR13" s="471"/>
      <c r="AS13" s="474"/>
      <c r="AT13" s="243"/>
    </row>
    <row r="14" spans="1:50" s="236" customFormat="1" ht="36">
      <c r="A14" s="462"/>
      <c r="B14" s="466"/>
      <c r="C14" s="467"/>
      <c r="D14" s="224" t="s">
        <v>452</v>
      </c>
      <c r="E14" s="229">
        <f>E20+E41</f>
        <v>0</v>
      </c>
      <c r="F14" s="229">
        <f>F20+F41</f>
        <v>205.9</v>
      </c>
      <c r="G14" s="229">
        <v>0</v>
      </c>
      <c r="H14" s="229">
        <f>H20+H41</f>
        <v>0</v>
      </c>
      <c r="I14" s="229">
        <f>I20+I41</f>
        <v>0</v>
      </c>
      <c r="J14" s="229">
        <v>0</v>
      </c>
      <c r="K14" s="229">
        <f>K20+K41</f>
        <v>0</v>
      </c>
      <c r="L14" s="229">
        <f>L20+L41</f>
        <v>56.4</v>
      </c>
      <c r="M14" s="229">
        <v>0</v>
      </c>
      <c r="N14" s="229">
        <f>N20+N41</f>
        <v>0</v>
      </c>
      <c r="O14" s="229">
        <f>O20+O41</f>
        <v>149.5</v>
      </c>
      <c r="P14" s="229">
        <v>0</v>
      </c>
      <c r="Q14" s="229">
        <v>0</v>
      </c>
      <c r="R14" s="229">
        <f ca="1">R92</f>
        <v>0</v>
      </c>
      <c r="S14" s="229">
        <v>0</v>
      </c>
      <c r="T14" s="230">
        <v>0</v>
      </c>
      <c r="U14" s="230">
        <v>0</v>
      </c>
      <c r="V14" s="230">
        <v>0</v>
      </c>
      <c r="W14" s="230">
        <v>0</v>
      </c>
      <c r="X14" s="230">
        <v>0</v>
      </c>
      <c r="Y14" s="230">
        <v>0</v>
      </c>
      <c r="Z14" s="229">
        <v>0</v>
      </c>
      <c r="AA14" s="229">
        <v>0</v>
      </c>
      <c r="AB14" s="229">
        <v>0</v>
      </c>
      <c r="AC14" s="230">
        <v>0</v>
      </c>
      <c r="AD14" s="230">
        <v>0</v>
      </c>
      <c r="AE14" s="230">
        <v>0</v>
      </c>
      <c r="AF14" s="230">
        <v>0</v>
      </c>
      <c r="AG14" s="230">
        <v>0</v>
      </c>
      <c r="AH14" s="230">
        <v>0</v>
      </c>
      <c r="AI14" s="229">
        <v>0</v>
      </c>
      <c r="AJ14" s="229">
        <v>0</v>
      </c>
      <c r="AK14" s="229">
        <v>0</v>
      </c>
      <c r="AL14" s="230">
        <v>0</v>
      </c>
      <c r="AM14" s="230">
        <v>0</v>
      </c>
      <c r="AN14" s="230">
        <v>0</v>
      </c>
      <c r="AO14" s="230">
        <v>0</v>
      </c>
      <c r="AP14" s="229">
        <v>0</v>
      </c>
      <c r="AQ14" s="229">
        <v>0</v>
      </c>
      <c r="AR14" s="471"/>
      <c r="AS14" s="474"/>
      <c r="AT14" s="232"/>
      <c r="AU14" s="233"/>
      <c r="AV14" s="234"/>
      <c r="AW14" s="235"/>
      <c r="AX14" s="233"/>
    </row>
    <row r="15" spans="1:50" s="244" customFormat="1" ht="24">
      <c r="A15" s="462"/>
      <c r="B15" s="466"/>
      <c r="C15" s="467"/>
      <c r="D15" s="218" t="s">
        <v>257</v>
      </c>
      <c r="E15" s="149">
        <f>E21+E26+E36+E47</f>
        <v>5596.9</v>
      </c>
      <c r="F15" s="149">
        <f>F21+F26+F36+F47</f>
        <v>1030.5999999999999</v>
      </c>
      <c r="G15" s="149">
        <f>F15/E15*100</f>
        <v>18.413764762636458</v>
      </c>
      <c r="H15" s="149">
        <f>H21+H26+H36+H47</f>
        <v>54.9</v>
      </c>
      <c r="I15" s="149">
        <f>I21+I26+I36+I47</f>
        <v>54.9</v>
      </c>
      <c r="J15" s="149">
        <v>0</v>
      </c>
      <c r="K15" s="149">
        <f>K21+K26+K36+K47</f>
        <v>452.7</v>
      </c>
      <c r="L15" s="149">
        <f>L21+L26+L36+L47</f>
        <v>452.7</v>
      </c>
      <c r="M15" s="149">
        <f t="shared" si="7"/>
        <v>100</v>
      </c>
      <c r="N15" s="149">
        <f>N21+N26+N36+N47</f>
        <v>553.60000000000014</v>
      </c>
      <c r="O15" s="149">
        <f>O21+O26+O36+O47</f>
        <v>523</v>
      </c>
      <c r="P15" s="149">
        <f t="shared" si="8"/>
        <v>94.472543352601136</v>
      </c>
      <c r="Q15" s="149">
        <f>Q21+Q26+Q36+Q47</f>
        <v>483.4</v>
      </c>
      <c r="R15" s="149">
        <f>R21+R26+R36+R47</f>
        <v>0</v>
      </c>
      <c r="S15" s="149">
        <f t="shared" si="9"/>
        <v>0</v>
      </c>
      <c r="T15" s="149">
        <f>T21+T26+T36+T47</f>
        <v>387.9</v>
      </c>
      <c r="U15" s="149">
        <f>U21+U26+U36+U47</f>
        <v>0</v>
      </c>
      <c r="V15" s="149">
        <f t="shared" si="10"/>
        <v>0</v>
      </c>
      <c r="W15" s="149">
        <f>W21+W26+W36+W47</f>
        <v>950</v>
      </c>
      <c r="X15" s="149">
        <f>X21+X26+X36+X47</f>
        <v>0</v>
      </c>
      <c r="Y15" s="149">
        <f t="shared" si="11"/>
        <v>0</v>
      </c>
      <c r="Z15" s="149">
        <f>Z21+Z26+Z36+Z47</f>
        <v>521.79999999999995</v>
      </c>
      <c r="AA15" s="149">
        <f>AA21+AA26+AA36+AA47</f>
        <v>0</v>
      </c>
      <c r="AB15" s="149">
        <f t="shared" si="2"/>
        <v>0</v>
      </c>
      <c r="AC15" s="149">
        <f>AC21+AC26+AC36+AC47</f>
        <v>549.29999999999995</v>
      </c>
      <c r="AD15" s="149">
        <f>AD21+AD26+AD36+AD47</f>
        <v>0</v>
      </c>
      <c r="AE15" s="149">
        <f t="shared" si="12"/>
        <v>0</v>
      </c>
      <c r="AF15" s="149">
        <f>AF21+AF26+AF36+AF47</f>
        <v>360.9</v>
      </c>
      <c r="AG15" s="149">
        <f>AG21+AG26+AG36+AG47</f>
        <v>0</v>
      </c>
      <c r="AH15" s="149">
        <f>AG15/AF15*100</f>
        <v>0</v>
      </c>
      <c r="AI15" s="149">
        <f>AI21+AI26+AI36+AI47</f>
        <v>329.2</v>
      </c>
      <c r="AJ15" s="149">
        <f>AJ21+AJ26+AJ36+AJ47</f>
        <v>0</v>
      </c>
      <c r="AK15" s="149">
        <f>AJ15/AI15*100</f>
        <v>0</v>
      </c>
      <c r="AL15" s="149">
        <f>AL21+AL26+AL36+AL47</f>
        <v>378.3</v>
      </c>
      <c r="AM15" s="149">
        <f>AM21+AM26+AM36+AM47</f>
        <v>0</v>
      </c>
      <c r="AN15" s="149">
        <f>AM15/AL15*100</f>
        <v>0</v>
      </c>
      <c r="AO15" s="149">
        <f>AO21+AO26+AO36+AO47</f>
        <v>574.9</v>
      </c>
      <c r="AP15" s="149">
        <f>AP21+AP26+AP36+AP47</f>
        <v>0</v>
      </c>
      <c r="AQ15" s="149" t="e">
        <f>AO15/AP15*100</f>
        <v>#DIV/0!</v>
      </c>
      <c r="AR15" s="471"/>
      <c r="AS15" s="474"/>
      <c r="AT15" s="243"/>
    </row>
    <row r="16" spans="1:50" s="244" customFormat="1" ht="24">
      <c r="A16" s="463"/>
      <c r="B16" s="468"/>
      <c r="C16" s="469"/>
      <c r="D16" s="218" t="s">
        <v>462</v>
      </c>
      <c r="E16" s="149">
        <f>H16+K16+N16+Q16+T16+W16+Z16+AC16+AF16+AI16+AL16+AO16</f>
        <v>0</v>
      </c>
      <c r="F16" s="149">
        <f>I16+L16+O16+R16+U16+X16+AA16+AD16+AG16+AJ16+AM16+AP16</f>
        <v>0</v>
      </c>
      <c r="G16" s="149">
        <v>0</v>
      </c>
      <c r="H16" s="149">
        <v>0</v>
      </c>
      <c r="I16" s="149">
        <v>0</v>
      </c>
      <c r="J16" s="149">
        <v>0</v>
      </c>
      <c r="K16" s="252">
        <v>0</v>
      </c>
      <c r="L16" s="149">
        <v>0</v>
      </c>
      <c r="M16" s="149">
        <v>0</v>
      </c>
      <c r="N16" s="149">
        <v>0</v>
      </c>
      <c r="O16" s="149">
        <v>0</v>
      </c>
      <c r="P16" s="149">
        <v>0</v>
      </c>
      <c r="Q16" s="149">
        <v>0</v>
      </c>
      <c r="R16" s="149">
        <v>0</v>
      </c>
      <c r="S16" s="149">
        <v>0</v>
      </c>
      <c r="T16" s="226">
        <v>0</v>
      </c>
      <c r="U16" s="226">
        <v>0</v>
      </c>
      <c r="V16" s="149">
        <v>0</v>
      </c>
      <c r="W16" s="226">
        <v>0</v>
      </c>
      <c r="X16" s="226">
        <v>0</v>
      </c>
      <c r="Y16" s="226">
        <v>0</v>
      </c>
      <c r="Z16" s="226">
        <v>0</v>
      </c>
      <c r="AA16" s="226">
        <v>0</v>
      </c>
      <c r="AB16" s="226">
        <v>0</v>
      </c>
      <c r="AC16" s="226">
        <v>0</v>
      </c>
      <c r="AD16" s="226">
        <v>0</v>
      </c>
      <c r="AE16" s="226">
        <v>0</v>
      </c>
      <c r="AF16" s="226">
        <v>0</v>
      </c>
      <c r="AG16" s="226">
        <v>0</v>
      </c>
      <c r="AH16" s="149">
        <v>0</v>
      </c>
      <c r="AI16" s="149">
        <v>0</v>
      </c>
      <c r="AJ16" s="149">
        <v>0</v>
      </c>
      <c r="AK16" s="149">
        <v>0</v>
      </c>
      <c r="AL16" s="226">
        <v>0</v>
      </c>
      <c r="AM16" s="226">
        <v>0</v>
      </c>
      <c r="AN16" s="226">
        <v>0</v>
      </c>
      <c r="AO16" s="149">
        <v>0</v>
      </c>
      <c r="AP16" s="149">
        <v>0</v>
      </c>
      <c r="AQ16" s="149">
        <v>0</v>
      </c>
      <c r="AR16" s="472"/>
      <c r="AS16" s="475"/>
      <c r="AT16" s="243"/>
    </row>
    <row r="17" spans="1:50" s="235" customFormat="1" ht="93" customHeight="1">
      <c r="A17" s="452" t="s">
        <v>2</v>
      </c>
      <c r="B17" s="476" t="s">
        <v>463</v>
      </c>
      <c r="C17" s="449" t="s">
        <v>504</v>
      </c>
      <c r="D17" s="219" t="s">
        <v>444</v>
      </c>
      <c r="E17" s="123">
        <f>SUM(E18:E21)</f>
        <v>305304.70000000007</v>
      </c>
      <c r="F17" s="123">
        <f>SUM(F18:F21)</f>
        <v>59549.599999999999</v>
      </c>
      <c r="G17" s="123">
        <f t="shared" si="1"/>
        <v>19.504973228384621</v>
      </c>
      <c r="H17" s="123">
        <f t="shared" ref="H17:O17" si="13">SUM(H18:H21)</f>
        <v>15067.7</v>
      </c>
      <c r="I17" s="123">
        <f t="shared" si="13"/>
        <v>15031.7</v>
      </c>
      <c r="J17" s="123">
        <f>I17/H17*100</f>
        <v>99.761078333123166</v>
      </c>
      <c r="K17" s="123">
        <f t="shared" si="13"/>
        <v>23553.300000000003</v>
      </c>
      <c r="L17" s="123">
        <f t="shared" si="13"/>
        <v>22671.500000000004</v>
      </c>
      <c r="M17" s="123">
        <f>L17/K17*100</f>
        <v>96.256150942755369</v>
      </c>
      <c r="N17" s="123">
        <f t="shared" si="13"/>
        <v>26473.399999999994</v>
      </c>
      <c r="O17" s="123">
        <f t="shared" si="13"/>
        <v>21846.400000000001</v>
      </c>
      <c r="P17" s="123">
        <f>O17/N17*100</f>
        <v>82.522078765855568</v>
      </c>
      <c r="Q17" s="123">
        <f t="shared" ref="Q17:AQ17" si="14">SUM(Q18:Q21)</f>
        <v>26040.100000000002</v>
      </c>
      <c r="R17" s="123">
        <f t="shared" si="14"/>
        <v>0</v>
      </c>
      <c r="S17" s="123">
        <f>R17/Q17*100</f>
        <v>0</v>
      </c>
      <c r="T17" s="123">
        <f t="shared" si="14"/>
        <v>25055.800000000003</v>
      </c>
      <c r="U17" s="123">
        <f t="shared" si="14"/>
        <v>0</v>
      </c>
      <c r="V17" s="123">
        <f>U17/T17*100</f>
        <v>0</v>
      </c>
      <c r="W17" s="123">
        <f t="shared" si="14"/>
        <v>25229.899999999998</v>
      </c>
      <c r="X17" s="123">
        <f t="shared" si="14"/>
        <v>0</v>
      </c>
      <c r="Y17" s="123">
        <f t="shared" si="14"/>
        <v>0</v>
      </c>
      <c r="Z17" s="123">
        <f t="shared" si="14"/>
        <v>31402.3</v>
      </c>
      <c r="AA17" s="123">
        <f t="shared" si="14"/>
        <v>0</v>
      </c>
      <c r="AB17" s="117">
        <f t="shared" si="2"/>
        <v>0</v>
      </c>
      <c r="AC17" s="123">
        <f t="shared" si="14"/>
        <v>26067.8</v>
      </c>
      <c r="AD17" s="123">
        <f t="shared" si="14"/>
        <v>0</v>
      </c>
      <c r="AE17" s="123">
        <f t="shared" si="12"/>
        <v>0</v>
      </c>
      <c r="AF17" s="123">
        <f t="shared" si="14"/>
        <v>21771.4</v>
      </c>
      <c r="AG17" s="123">
        <f t="shared" si="14"/>
        <v>0</v>
      </c>
      <c r="AH17" s="123">
        <f t="shared" ref="AH17:AH18" si="15">AG17/AF17*100</f>
        <v>0</v>
      </c>
      <c r="AI17" s="123">
        <f t="shared" si="14"/>
        <v>20667.5</v>
      </c>
      <c r="AJ17" s="123">
        <f t="shared" si="14"/>
        <v>0</v>
      </c>
      <c r="AK17" s="123">
        <f t="shared" si="14"/>
        <v>0</v>
      </c>
      <c r="AL17" s="123">
        <f t="shared" si="14"/>
        <v>20413.399999999998</v>
      </c>
      <c r="AM17" s="123">
        <f t="shared" si="14"/>
        <v>0</v>
      </c>
      <c r="AN17" s="123">
        <f t="shared" si="14"/>
        <v>0</v>
      </c>
      <c r="AO17" s="123">
        <f>SUM(AO18:AO21)</f>
        <v>43562.1</v>
      </c>
      <c r="AP17" s="123">
        <f t="shared" si="14"/>
        <v>0</v>
      </c>
      <c r="AQ17" s="123">
        <f t="shared" si="14"/>
        <v>0</v>
      </c>
      <c r="AR17" s="425" t="s">
        <v>529</v>
      </c>
      <c r="AS17" s="479" t="s">
        <v>527</v>
      </c>
      <c r="AT17" s="233"/>
      <c r="AU17" s="233"/>
      <c r="AV17" s="234"/>
      <c r="AX17" s="233"/>
    </row>
    <row r="18" spans="1:50" s="235" customFormat="1" ht="111.75" customHeight="1">
      <c r="A18" s="453"/>
      <c r="B18" s="477"/>
      <c r="C18" s="450"/>
      <c r="D18" s="220" t="s">
        <v>442</v>
      </c>
      <c r="E18" s="123">
        <f>H18+K18+N18+Q18+T18+W18+Z18+AC18+AF18+AI18+AL18+AO18</f>
        <v>93638.9</v>
      </c>
      <c r="F18" s="123">
        <f>I18+L18+O18+R18+U18+X18+AA18+AD18+AG18+AJ18+AM18+AP18</f>
        <v>13563.7</v>
      </c>
      <c r="G18" s="123">
        <f t="shared" si="1"/>
        <v>14.485112490642246</v>
      </c>
      <c r="H18" s="123">
        <v>650.6</v>
      </c>
      <c r="I18" s="123">
        <v>614.6</v>
      </c>
      <c r="J18" s="123">
        <f>I18/H18*100</f>
        <v>94.466646172763603</v>
      </c>
      <c r="K18" s="123">
        <v>6684.7</v>
      </c>
      <c r="L18" s="123">
        <v>5746.5</v>
      </c>
      <c r="M18" s="123">
        <f>L18/K18*100</f>
        <v>85.964964770296348</v>
      </c>
      <c r="N18" s="123">
        <v>7767.9</v>
      </c>
      <c r="O18" s="123">
        <v>7202.6</v>
      </c>
      <c r="P18" s="123">
        <f>O18/N18*100</f>
        <v>92.722614863734094</v>
      </c>
      <c r="Q18" s="123">
        <v>7456.7</v>
      </c>
      <c r="R18" s="123">
        <v>0</v>
      </c>
      <c r="S18" s="123">
        <f>R18/Q18*100</f>
        <v>0</v>
      </c>
      <c r="T18" s="221">
        <v>8517.9</v>
      </c>
      <c r="U18" s="221">
        <v>0</v>
      </c>
      <c r="V18" s="117">
        <f t="shared" ref="V18" si="16">U18/T18*100</f>
        <v>0</v>
      </c>
      <c r="W18" s="123">
        <v>6716.3</v>
      </c>
      <c r="X18" s="117">
        <v>0</v>
      </c>
      <c r="Y18" s="117">
        <f t="shared" ref="Y18" si="17">X18/W18*100</f>
        <v>0</v>
      </c>
      <c r="Z18" s="123">
        <v>9065.5</v>
      </c>
      <c r="AA18" s="123">
        <v>0</v>
      </c>
      <c r="AB18" s="117">
        <f t="shared" si="2"/>
        <v>0</v>
      </c>
      <c r="AC18" s="221">
        <v>8078.5</v>
      </c>
      <c r="AD18" s="221">
        <v>0</v>
      </c>
      <c r="AE18" s="117">
        <f t="shared" si="12"/>
        <v>0</v>
      </c>
      <c r="AF18" s="221">
        <v>6913.9</v>
      </c>
      <c r="AG18" s="222">
        <v>0</v>
      </c>
      <c r="AH18" s="123">
        <f t="shared" si="15"/>
        <v>0</v>
      </c>
      <c r="AI18" s="221">
        <v>7445.3</v>
      </c>
      <c r="AJ18" s="221">
        <v>0</v>
      </c>
      <c r="AK18" s="221">
        <f>AJ18/AI18*100</f>
        <v>0</v>
      </c>
      <c r="AL18" s="221">
        <v>7134.4</v>
      </c>
      <c r="AM18" s="221">
        <v>0</v>
      </c>
      <c r="AN18" s="221">
        <f>AM18/AL18*100</f>
        <v>0</v>
      </c>
      <c r="AO18" s="221">
        <v>17207.2</v>
      </c>
      <c r="AP18" s="123">
        <v>0</v>
      </c>
      <c r="AQ18" s="123">
        <f>AP18/AO18*100</f>
        <v>0</v>
      </c>
      <c r="AR18" s="426"/>
      <c r="AS18" s="480"/>
      <c r="AT18" s="233"/>
      <c r="AU18" s="233"/>
      <c r="AV18" s="234"/>
      <c r="AX18" s="233"/>
    </row>
    <row r="19" spans="1:50" s="235" customFormat="1" ht="126.75" customHeight="1">
      <c r="A19" s="453"/>
      <c r="B19" s="477"/>
      <c r="C19" s="450"/>
      <c r="D19" s="220" t="s">
        <v>456</v>
      </c>
      <c r="E19" s="123">
        <f t="shared" ref="E19:F21" si="18">H19+K19+N19+Q19+T19+W19+Z19+AC19+AF19+AI19+AL19+AO19</f>
        <v>206068.90000000002</v>
      </c>
      <c r="F19" s="123">
        <f t="shared" si="18"/>
        <v>44792.800000000003</v>
      </c>
      <c r="G19" s="123">
        <f t="shared" si="1"/>
        <v>21.736807446441457</v>
      </c>
      <c r="H19" s="123">
        <v>14362.2</v>
      </c>
      <c r="I19" s="123">
        <v>14362.2</v>
      </c>
      <c r="J19" s="123">
        <f>I19/H19*100</f>
        <v>100</v>
      </c>
      <c r="K19" s="123">
        <v>16415.900000000001</v>
      </c>
      <c r="L19" s="123">
        <v>16415.900000000001</v>
      </c>
      <c r="M19" s="123">
        <f>L19/K19*100</f>
        <v>100</v>
      </c>
      <c r="N19" s="123">
        <f>48930-16415.9-14362.2</f>
        <v>18151.899999999998</v>
      </c>
      <c r="O19" s="123">
        <v>14014.7</v>
      </c>
      <c r="P19" s="123">
        <f>O19/N19*100</f>
        <v>77.207895592196977</v>
      </c>
      <c r="Q19" s="123">
        <v>18100</v>
      </c>
      <c r="R19" s="123">
        <v>0</v>
      </c>
      <c r="S19" s="123">
        <f>R19/Q19*100</f>
        <v>0</v>
      </c>
      <c r="T19" s="221">
        <v>16150</v>
      </c>
      <c r="U19" s="221">
        <v>0</v>
      </c>
      <c r="V19" s="117">
        <f t="shared" ref="V19:V21" si="19">U19/T19*100</f>
        <v>0</v>
      </c>
      <c r="W19" s="123">
        <f>51813.6-18100-16150</f>
        <v>17563.599999999999</v>
      </c>
      <c r="X19" s="117">
        <v>0</v>
      </c>
      <c r="Y19" s="117">
        <f t="shared" ref="Y19:Y21" si="20">X19/W19*100</f>
        <v>0</v>
      </c>
      <c r="Z19" s="123">
        <v>21815</v>
      </c>
      <c r="AA19" s="123">
        <v>0</v>
      </c>
      <c r="AB19" s="117">
        <f t="shared" ref="AB19:AB21" si="21">AA19/Z19*100</f>
        <v>0</v>
      </c>
      <c r="AC19" s="221">
        <v>17440</v>
      </c>
      <c r="AD19" s="221">
        <v>0</v>
      </c>
      <c r="AE19" s="117">
        <f t="shared" ref="AE19:AE21" si="22">AD19/AC19*100</f>
        <v>0</v>
      </c>
      <c r="AF19" s="221">
        <f>53751.6-21815-17440</f>
        <v>14496.599999999999</v>
      </c>
      <c r="AG19" s="222">
        <v>0</v>
      </c>
      <c r="AH19" s="123">
        <f t="shared" ref="AH19:AH21" si="23">AG19/AF19*100</f>
        <v>0</v>
      </c>
      <c r="AI19" s="221">
        <v>12893</v>
      </c>
      <c r="AJ19" s="221">
        <v>0</v>
      </c>
      <c r="AK19" s="221">
        <f>AJ19/AI19*100</f>
        <v>0</v>
      </c>
      <c r="AL19" s="221">
        <f>51573.7-12893-25780</f>
        <v>12900.699999999997</v>
      </c>
      <c r="AM19" s="221">
        <v>0</v>
      </c>
      <c r="AN19" s="221">
        <f>AM19/AL19*100</f>
        <v>0</v>
      </c>
      <c r="AO19" s="221">
        <v>25780</v>
      </c>
      <c r="AP19" s="123">
        <v>0</v>
      </c>
      <c r="AQ19" s="123">
        <f>AP19/AO19*100</f>
        <v>0</v>
      </c>
      <c r="AR19" s="426"/>
      <c r="AS19" s="480"/>
      <c r="AT19" s="233"/>
      <c r="AU19" s="233"/>
      <c r="AV19" s="234"/>
      <c r="AX19" s="233"/>
    </row>
    <row r="20" spans="1:50" s="236" customFormat="1" ht="36">
      <c r="A20" s="453"/>
      <c r="B20" s="477"/>
      <c r="C20" s="450"/>
      <c r="D20" s="224" t="s">
        <v>452</v>
      </c>
      <c r="E20" s="229">
        <f t="shared" si="18"/>
        <v>0</v>
      </c>
      <c r="F20" s="229">
        <f t="shared" si="18"/>
        <v>162.5</v>
      </c>
      <c r="G20" s="229">
        <v>0</v>
      </c>
      <c r="H20" s="229">
        <v>0</v>
      </c>
      <c r="I20" s="229">
        <v>0</v>
      </c>
      <c r="J20" s="229">
        <v>0</v>
      </c>
      <c r="K20" s="229">
        <v>0</v>
      </c>
      <c r="L20" s="229">
        <v>56.4</v>
      </c>
      <c r="M20" s="229">
        <v>0</v>
      </c>
      <c r="N20" s="229">
        <v>0</v>
      </c>
      <c r="O20" s="229">
        <v>106.1</v>
      </c>
      <c r="P20" s="229">
        <v>0</v>
      </c>
      <c r="Q20" s="229">
        <v>0</v>
      </c>
      <c r="R20" s="229">
        <v>0</v>
      </c>
      <c r="S20" s="229">
        <v>0</v>
      </c>
      <c r="T20" s="230">
        <v>0</v>
      </c>
      <c r="U20" s="230">
        <v>0</v>
      </c>
      <c r="V20" s="230">
        <v>0</v>
      </c>
      <c r="W20" s="230">
        <v>0</v>
      </c>
      <c r="X20" s="230">
        <v>0</v>
      </c>
      <c r="Y20" s="230">
        <v>0</v>
      </c>
      <c r="Z20" s="229">
        <v>0</v>
      </c>
      <c r="AA20" s="229">
        <v>0</v>
      </c>
      <c r="AB20" s="229">
        <v>0</v>
      </c>
      <c r="AC20" s="230">
        <v>0</v>
      </c>
      <c r="AD20" s="230">
        <v>0</v>
      </c>
      <c r="AE20" s="230">
        <v>0</v>
      </c>
      <c r="AF20" s="230">
        <v>0</v>
      </c>
      <c r="AG20" s="230">
        <v>0</v>
      </c>
      <c r="AH20" s="230">
        <v>0</v>
      </c>
      <c r="AI20" s="229">
        <v>0</v>
      </c>
      <c r="AJ20" s="229">
        <v>0</v>
      </c>
      <c r="AK20" s="229">
        <v>0</v>
      </c>
      <c r="AL20" s="230">
        <v>0</v>
      </c>
      <c r="AM20" s="230">
        <v>0</v>
      </c>
      <c r="AN20" s="230">
        <v>0</v>
      </c>
      <c r="AO20" s="230">
        <v>0</v>
      </c>
      <c r="AP20" s="229">
        <v>0</v>
      </c>
      <c r="AQ20" s="229">
        <v>0</v>
      </c>
      <c r="AR20" s="426"/>
      <c r="AS20" s="480"/>
      <c r="AT20" s="232"/>
      <c r="AU20" s="233"/>
      <c r="AV20" s="234"/>
      <c r="AW20" s="235"/>
      <c r="AX20" s="233"/>
    </row>
    <row r="21" spans="1:50" s="235" customFormat="1" ht="157.5" customHeight="1">
      <c r="A21" s="453"/>
      <c r="B21" s="477"/>
      <c r="C21" s="450"/>
      <c r="D21" s="143" t="s">
        <v>257</v>
      </c>
      <c r="E21" s="123">
        <f t="shared" si="18"/>
        <v>5596.9</v>
      </c>
      <c r="F21" s="123">
        <f t="shared" si="18"/>
        <v>1030.5999999999999</v>
      </c>
      <c r="G21" s="123">
        <f t="shared" si="1"/>
        <v>18.413764762636458</v>
      </c>
      <c r="H21" s="123">
        <v>54.9</v>
      </c>
      <c r="I21" s="123">
        <v>54.9</v>
      </c>
      <c r="J21" s="123">
        <f>I21/H21*100</f>
        <v>100</v>
      </c>
      <c r="K21" s="123">
        <v>452.7</v>
      </c>
      <c r="L21" s="123">
        <v>452.7</v>
      </c>
      <c r="M21" s="123">
        <f>L21/K21*100</f>
        <v>100</v>
      </c>
      <c r="N21" s="123">
        <f>1061.2-54.9-452.7</f>
        <v>553.60000000000014</v>
      </c>
      <c r="O21" s="123">
        <v>523</v>
      </c>
      <c r="P21" s="123">
        <f>O21/N21*100</f>
        <v>94.472543352601136</v>
      </c>
      <c r="Q21" s="123">
        <v>483.4</v>
      </c>
      <c r="R21" s="123">
        <v>0</v>
      </c>
      <c r="S21" s="123">
        <f>R21/Q21*100</f>
        <v>0</v>
      </c>
      <c r="T21" s="221">
        <v>387.9</v>
      </c>
      <c r="U21" s="221">
        <v>0</v>
      </c>
      <c r="V21" s="117">
        <f t="shared" si="19"/>
        <v>0</v>
      </c>
      <c r="W21" s="117">
        <f>344.4+605.6</f>
        <v>950</v>
      </c>
      <c r="X21" s="117">
        <v>0</v>
      </c>
      <c r="Y21" s="117">
        <f t="shared" si="20"/>
        <v>0</v>
      </c>
      <c r="Z21" s="123">
        <v>521.79999999999995</v>
      </c>
      <c r="AA21" s="123">
        <v>0</v>
      </c>
      <c r="AB21" s="117">
        <f t="shared" si="21"/>
        <v>0</v>
      </c>
      <c r="AC21" s="221">
        <f>538.8+10.5</f>
        <v>549.29999999999995</v>
      </c>
      <c r="AD21" s="221">
        <v>0</v>
      </c>
      <c r="AE21" s="117">
        <f t="shared" si="22"/>
        <v>0</v>
      </c>
      <c r="AF21" s="221">
        <v>360.9</v>
      </c>
      <c r="AG21" s="222">
        <v>0</v>
      </c>
      <c r="AH21" s="123">
        <f t="shared" si="23"/>
        <v>0</v>
      </c>
      <c r="AI21" s="221">
        <v>329.2</v>
      </c>
      <c r="AJ21" s="221">
        <v>0</v>
      </c>
      <c r="AK21" s="221">
        <f>AJ21/AI21*100</f>
        <v>0</v>
      </c>
      <c r="AL21" s="221">
        <v>378.3</v>
      </c>
      <c r="AM21" s="221">
        <v>0</v>
      </c>
      <c r="AN21" s="221">
        <f>AM21/AL21*100</f>
        <v>0</v>
      </c>
      <c r="AO21" s="221">
        <f>606.8-31.9</f>
        <v>574.9</v>
      </c>
      <c r="AP21" s="123">
        <v>0</v>
      </c>
      <c r="AQ21" s="123">
        <f>AP21/AO21*100</f>
        <v>0</v>
      </c>
      <c r="AR21" s="426"/>
      <c r="AS21" s="480"/>
      <c r="AT21" s="233"/>
      <c r="AU21" s="233"/>
      <c r="AV21" s="234"/>
      <c r="AX21" s="233"/>
    </row>
    <row r="22" spans="1:50" s="235" customFormat="1" ht="189.75" customHeight="1">
      <c r="A22" s="454"/>
      <c r="B22" s="478"/>
      <c r="C22" s="451"/>
      <c r="D22" s="143" t="s">
        <v>462</v>
      </c>
      <c r="E22" s="123">
        <f>H22+K22+N22+Q22+T22+W22+Z22+AC22+AF22+AI22+AL22+AO22</f>
        <v>0</v>
      </c>
      <c r="F22" s="123">
        <f>I22+L22+O22+R22+U22+X22+AA22+AD22+AG22+AJ22+AM22+AP22</f>
        <v>0</v>
      </c>
      <c r="G22" s="123">
        <v>0</v>
      </c>
      <c r="H22" s="123">
        <v>0</v>
      </c>
      <c r="I22" s="123">
        <v>0</v>
      </c>
      <c r="J22" s="123">
        <v>0</v>
      </c>
      <c r="K22" s="132">
        <v>0</v>
      </c>
      <c r="L22" s="123">
        <v>0</v>
      </c>
      <c r="M22" s="123">
        <v>0</v>
      </c>
      <c r="N22" s="123">
        <v>0</v>
      </c>
      <c r="O22" s="123">
        <v>0</v>
      </c>
      <c r="P22" s="123">
        <v>0</v>
      </c>
      <c r="Q22" s="123">
        <v>0</v>
      </c>
      <c r="R22" s="123">
        <v>0</v>
      </c>
      <c r="S22" s="123">
        <v>0</v>
      </c>
      <c r="T22" s="117">
        <v>0</v>
      </c>
      <c r="U22" s="117">
        <v>0</v>
      </c>
      <c r="V22" s="123">
        <v>0</v>
      </c>
      <c r="W22" s="117">
        <v>0</v>
      </c>
      <c r="X22" s="117">
        <v>0</v>
      </c>
      <c r="Y22" s="117">
        <v>0</v>
      </c>
      <c r="Z22" s="117">
        <v>0</v>
      </c>
      <c r="AA22" s="117">
        <v>0</v>
      </c>
      <c r="AB22" s="117">
        <v>0</v>
      </c>
      <c r="AC22" s="117">
        <v>0</v>
      </c>
      <c r="AD22" s="117">
        <v>0</v>
      </c>
      <c r="AE22" s="117">
        <v>0</v>
      </c>
      <c r="AF22" s="117">
        <v>0</v>
      </c>
      <c r="AG22" s="117">
        <v>0</v>
      </c>
      <c r="AH22" s="123">
        <v>0</v>
      </c>
      <c r="AI22" s="123">
        <v>0</v>
      </c>
      <c r="AJ22" s="123">
        <v>0</v>
      </c>
      <c r="AK22" s="123">
        <v>0</v>
      </c>
      <c r="AL22" s="117">
        <v>0</v>
      </c>
      <c r="AM22" s="117">
        <v>0</v>
      </c>
      <c r="AN22" s="117">
        <v>0</v>
      </c>
      <c r="AO22" s="123">
        <v>0</v>
      </c>
      <c r="AP22" s="123">
        <v>0</v>
      </c>
      <c r="AQ22" s="123">
        <v>0</v>
      </c>
      <c r="AR22" s="427"/>
      <c r="AS22" s="481"/>
      <c r="AT22" s="233"/>
      <c r="AU22" s="233"/>
      <c r="AV22" s="234"/>
    </row>
    <row r="23" spans="1:50" s="235" customFormat="1" ht="12.75" customHeight="1">
      <c r="A23" s="452" t="s">
        <v>4</v>
      </c>
      <c r="B23" s="449" t="s">
        <v>490</v>
      </c>
      <c r="C23" s="449" t="s">
        <v>486</v>
      </c>
      <c r="D23" s="219" t="s">
        <v>444</v>
      </c>
      <c r="E23" s="123">
        <f>E24+E25+E26+E27</f>
        <v>118013.2</v>
      </c>
      <c r="F23" s="123">
        <f>F24+F25+F26+F27</f>
        <v>23523.4</v>
      </c>
      <c r="G23" s="123">
        <f t="shared" si="1"/>
        <v>19.932854968766208</v>
      </c>
      <c r="H23" s="123">
        <f>H24+H25+H26+H27</f>
        <v>2175.8000000000002</v>
      </c>
      <c r="I23" s="123">
        <f>I24+I25+I26+I27</f>
        <v>2175.8000000000002</v>
      </c>
      <c r="J23" s="123">
        <f>I23/H23*100</f>
        <v>100</v>
      </c>
      <c r="K23" s="123">
        <f>K24+K25+K26+K27</f>
        <v>13283.2</v>
      </c>
      <c r="L23" s="123">
        <f>L24+L25+L26+L27</f>
        <v>13283.2</v>
      </c>
      <c r="M23" s="123">
        <f t="shared" ref="M23:M28" si="24">L23/K23*100</f>
        <v>100</v>
      </c>
      <c r="N23" s="123">
        <f>N24+N25+N26+N27</f>
        <v>10523.2</v>
      </c>
      <c r="O23" s="123">
        <f>O24+O25+O26+O27</f>
        <v>8064.4000000000005</v>
      </c>
      <c r="P23" s="123">
        <f t="shared" ref="P23:P28" si="25">O23/N23*100</f>
        <v>76.634483807206934</v>
      </c>
      <c r="Q23" s="123">
        <f t="shared" ref="Q23:AO23" si="26">Q24+Q25+Q26+Q27</f>
        <v>10783</v>
      </c>
      <c r="R23" s="123">
        <f t="shared" si="26"/>
        <v>0</v>
      </c>
      <c r="S23" s="123">
        <f t="shared" si="26"/>
        <v>0</v>
      </c>
      <c r="T23" s="123">
        <f t="shared" si="26"/>
        <v>11517.9</v>
      </c>
      <c r="U23" s="123">
        <f t="shared" si="26"/>
        <v>0</v>
      </c>
      <c r="V23" s="123">
        <f t="shared" si="26"/>
        <v>0</v>
      </c>
      <c r="W23" s="123">
        <f t="shared" si="26"/>
        <v>11246</v>
      </c>
      <c r="X23" s="123">
        <f t="shared" si="26"/>
        <v>0</v>
      </c>
      <c r="Y23" s="123">
        <f t="shared" si="26"/>
        <v>0</v>
      </c>
      <c r="Z23" s="123">
        <f t="shared" si="26"/>
        <v>10784.2</v>
      </c>
      <c r="AA23" s="123">
        <f t="shared" si="26"/>
        <v>0</v>
      </c>
      <c r="AB23" s="123">
        <f t="shared" si="26"/>
        <v>0</v>
      </c>
      <c r="AC23" s="123">
        <f t="shared" si="26"/>
        <v>9781.4</v>
      </c>
      <c r="AD23" s="123">
        <f t="shared" si="26"/>
        <v>0</v>
      </c>
      <c r="AE23" s="123">
        <f t="shared" si="26"/>
        <v>0</v>
      </c>
      <c r="AF23" s="123">
        <f t="shared" si="26"/>
        <v>9013</v>
      </c>
      <c r="AG23" s="123">
        <f t="shared" si="26"/>
        <v>0</v>
      </c>
      <c r="AH23" s="123">
        <f t="shared" si="26"/>
        <v>0</v>
      </c>
      <c r="AI23" s="123">
        <f t="shared" si="26"/>
        <v>9632.5</v>
      </c>
      <c r="AJ23" s="123">
        <f t="shared" si="26"/>
        <v>0</v>
      </c>
      <c r="AK23" s="123">
        <f t="shared" si="26"/>
        <v>0</v>
      </c>
      <c r="AL23" s="123">
        <f t="shared" si="26"/>
        <v>9111</v>
      </c>
      <c r="AM23" s="123">
        <f t="shared" si="26"/>
        <v>0</v>
      </c>
      <c r="AN23" s="123">
        <f t="shared" si="26"/>
        <v>0</v>
      </c>
      <c r="AO23" s="123">
        <f t="shared" si="26"/>
        <v>10162</v>
      </c>
      <c r="AP23" s="123">
        <f>SUM(AP24:AP26)</f>
        <v>0</v>
      </c>
      <c r="AQ23" s="123">
        <f t="shared" ref="AQ23" si="27">AP23/AO23*100</f>
        <v>0</v>
      </c>
      <c r="AR23" s="343" t="s">
        <v>521</v>
      </c>
      <c r="AS23" s="343" t="s">
        <v>522</v>
      </c>
      <c r="AT23" s="233"/>
      <c r="AU23" s="233"/>
      <c r="AV23" s="234"/>
      <c r="AX23" s="233"/>
    </row>
    <row r="24" spans="1:50" s="235" customFormat="1" ht="49.5" customHeight="1">
      <c r="A24" s="453"/>
      <c r="B24" s="450"/>
      <c r="C24" s="450"/>
      <c r="D24" s="220" t="s">
        <v>442</v>
      </c>
      <c r="E24" s="123">
        <f>H24+K24+N24+Q24+T24+W24+Z24+AC24+AF24+AI24+AL24+AO24</f>
        <v>0</v>
      </c>
      <c r="F24" s="123">
        <f>I24+L24+O24+R24+U24+X24+AA24+AD24+AG24+AJ24+AM24+AP24</f>
        <v>0</v>
      </c>
      <c r="G24" s="123">
        <v>0</v>
      </c>
      <c r="H24" s="123">
        <v>0</v>
      </c>
      <c r="I24" s="123">
        <v>0</v>
      </c>
      <c r="J24" s="123">
        <v>0</v>
      </c>
      <c r="K24" s="132">
        <v>0</v>
      </c>
      <c r="L24" s="123">
        <v>0</v>
      </c>
      <c r="M24" s="123">
        <v>0</v>
      </c>
      <c r="N24" s="123">
        <v>0</v>
      </c>
      <c r="O24" s="123">
        <v>0</v>
      </c>
      <c r="P24" s="123">
        <v>0</v>
      </c>
      <c r="Q24" s="123">
        <v>0</v>
      </c>
      <c r="R24" s="123">
        <v>0</v>
      </c>
      <c r="S24" s="123">
        <v>0</v>
      </c>
      <c r="T24" s="117">
        <v>0</v>
      </c>
      <c r="U24" s="117">
        <v>0</v>
      </c>
      <c r="V24" s="123">
        <v>0</v>
      </c>
      <c r="W24" s="117">
        <v>0</v>
      </c>
      <c r="X24" s="117">
        <v>0</v>
      </c>
      <c r="Y24" s="117">
        <v>0</v>
      </c>
      <c r="Z24" s="117">
        <v>0</v>
      </c>
      <c r="AA24" s="117">
        <v>0</v>
      </c>
      <c r="AB24" s="117">
        <v>0</v>
      </c>
      <c r="AC24" s="117">
        <v>0</v>
      </c>
      <c r="AD24" s="117">
        <v>0</v>
      </c>
      <c r="AE24" s="117">
        <v>0</v>
      </c>
      <c r="AF24" s="117">
        <v>0</v>
      </c>
      <c r="AG24" s="117">
        <v>0</v>
      </c>
      <c r="AH24" s="123">
        <v>0</v>
      </c>
      <c r="AI24" s="123">
        <v>0</v>
      </c>
      <c r="AJ24" s="123">
        <v>0</v>
      </c>
      <c r="AK24" s="123">
        <v>0</v>
      </c>
      <c r="AL24" s="117">
        <v>0</v>
      </c>
      <c r="AM24" s="117">
        <v>0</v>
      </c>
      <c r="AN24" s="117">
        <v>0</v>
      </c>
      <c r="AO24" s="123">
        <v>0</v>
      </c>
      <c r="AP24" s="123">
        <v>0</v>
      </c>
      <c r="AQ24" s="123">
        <v>0</v>
      </c>
      <c r="AR24" s="344"/>
      <c r="AS24" s="344"/>
      <c r="AT24" s="233"/>
      <c r="AU24" s="233"/>
      <c r="AV24" s="234"/>
      <c r="AX24" s="233"/>
    </row>
    <row r="25" spans="1:50" s="235" customFormat="1" ht="30" customHeight="1">
      <c r="A25" s="453"/>
      <c r="B25" s="450"/>
      <c r="C25" s="450"/>
      <c r="D25" s="220" t="s">
        <v>456</v>
      </c>
      <c r="E25" s="123">
        <f>H25+K25+N25+Q25+T25+W25+Z25+AC25+AF25+AI25+AL25+AO25</f>
        <v>118013.2</v>
      </c>
      <c r="F25" s="123">
        <f>I25+L25+O25+R25+U25+X25+AA25+AD25+AG25+AJ25+AM25+AP25</f>
        <v>23523.4</v>
      </c>
      <c r="G25" s="123">
        <f>F25/E25*100</f>
        <v>19.932854968766208</v>
      </c>
      <c r="H25" s="123">
        <f>1436.8+739</f>
        <v>2175.8000000000002</v>
      </c>
      <c r="I25" s="123">
        <f>1436.8+739</f>
        <v>2175.8000000000002</v>
      </c>
      <c r="J25" s="123">
        <f>I25/H25*100</f>
        <v>100</v>
      </c>
      <c r="K25" s="123">
        <f>10372.2+2911</f>
        <v>13283.2</v>
      </c>
      <c r="L25" s="123">
        <f>10372.2+2911</f>
        <v>13283.2</v>
      </c>
      <c r="M25" s="123">
        <f>L25/K25*100</f>
        <v>100</v>
      </c>
      <c r="N25" s="123">
        <f>7853.8+2669.4</f>
        <v>10523.2</v>
      </c>
      <c r="O25" s="123">
        <f>5557.6+2506.8</f>
        <v>8064.4000000000005</v>
      </c>
      <c r="P25" s="123">
        <f>O25/N25*100</f>
        <v>76.634483807206934</v>
      </c>
      <c r="Q25" s="123">
        <f>8205+2578</f>
        <v>10783</v>
      </c>
      <c r="R25" s="123">
        <v>0</v>
      </c>
      <c r="S25" s="123">
        <f>R25/Q25*100</f>
        <v>0</v>
      </c>
      <c r="T25" s="221">
        <f>7958.9+3559</f>
        <v>11517.9</v>
      </c>
      <c r="U25" s="221">
        <v>0</v>
      </c>
      <c r="V25" s="117">
        <f t="shared" ref="V25" si="28">U25/T25*100</f>
        <v>0</v>
      </c>
      <c r="W25" s="123">
        <f>8423.9+2822.1</f>
        <v>11246</v>
      </c>
      <c r="X25" s="117">
        <v>0</v>
      </c>
      <c r="Y25" s="117">
        <f t="shared" ref="Y25" si="29">X25/W25*100</f>
        <v>0</v>
      </c>
      <c r="Z25" s="123">
        <f>7008.2+3776</f>
        <v>10784.2</v>
      </c>
      <c r="AA25" s="123">
        <v>0</v>
      </c>
      <c r="AB25" s="117">
        <f t="shared" ref="AB25" si="30">AA25/Z25*100</f>
        <v>0</v>
      </c>
      <c r="AC25" s="221">
        <f>6714.4+3067</f>
        <v>9781.4</v>
      </c>
      <c r="AD25" s="221">
        <v>0</v>
      </c>
      <c r="AE25" s="117">
        <f t="shared" ref="AE25" si="31">AD25/AC25*100</f>
        <v>0</v>
      </c>
      <c r="AF25" s="221">
        <f>6668.7+2344.3</f>
        <v>9013</v>
      </c>
      <c r="AG25" s="222">
        <v>0</v>
      </c>
      <c r="AH25" s="123">
        <f t="shared" ref="AH25" si="32">AG25/AF25*100</f>
        <v>0</v>
      </c>
      <c r="AI25" s="221">
        <f>7248.5+2384</f>
        <v>9632.5</v>
      </c>
      <c r="AJ25" s="221">
        <v>0</v>
      </c>
      <c r="AK25" s="221">
        <f>AJ25/AI25*100</f>
        <v>0</v>
      </c>
      <c r="AL25" s="221">
        <f>6846+2265</f>
        <v>9111</v>
      </c>
      <c r="AM25" s="221">
        <v>0</v>
      </c>
      <c r="AN25" s="221">
        <f>AM25/AL25*100</f>
        <v>0</v>
      </c>
      <c r="AO25" s="221">
        <f>6471.8+3690.2</f>
        <v>10162</v>
      </c>
      <c r="AP25" s="123">
        <v>0</v>
      </c>
      <c r="AQ25" s="123">
        <f>AP25/AO25*100</f>
        <v>0</v>
      </c>
      <c r="AR25" s="344"/>
      <c r="AS25" s="344"/>
      <c r="AT25" s="233"/>
      <c r="AU25" s="233"/>
      <c r="AV25" s="234"/>
      <c r="AX25" s="233"/>
    </row>
    <row r="26" spans="1:50" s="235" customFormat="1" ht="63.75" customHeight="1">
      <c r="A26" s="453"/>
      <c r="B26" s="450"/>
      <c r="C26" s="450"/>
      <c r="D26" s="143" t="s">
        <v>257</v>
      </c>
      <c r="E26" s="123">
        <f t="shared" ref="E26:F26" si="33">H26+K26+N26+Q26+T26+W26+Z26+AC26+AF26+AI26+AL26+AO26</f>
        <v>0</v>
      </c>
      <c r="F26" s="123">
        <f t="shared" si="33"/>
        <v>0</v>
      </c>
      <c r="G26" s="123">
        <v>0</v>
      </c>
      <c r="H26" s="123">
        <v>0</v>
      </c>
      <c r="I26" s="123">
        <v>0</v>
      </c>
      <c r="J26" s="123">
        <v>0</v>
      </c>
      <c r="K26" s="132">
        <v>0</v>
      </c>
      <c r="L26" s="123">
        <v>0</v>
      </c>
      <c r="M26" s="123">
        <v>0</v>
      </c>
      <c r="N26" s="123">
        <v>0</v>
      </c>
      <c r="O26" s="123">
        <v>0</v>
      </c>
      <c r="P26" s="123">
        <v>0</v>
      </c>
      <c r="Q26" s="123">
        <v>0</v>
      </c>
      <c r="R26" s="123">
        <v>0</v>
      </c>
      <c r="S26" s="123">
        <v>0</v>
      </c>
      <c r="T26" s="117">
        <v>0</v>
      </c>
      <c r="U26" s="117">
        <v>0</v>
      </c>
      <c r="V26" s="123">
        <v>0</v>
      </c>
      <c r="W26" s="117">
        <v>0</v>
      </c>
      <c r="X26" s="117">
        <v>0</v>
      </c>
      <c r="Y26" s="117">
        <v>0</v>
      </c>
      <c r="Z26" s="117">
        <v>0</v>
      </c>
      <c r="AA26" s="117">
        <v>0</v>
      </c>
      <c r="AB26" s="117">
        <v>0</v>
      </c>
      <c r="AC26" s="117">
        <v>0</v>
      </c>
      <c r="AD26" s="117">
        <v>0</v>
      </c>
      <c r="AE26" s="117">
        <v>0</v>
      </c>
      <c r="AF26" s="117">
        <v>0</v>
      </c>
      <c r="AG26" s="117">
        <v>0</v>
      </c>
      <c r="AH26" s="117">
        <v>0</v>
      </c>
      <c r="AI26" s="123">
        <v>0</v>
      </c>
      <c r="AJ26" s="123">
        <v>0</v>
      </c>
      <c r="AK26" s="123">
        <v>0</v>
      </c>
      <c r="AL26" s="117">
        <v>0</v>
      </c>
      <c r="AM26" s="117">
        <v>0</v>
      </c>
      <c r="AN26" s="117">
        <v>0</v>
      </c>
      <c r="AO26" s="123">
        <v>0</v>
      </c>
      <c r="AP26" s="123">
        <v>0</v>
      </c>
      <c r="AQ26" s="123">
        <v>0</v>
      </c>
      <c r="AR26" s="344"/>
      <c r="AS26" s="344"/>
      <c r="AT26" s="233"/>
      <c r="AU26" s="233"/>
      <c r="AV26" s="234"/>
    </row>
    <row r="27" spans="1:50" s="235" customFormat="1" ht="59.25" customHeight="1">
      <c r="A27" s="454"/>
      <c r="B27" s="451"/>
      <c r="C27" s="451"/>
      <c r="D27" s="143" t="s">
        <v>462</v>
      </c>
      <c r="E27" s="123">
        <f>H27+K27+N27+Q27+T27+W27+Z27+AC27+AF27+AI27+AL27+AO27</f>
        <v>0</v>
      </c>
      <c r="F27" s="123">
        <f>I27+L27+O27+R27+U27+X27+AA27+AD27+AG27+AJ27+AM27+AP27</f>
        <v>0</v>
      </c>
      <c r="G27" s="123">
        <v>0</v>
      </c>
      <c r="H27" s="123">
        <v>0</v>
      </c>
      <c r="I27" s="123">
        <v>0</v>
      </c>
      <c r="J27" s="123">
        <v>0</v>
      </c>
      <c r="K27" s="132">
        <v>0</v>
      </c>
      <c r="L27" s="123">
        <v>0</v>
      </c>
      <c r="M27" s="123">
        <v>0</v>
      </c>
      <c r="N27" s="123">
        <v>0</v>
      </c>
      <c r="O27" s="123">
        <v>0</v>
      </c>
      <c r="P27" s="123">
        <v>0</v>
      </c>
      <c r="Q27" s="123">
        <v>0</v>
      </c>
      <c r="R27" s="123">
        <v>0</v>
      </c>
      <c r="S27" s="123">
        <v>0</v>
      </c>
      <c r="T27" s="117">
        <v>0</v>
      </c>
      <c r="U27" s="117">
        <v>0</v>
      </c>
      <c r="V27" s="123">
        <v>0</v>
      </c>
      <c r="W27" s="117">
        <v>0</v>
      </c>
      <c r="X27" s="117">
        <v>0</v>
      </c>
      <c r="Y27" s="117">
        <v>0</v>
      </c>
      <c r="Z27" s="117">
        <v>0</v>
      </c>
      <c r="AA27" s="117">
        <v>0</v>
      </c>
      <c r="AB27" s="117">
        <v>0</v>
      </c>
      <c r="AC27" s="117">
        <v>0</v>
      </c>
      <c r="AD27" s="117">
        <v>0</v>
      </c>
      <c r="AE27" s="117">
        <v>0</v>
      </c>
      <c r="AF27" s="117">
        <v>0</v>
      </c>
      <c r="AG27" s="117">
        <v>0</v>
      </c>
      <c r="AH27" s="123">
        <v>0</v>
      </c>
      <c r="AI27" s="123">
        <v>0</v>
      </c>
      <c r="AJ27" s="123">
        <v>0</v>
      </c>
      <c r="AK27" s="123">
        <v>0</v>
      </c>
      <c r="AL27" s="117">
        <v>0</v>
      </c>
      <c r="AM27" s="117">
        <v>0</v>
      </c>
      <c r="AN27" s="117">
        <v>0</v>
      </c>
      <c r="AO27" s="123">
        <v>0</v>
      </c>
      <c r="AP27" s="123">
        <v>0</v>
      </c>
      <c r="AQ27" s="123">
        <v>0</v>
      </c>
      <c r="AR27" s="345"/>
      <c r="AS27" s="345"/>
      <c r="AT27" s="233"/>
      <c r="AU27" s="233"/>
      <c r="AV27" s="234"/>
    </row>
    <row r="28" spans="1:50" s="235" customFormat="1" ht="12.75" customHeight="1">
      <c r="A28" s="452" t="s">
        <v>459</v>
      </c>
      <c r="B28" s="449" t="s">
        <v>464</v>
      </c>
      <c r="C28" s="449" t="s">
        <v>487</v>
      </c>
      <c r="D28" s="219" t="s">
        <v>444</v>
      </c>
      <c r="E28" s="123">
        <f>SUM(E29:E30)</f>
        <v>4847.3</v>
      </c>
      <c r="F28" s="123">
        <f>SUM(F29:F30)</f>
        <v>1147.2</v>
      </c>
      <c r="G28" s="123">
        <f>F28/E28*100</f>
        <v>23.666783570234976</v>
      </c>
      <c r="H28" s="123">
        <f>SUM(H29:H30)</f>
        <v>404</v>
      </c>
      <c r="I28" s="123">
        <f>SUM(I29:I30)</f>
        <v>387.6</v>
      </c>
      <c r="J28" s="123">
        <f t="shared" ref="J28:J33" si="34">I28/H28*100</f>
        <v>95.940594059405953</v>
      </c>
      <c r="K28" s="123">
        <f>SUM(K29:K30)</f>
        <v>404</v>
      </c>
      <c r="L28" s="123">
        <f>SUM(L29:L30)</f>
        <v>361.6</v>
      </c>
      <c r="M28" s="123">
        <f t="shared" si="24"/>
        <v>89.504950495049513</v>
      </c>
      <c r="N28" s="123">
        <f>SUM(N29:N30)</f>
        <v>404</v>
      </c>
      <c r="O28" s="123">
        <f>SUM(O29:O30)</f>
        <v>398</v>
      </c>
      <c r="P28" s="123">
        <f t="shared" si="25"/>
        <v>98.514851485148512</v>
      </c>
      <c r="Q28" s="123">
        <f>SUM(Q29:Q30)</f>
        <v>404</v>
      </c>
      <c r="R28" s="123">
        <f>SUM(R29:R30)</f>
        <v>0</v>
      </c>
      <c r="S28" s="123">
        <f t="shared" ref="S28" si="35">R28/Q28*100</f>
        <v>0</v>
      </c>
      <c r="T28" s="123">
        <f>SUM(T29:T30)</f>
        <v>404</v>
      </c>
      <c r="U28" s="123">
        <f>SUM(U29:U30)</f>
        <v>0</v>
      </c>
      <c r="V28" s="123">
        <f t="shared" ref="V28" si="36">U28/T28*100</f>
        <v>0</v>
      </c>
      <c r="W28" s="123">
        <f t="shared" ref="W28:AD28" si="37">SUM(W29:W30)</f>
        <v>404</v>
      </c>
      <c r="X28" s="123">
        <f t="shared" si="37"/>
        <v>0</v>
      </c>
      <c r="Y28" s="123">
        <f t="shared" si="37"/>
        <v>0</v>
      </c>
      <c r="Z28" s="123">
        <f t="shared" si="37"/>
        <v>404</v>
      </c>
      <c r="AA28" s="123">
        <f t="shared" si="37"/>
        <v>0</v>
      </c>
      <c r="AB28" s="117">
        <f t="shared" ref="AB28:AB35" si="38">AA28/Z28*100</f>
        <v>0</v>
      </c>
      <c r="AC28" s="123">
        <f t="shared" si="37"/>
        <v>404</v>
      </c>
      <c r="AD28" s="123">
        <f t="shared" si="37"/>
        <v>0</v>
      </c>
      <c r="AE28" s="123">
        <f t="shared" si="12"/>
        <v>0</v>
      </c>
      <c r="AF28" s="123">
        <f t="shared" ref="AF28:AQ28" si="39">SUM(AF29:AF30)</f>
        <v>404</v>
      </c>
      <c r="AG28" s="123">
        <f t="shared" si="39"/>
        <v>0</v>
      </c>
      <c r="AH28" s="123">
        <f t="shared" ref="AH28" si="40">AG28/AF28*100</f>
        <v>0</v>
      </c>
      <c r="AI28" s="123">
        <f t="shared" si="39"/>
        <v>404</v>
      </c>
      <c r="AJ28" s="123">
        <f t="shared" si="39"/>
        <v>0</v>
      </c>
      <c r="AK28" s="123">
        <f t="shared" si="39"/>
        <v>0</v>
      </c>
      <c r="AL28" s="123">
        <f t="shared" si="39"/>
        <v>404</v>
      </c>
      <c r="AM28" s="123">
        <f t="shared" si="39"/>
        <v>0</v>
      </c>
      <c r="AN28" s="123">
        <f t="shared" si="39"/>
        <v>0</v>
      </c>
      <c r="AO28" s="123">
        <f t="shared" si="39"/>
        <v>403.3</v>
      </c>
      <c r="AP28" s="123">
        <f t="shared" si="39"/>
        <v>0</v>
      </c>
      <c r="AQ28" s="123">
        <f t="shared" si="39"/>
        <v>0</v>
      </c>
      <c r="AR28" s="343" t="s">
        <v>503</v>
      </c>
      <c r="AS28" s="237"/>
      <c r="AT28" s="233"/>
      <c r="AU28" s="233"/>
      <c r="AV28" s="234"/>
      <c r="AX28" s="233"/>
    </row>
    <row r="29" spans="1:50" s="235" customFormat="1" ht="35.25" customHeight="1">
      <c r="A29" s="453"/>
      <c r="B29" s="450"/>
      <c r="C29" s="450"/>
      <c r="D29" s="220" t="s">
        <v>442</v>
      </c>
      <c r="E29" s="123">
        <f>H29+K29+N29+Q29+T29+W29+Z29+AC29+AF29+AI29+AL29+AO29</f>
        <v>0</v>
      </c>
      <c r="F29" s="123">
        <f>I29+L29+O29+R29+U29+X29+AA29+AD29+AG29+AJ29+AM29+AP29</f>
        <v>0</v>
      </c>
      <c r="G29" s="123">
        <v>0</v>
      </c>
      <c r="H29" s="123">
        <v>0</v>
      </c>
      <c r="I29" s="123">
        <v>0</v>
      </c>
      <c r="J29" s="123">
        <v>0</v>
      </c>
      <c r="K29" s="132">
        <v>0</v>
      </c>
      <c r="L29" s="123">
        <v>0</v>
      </c>
      <c r="M29" s="123">
        <v>0</v>
      </c>
      <c r="N29" s="123">
        <v>0</v>
      </c>
      <c r="O29" s="123">
        <v>0</v>
      </c>
      <c r="P29" s="123">
        <v>0</v>
      </c>
      <c r="Q29" s="123">
        <v>0</v>
      </c>
      <c r="R29" s="123">
        <v>0</v>
      </c>
      <c r="S29" s="123">
        <v>0</v>
      </c>
      <c r="T29" s="117">
        <v>0</v>
      </c>
      <c r="U29" s="117">
        <v>0</v>
      </c>
      <c r="V29" s="123">
        <v>0</v>
      </c>
      <c r="W29" s="117">
        <v>0</v>
      </c>
      <c r="X29" s="117">
        <v>0</v>
      </c>
      <c r="Y29" s="117">
        <v>0</v>
      </c>
      <c r="Z29" s="117">
        <v>0</v>
      </c>
      <c r="AA29" s="117">
        <v>0</v>
      </c>
      <c r="AB29" s="117">
        <v>0</v>
      </c>
      <c r="AC29" s="117">
        <v>0</v>
      </c>
      <c r="AD29" s="117">
        <v>0</v>
      </c>
      <c r="AE29" s="117">
        <v>0</v>
      </c>
      <c r="AF29" s="117">
        <v>0</v>
      </c>
      <c r="AG29" s="117">
        <v>0</v>
      </c>
      <c r="AH29" s="117">
        <v>0</v>
      </c>
      <c r="AI29" s="123">
        <v>0</v>
      </c>
      <c r="AJ29" s="123">
        <v>0</v>
      </c>
      <c r="AK29" s="123">
        <v>0</v>
      </c>
      <c r="AL29" s="117">
        <v>0</v>
      </c>
      <c r="AM29" s="117">
        <v>0</v>
      </c>
      <c r="AN29" s="117">
        <v>0</v>
      </c>
      <c r="AO29" s="123">
        <v>0</v>
      </c>
      <c r="AP29" s="123">
        <v>0</v>
      </c>
      <c r="AQ29" s="123">
        <v>0</v>
      </c>
      <c r="AR29" s="344"/>
      <c r="AS29" s="238"/>
      <c r="AT29" s="233"/>
      <c r="AU29" s="233"/>
      <c r="AV29" s="234"/>
      <c r="AX29" s="233"/>
    </row>
    <row r="30" spans="1:50" s="235" customFormat="1" ht="12.75">
      <c r="A30" s="453"/>
      <c r="B30" s="450"/>
      <c r="C30" s="450"/>
      <c r="D30" s="220" t="s">
        <v>456</v>
      </c>
      <c r="E30" s="123">
        <f t="shared" ref="E30:F31" si="41">H30+K30+N30+Q30+T30+W30+Z30+AC30+AF30+AI30+AL30+AO30</f>
        <v>4847.3</v>
      </c>
      <c r="F30" s="123">
        <f t="shared" si="41"/>
        <v>1147.2</v>
      </c>
      <c r="G30" s="123">
        <f>F30/E30*100</f>
        <v>23.666783570234976</v>
      </c>
      <c r="H30" s="123">
        <v>404</v>
      </c>
      <c r="I30" s="123">
        <v>387.6</v>
      </c>
      <c r="J30" s="123">
        <f>I30/H30*100</f>
        <v>95.940594059405953</v>
      </c>
      <c r="K30" s="123">
        <v>404</v>
      </c>
      <c r="L30" s="123">
        <v>361.6</v>
      </c>
      <c r="M30" s="123">
        <f>L30/K30*100</f>
        <v>89.504950495049513</v>
      </c>
      <c r="N30" s="123">
        <v>404</v>
      </c>
      <c r="O30" s="123">
        <v>398</v>
      </c>
      <c r="P30" s="123">
        <f>O30/N30*100</f>
        <v>98.514851485148512</v>
      </c>
      <c r="Q30" s="123">
        <v>404</v>
      </c>
      <c r="R30" s="123">
        <v>0</v>
      </c>
      <c r="S30" s="123">
        <f>R30/Q30*100</f>
        <v>0</v>
      </c>
      <c r="T30" s="221">
        <v>404</v>
      </c>
      <c r="U30" s="221">
        <v>0</v>
      </c>
      <c r="V30" s="117">
        <f t="shared" ref="V30" si="42">U30/T30*100</f>
        <v>0</v>
      </c>
      <c r="W30" s="117">
        <v>404</v>
      </c>
      <c r="X30" s="117">
        <v>0</v>
      </c>
      <c r="Y30" s="117">
        <f t="shared" ref="Y30" si="43">X30/W30*100</f>
        <v>0</v>
      </c>
      <c r="Z30" s="123">
        <v>404</v>
      </c>
      <c r="AA30" s="123">
        <v>0</v>
      </c>
      <c r="AB30" s="117">
        <f t="shared" ref="AB30" si="44">AA30/Z30*100</f>
        <v>0</v>
      </c>
      <c r="AC30" s="221">
        <v>404</v>
      </c>
      <c r="AD30" s="221">
        <v>0</v>
      </c>
      <c r="AE30" s="117">
        <f t="shared" ref="AE30" si="45">AD30/AC30*100</f>
        <v>0</v>
      </c>
      <c r="AF30" s="221">
        <v>404</v>
      </c>
      <c r="AG30" s="222">
        <v>0</v>
      </c>
      <c r="AH30" s="123">
        <f t="shared" ref="AH30" si="46">AG30/AF30*100</f>
        <v>0</v>
      </c>
      <c r="AI30" s="221">
        <v>404</v>
      </c>
      <c r="AJ30" s="221">
        <v>0</v>
      </c>
      <c r="AK30" s="221">
        <f>AJ30/AI30*100</f>
        <v>0</v>
      </c>
      <c r="AL30" s="221">
        <v>404</v>
      </c>
      <c r="AM30" s="221">
        <v>0</v>
      </c>
      <c r="AN30" s="221">
        <f>AM30/AL30*100</f>
        <v>0</v>
      </c>
      <c r="AO30" s="221">
        <v>403.3</v>
      </c>
      <c r="AP30" s="123">
        <v>0</v>
      </c>
      <c r="AQ30" s="123">
        <f>AP30/AO30*100</f>
        <v>0</v>
      </c>
      <c r="AR30" s="344"/>
      <c r="AS30" s="231"/>
      <c r="AT30" s="233"/>
      <c r="AU30" s="233"/>
      <c r="AV30" s="234"/>
      <c r="AX30" s="233"/>
    </row>
    <row r="31" spans="1:50" s="235" customFormat="1" ht="24">
      <c r="A31" s="453"/>
      <c r="B31" s="450"/>
      <c r="C31" s="450"/>
      <c r="D31" s="143" t="s">
        <v>257</v>
      </c>
      <c r="E31" s="123">
        <f t="shared" si="41"/>
        <v>0</v>
      </c>
      <c r="F31" s="123">
        <f t="shared" si="41"/>
        <v>0</v>
      </c>
      <c r="G31" s="123">
        <v>0</v>
      </c>
      <c r="H31" s="123">
        <v>0</v>
      </c>
      <c r="I31" s="123">
        <v>0</v>
      </c>
      <c r="J31" s="123">
        <v>0</v>
      </c>
      <c r="K31" s="132">
        <v>0</v>
      </c>
      <c r="L31" s="123">
        <v>0</v>
      </c>
      <c r="M31" s="123">
        <v>0</v>
      </c>
      <c r="N31" s="123">
        <v>0</v>
      </c>
      <c r="O31" s="123">
        <v>0</v>
      </c>
      <c r="P31" s="123">
        <v>0</v>
      </c>
      <c r="Q31" s="123">
        <v>0</v>
      </c>
      <c r="R31" s="123">
        <v>0</v>
      </c>
      <c r="S31" s="123">
        <v>0</v>
      </c>
      <c r="T31" s="117">
        <v>0</v>
      </c>
      <c r="U31" s="117">
        <v>0</v>
      </c>
      <c r="V31" s="123">
        <v>0</v>
      </c>
      <c r="W31" s="117">
        <v>0</v>
      </c>
      <c r="X31" s="117">
        <v>0</v>
      </c>
      <c r="Y31" s="117">
        <v>0</v>
      </c>
      <c r="Z31" s="117">
        <v>0</v>
      </c>
      <c r="AA31" s="117">
        <v>0</v>
      </c>
      <c r="AB31" s="117">
        <v>0</v>
      </c>
      <c r="AC31" s="117">
        <v>0</v>
      </c>
      <c r="AD31" s="117">
        <v>0</v>
      </c>
      <c r="AE31" s="117">
        <v>0</v>
      </c>
      <c r="AF31" s="117">
        <v>0</v>
      </c>
      <c r="AG31" s="117">
        <v>0</v>
      </c>
      <c r="AH31" s="117">
        <v>0</v>
      </c>
      <c r="AI31" s="123">
        <v>0</v>
      </c>
      <c r="AJ31" s="123">
        <v>0</v>
      </c>
      <c r="AK31" s="123">
        <v>0</v>
      </c>
      <c r="AL31" s="117">
        <v>0</v>
      </c>
      <c r="AM31" s="117">
        <v>0</v>
      </c>
      <c r="AN31" s="117">
        <v>0</v>
      </c>
      <c r="AO31" s="123">
        <v>0</v>
      </c>
      <c r="AP31" s="123">
        <v>0</v>
      </c>
      <c r="AQ31" s="123">
        <v>0</v>
      </c>
      <c r="AR31" s="344"/>
      <c r="AS31" s="231"/>
      <c r="AT31" s="233"/>
      <c r="AU31" s="233"/>
      <c r="AV31" s="234"/>
      <c r="AX31" s="233"/>
    </row>
    <row r="32" spans="1:50" s="235" customFormat="1" ht="24">
      <c r="A32" s="454"/>
      <c r="B32" s="451"/>
      <c r="C32" s="451"/>
      <c r="D32" s="143" t="s">
        <v>462</v>
      </c>
      <c r="E32" s="123">
        <f>H32+K32+N32+Q32+T32+W32+Z32+AC32+AF32+AI32+AL32+AO32</f>
        <v>0</v>
      </c>
      <c r="F32" s="123">
        <f>I32+L32+O32+R32+U32+X32+AA32+AD32+AG32+AJ32+AM32+AP32</f>
        <v>0</v>
      </c>
      <c r="G32" s="123">
        <v>0</v>
      </c>
      <c r="H32" s="123">
        <v>0</v>
      </c>
      <c r="I32" s="123">
        <v>0</v>
      </c>
      <c r="J32" s="123">
        <v>0</v>
      </c>
      <c r="K32" s="132">
        <v>0</v>
      </c>
      <c r="L32" s="123">
        <v>0</v>
      </c>
      <c r="M32" s="123">
        <v>0</v>
      </c>
      <c r="N32" s="123">
        <v>0</v>
      </c>
      <c r="O32" s="123">
        <v>0</v>
      </c>
      <c r="P32" s="123">
        <v>0</v>
      </c>
      <c r="Q32" s="123">
        <v>0</v>
      </c>
      <c r="R32" s="123">
        <v>0</v>
      </c>
      <c r="S32" s="123">
        <v>0</v>
      </c>
      <c r="T32" s="117">
        <v>0</v>
      </c>
      <c r="U32" s="117">
        <v>0</v>
      </c>
      <c r="V32" s="123">
        <v>0</v>
      </c>
      <c r="W32" s="117">
        <v>0</v>
      </c>
      <c r="X32" s="117">
        <v>0</v>
      </c>
      <c r="Y32" s="117">
        <v>0</v>
      </c>
      <c r="Z32" s="117">
        <v>0</v>
      </c>
      <c r="AA32" s="117">
        <v>0</v>
      </c>
      <c r="AB32" s="117">
        <v>0</v>
      </c>
      <c r="AC32" s="117">
        <v>0</v>
      </c>
      <c r="AD32" s="117">
        <v>0</v>
      </c>
      <c r="AE32" s="117">
        <v>0</v>
      </c>
      <c r="AF32" s="117">
        <v>0</v>
      </c>
      <c r="AG32" s="117">
        <v>0</v>
      </c>
      <c r="AH32" s="123">
        <v>0</v>
      </c>
      <c r="AI32" s="123">
        <v>0</v>
      </c>
      <c r="AJ32" s="123">
        <v>0</v>
      </c>
      <c r="AK32" s="123">
        <v>0</v>
      </c>
      <c r="AL32" s="117">
        <v>0</v>
      </c>
      <c r="AM32" s="117">
        <v>0</v>
      </c>
      <c r="AN32" s="117">
        <v>0</v>
      </c>
      <c r="AO32" s="123">
        <v>0</v>
      </c>
      <c r="AP32" s="123">
        <v>0</v>
      </c>
      <c r="AQ32" s="123">
        <v>0</v>
      </c>
      <c r="AR32" s="345"/>
      <c r="AS32" s="239"/>
      <c r="AT32" s="233"/>
      <c r="AU32" s="233"/>
      <c r="AV32" s="234"/>
    </row>
    <row r="33" spans="1:50" s="235" customFormat="1" ht="12.75" customHeight="1">
      <c r="A33" s="452" t="s">
        <v>6</v>
      </c>
      <c r="B33" s="449" t="s">
        <v>465</v>
      </c>
      <c r="C33" s="449" t="s">
        <v>505</v>
      </c>
      <c r="D33" s="219" t="s">
        <v>444</v>
      </c>
      <c r="E33" s="123">
        <f>SUM(E34:E36)</f>
        <v>9778.9</v>
      </c>
      <c r="F33" s="123">
        <f t="shared" ref="F33:O33" si="47">SUM(F34:F36)</f>
        <v>1001</v>
      </c>
      <c r="G33" s="123">
        <f>F33/E33*100</f>
        <v>10.236325149045394</v>
      </c>
      <c r="H33" s="123">
        <f t="shared" si="47"/>
        <v>214.6</v>
      </c>
      <c r="I33" s="123">
        <f t="shared" si="47"/>
        <v>59.5</v>
      </c>
      <c r="J33" s="123">
        <f t="shared" si="34"/>
        <v>27.726001863932897</v>
      </c>
      <c r="K33" s="123">
        <f t="shared" si="47"/>
        <v>515.29999999999995</v>
      </c>
      <c r="L33" s="123">
        <f t="shared" si="47"/>
        <v>515.19999999999993</v>
      </c>
      <c r="M33" s="123">
        <f t="shared" ref="M33" si="48">L33/K33*100</f>
        <v>99.980593828837556</v>
      </c>
      <c r="N33" s="123">
        <f t="shared" si="47"/>
        <v>1424.6000000000001</v>
      </c>
      <c r="O33" s="123">
        <f t="shared" si="47"/>
        <v>426.3</v>
      </c>
      <c r="P33" s="123">
        <f t="shared" ref="P33" si="49">O33/N33*100</f>
        <v>29.924189246104167</v>
      </c>
      <c r="Q33" s="123">
        <f t="shared" ref="Q33:Y33" si="50">SUM(Q34:Q36)</f>
        <v>995.1</v>
      </c>
      <c r="R33" s="123">
        <f t="shared" si="50"/>
        <v>0</v>
      </c>
      <c r="S33" s="123">
        <f t="shared" ref="S33" si="51">R33/Q33*100</f>
        <v>0</v>
      </c>
      <c r="T33" s="123">
        <f t="shared" si="50"/>
        <v>995.1</v>
      </c>
      <c r="U33" s="123">
        <f t="shared" si="50"/>
        <v>0</v>
      </c>
      <c r="V33" s="123">
        <f t="shared" si="50"/>
        <v>0</v>
      </c>
      <c r="W33" s="123">
        <f t="shared" si="50"/>
        <v>995.90000000000009</v>
      </c>
      <c r="X33" s="123">
        <f t="shared" si="50"/>
        <v>0</v>
      </c>
      <c r="Y33" s="123">
        <f t="shared" si="50"/>
        <v>0</v>
      </c>
      <c r="Z33" s="123">
        <f t="shared" ref="Z33:AA33" si="52">SUM(Z34:Z36)</f>
        <v>771.9</v>
      </c>
      <c r="AA33" s="123">
        <f t="shared" si="52"/>
        <v>0</v>
      </c>
      <c r="AB33" s="117">
        <f t="shared" si="38"/>
        <v>0</v>
      </c>
      <c r="AC33" s="123">
        <f t="shared" ref="AC33:AP33" si="53">SUM(AC34:AC36)</f>
        <v>967.6</v>
      </c>
      <c r="AD33" s="123">
        <f t="shared" si="53"/>
        <v>0</v>
      </c>
      <c r="AE33" s="123">
        <f t="shared" si="12"/>
        <v>0</v>
      </c>
      <c r="AF33" s="123">
        <f t="shared" si="53"/>
        <v>1163.1000000000001</v>
      </c>
      <c r="AG33" s="123">
        <f t="shared" si="53"/>
        <v>0</v>
      </c>
      <c r="AH33" s="123">
        <f t="shared" ref="AH33:AH34" si="54">AG33/AF33*100</f>
        <v>0</v>
      </c>
      <c r="AI33" s="123">
        <f t="shared" si="53"/>
        <v>578.5</v>
      </c>
      <c r="AJ33" s="123">
        <f t="shared" si="53"/>
        <v>0</v>
      </c>
      <c r="AK33" s="123">
        <f>AJ33/AI33*100</f>
        <v>0</v>
      </c>
      <c r="AL33" s="123">
        <f t="shared" si="53"/>
        <v>578.5</v>
      </c>
      <c r="AM33" s="123">
        <f t="shared" si="53"/>
        <v>0</v>
      </c>
      <c r="AN33" s="117">
        <f>AM33/AL33*100</f>
        <v>0</v>
      </c>
      <c r="AO33" s="123">
        <f t="shared" si="53"/>
        <v>578.70000000000005</v>
      </c>
      <c r="AP33" s="123">
        <f t="shared" si="53"/>
        <v>0</v>
      </c>
      <c r="AQ33" s="123">
        <f>AP33/AO33*100</f>
        <v>0</v>
      </c>
      <c r="AR33" s="343" t="s">
        <v>523</v>
      </c>
      <c r="AS33" s="343" t="s">
        <v>489</v>
      </c>
      <c r="AT33" s="233"/>
      <c r="AU33" s="233"/>
      <c r="AV33" s="234"/>
      <c r="AX33" s="233"/>
    </row>
    <row r="34" spans="1:50" s="235" customFormat="1" ht="48">
      <c r="A34" s="453"/>
      <c r="B34" s="450"/>
      <c r="C34" s="450"/>
      <c r="D34" s="220" t="s">
        <v>442</v>
      </c>
      <c r="E34" s="123">
        <f>H34+K34+N34+Q34+T34+W34+Z34+AC34+AF34+AI34+AL34+AO34</f>
        <v>3098.9</v>
      </c>
      <c r="F34" s="123">
        <f>I34+L34+O34+R34+U34+X34+AA34+AD34+AG34+AJ34+AM34+AP34</f>
        <v>283.60000000000002</v>
      </c>
      <c r="G34" s="123">
        <f>F34/E34*100</f>
        <v>9.1516344509342034</v>
      </c>
      <c r="H34" s="123">
        <v>155.19999999999999</v>
      </c>
      <c r="I34" s="123">
        <v>0</v>
      </c>
      <c r="J34" s="123">
        <f>I34/H34*100</f>
        <v>0</v>
      </c>
      <c r="K34" s="123">
        <v>126.8</v>
      </c>
      <c r="L34" s="123">
        <v>126.8</v>
      </c>
      <c r="M34" s="123">
        <f>L34/K34*100</f>
        <v>100</v>
      </c>
      <c r="N34" s="123">
        <v>156.80000000000001</v>
      </c>
      <c r="O34" s="123">
        <v>156.80000000000001</v>
      </c>
      <c r="P34" s="123">
        <f>O34/N34*100</f>
        <v>100</v>
      </c>
      <c r="Q34" s="123">
        <v>368</v>
      </c>
      <c r="R34" s="123">
        <v>0</v>
      </c>
      <c r="S34" s="123">
        <f>R34/Q34*100</f>
        <v>0</v>
      </c>
      <c r="T34" s="221">
        <v>368</v>
      </c>
      <c r="U34" s="221">
        <v>0</v>
      </c>
      <c r="V34" s="117">
        <f t="shared" ref="V34" si="55">U34/T34*100</f>
        <v>0</v>
      </c>
      <c r="W34" s="117">
        <v>368.8</v>
      </c>
      <c r="X34" s="117">
        <v>0</v>
      </c>
      <c r="Y34" s="117">
        <f t="shared" ref="Y34" si="56">X34/W34*100</f>
        <v>0</v>
      </c>
      <c r="Z34" s="123">
        <f>298-32.1</f>
        <v>265.89999999999998</v>
      </c>
      <c r="AA34" s="123">
        <v>0</v>
      </c>
      <c r="AB34" s="117">
        <f t="shared" si="38"/>
        <v>0</v>
      </c>
      <c r="AC34" s="221">
        <v>298</v>
      </c>
      <c r="AD34" s="221">
        <v>0</v>
      </c>
      <c r="AE34" s="117">
        <f t="shared" ref="AE34" si="57">AD34/AC34*100</f>
        <v>0</v>
      </c>
      <c r="AF34" s="221">
        <f>297.8+32.1</f>
        <v>329.90000000000003</v>
      </c>
      <c r="AG34" s="222">
        <v>0</v>
      </c>
      <c r="AH34" s="123">
        <f t="shared" si="54"/>
        <v>0</v>
      </c>
      <c r="AI34" s="221">
        <v>220.5</v>
      </c>
      <c r="AJ34" s="221">
        <v>0</v>
      </c>
      <c r="AK34" s="221">
        <f>AJ34/AI34*100</f>
        <v>0</v>
      </c>
      <c r="AL34" s="221">
        <v>220.5</v>
      </c>
      <c r="AM34" s="221">
        <v>0</v>
      </c>
      <c r="AN34" s="221">
        <f>AM34/AL34*100</f>
        <v>0</v>
      </c>
      <c r="AO34" s="221">
        <v>220.5</v>
      </c>
      <c r="AP34" s="123">
        <v>0</v>
      </c>
      <c r="AQ34" s="123">
        <f>AP34/AO34*100</f>
        <v>0</v>
      </c>
      <c r="AR34" s="344"/>
      <c r="AS34" s="344"/>
      <c r="AT34" s="233"/>
      <c r="AU34" s="233"/>
      <c r="AV34" s="234"/>
      <c r="AX34" s="233"/>
    </row>
    <row r="35" spans="1:50" s="235" customFormat="1" ht="12.75">
      <c r="A35" s="453"/>
      <c r="B35" s="450"/>
      <c r="C35" s="450"/>
      <c r="D35" s="220" t="s">
        <v>456</v>
      </c>
      <c r="E35" s="123">
        <f t="shared" ref="E35:F36" si="58">H35+K35+N35+Q35+T35+W35+Z35+AC35+AF35+AI35+AL35+AO35</f>
        <v>6680</v>
      </c>
      <c r="F35" s="123">
        <f t="shared" si="58"/>
        <v>717.4</v>
      </c>
      <c r="G35" s="123">
        <f>F35/E35*100</f>
        <v>10.739520958083832</v>
      </c>
      <c r="H35" s="123">
        <v>59.4</v>
      </c>
      <c r="I35" s="123">
        <v>59.5</v>
      </c>
      <c r="J35" s="123">
        <f>I35/H35*100</f>
        <v>100.16835016835017</v>
      </c>
      <c r="K35" s="123">
        <v>388.5</v>
      </c>
      <c r="L35" s="123">
        <v>388.4</v>
      </c>
      <c r="M35" s="123">
        <f>L35/K35*100</f>
        <v>99.974259974259965</v>
      </c>
      <c r="N35" s="123">
        <f>1715.7-388.4-59.5</f>
        <v>1267.8000000000002</v>
      </c>
      <c r="O35" s="123">
        <v>269.5</v>
      </c>
      <c r="P35" s="123">
        <f>O35/N35*100</f>
        <v>21.25729610348635</v>
      </c>
      <c r="Q35" s="123">
        <v>627.1</v>
      </c>
      <c r="R35" s="123">
        <v>0</v>
      </c>
      <c r="S35" s="123">
        <f>R35/Q35*100</f>
        <v>0</v>
      </c>
      <c r="T35" s="221">
        <v>627.1</v>
      </c>
      <c r="U35" s="221">
        <v>0</v>
      </c>
      <c r="V35" s="117">
        <f t="shared" ref="V35" si="59">U35/T35*100</f>
        <v>0</v>
      </c>
      <c r="W35" s="117">
        <v>627.1</v>
      </c>
      <c r="X35" s="117">
        <v>0</v>
      </c>
      <c r="Y35" s="117">
        <f t="shared" ref="Y35" si="60">X35/W35*100</f>
        <v>0</v>
      </c>
      <c r="Z35" s="123">
        <f>669.6-163.6</f>
        <v>506</v>
      </c>
      <c r="AA35" s="123">
        <v>0</v>
      </c>
      <c r="AB35" s="117">
        <f t="shared" si="38"/>
        <v>0</v>
      </c>
      <c r="AC35" s="221">
        <v>669.6</v>
      </c>
      <c r="AD35" s="221">
        <v>0</v>
      </c>
      <c r="AE35" s="117">
        <f t="shared" ref="AE35" si="61">AD35/AC35*100</f>
        <v>0</v>
      </c>
      <c r="AF35" s="221">
        <f>669.6+163.6</f>
        <v>833.2</v>
      </c>
      <c r="AG35" s="222">
        <v>0</v>
      </c>
      <c r="AH35" s="123">
        <f t="shared" ref="AH35" si="62">AG35/AF35*100</f>
        <v>0</v>
      </c>
      <c r="AI35" s="221">
        <v>358</v>
      </c>
      <c r="AJ35" s="221">
        <v>0</v>
      </c>
      <c r="AK35" s="221">
        <f>AJ35/AI35*100</f>
        <v>0</v>
      </c>
      <c r="AL35" s="221">
        <v>358</v>
      </c>
      <c r="AM35" s="221">
        <v>0</v>
      </c>
      <c r="AN35" s="221">
        <f>AM35/AL35*100</f>
        <v>0</v>
      </c>
      <c r="AO35" s="221">
        <f>1074.2-358*2</f>
        <v>358.20000000000005</v>
      </c>
      <c r="AP35" s="123">
        <v>0</v>
      </c>
      <c r="AQ35" s="123">
        <f>AP35/AO35*100</f>
        <v>0</v>
      </c>
      <c r="AR35" s="344"/>
      <c r="AS35" s="344"/>
      <c r="AT35" s="233"/>
      <c r="AU35" s="233"/>
      <c r="AV35" s="234"/>
      <c r="AX35" s="233"/>
    </row>
    <row r="36" spans="1:50" s="235" customFormat="1" ht="24">
      <c r="A36" s="453"/>
      <c r="B36" s="450"/>
      <c r="C36" s="450"/>
      <c r="D36" s="143" t="s">
        <v>257</v>
      </c>
      <c r="E36" s="123">
        <f t="shared" si="58"/>
        <v>0</v>
      </c>
      <c r="F36" s="123">
        <f t="shared" si="58"/>
        <v>0</v>
      </c>
      <c r="G36" s="123">
        <v>0</v>
      </c>
      <c r="H36" s="123">
        <v>0</v>
      </c>
      <c r="I36" s="123">
        <v>0</v>
      </c>
      <c r="J36" s="123">
        <v>0</v>
      </c>
      <c r="K36" s="123">
        <v>0</v>
      </c>
      <c r="L36" s="123">
        <v>0</v>
      </c>
      <c r="M36" s="123">
        <v>0</v>
      </c>
      <c r="N36" s="123">
        <v>0</v>
      </c>
      <c r="O36" s="123">
        <v>0</v>
      </c>
      <c r="P36" s="123">
        <v>0</v>
      </c>
      <c r="Q36" s="123">
        <v>0</v>
      </c>
      <c r="R36" s="123">
        <v>0</v>
      </c>
      <c r="S36" s="123">
        <v>0</v>
      </c>
      <c r="T36" s="117">
        <v>0</v>
      </c>
      <c r="U36" s="117">
        <v>0</v>
      </c>
      <c r="V36" s="117">
        <v>0</v>
      </c>
      <c r="W36" s="117">
        <v>0</v>
      </c>
      <c r="X36" s="117">
        <v>0</v>
      </c>
      <c r="Y36" s="117">
        <v>0</v>
      </c>
      <c r="Z36" s="123">
        <v>0</v>
      </c>
      <c r="AA36" s="123">
        <v>0</v>
      </c>
      <c r="AB36" s="123">
        <v>0</v>
      </c>
      <c r="AC36" s="117">
        <v>0</v>
      </c>
      <c r="AD36" s="117">
        <v>0</v>
      </c>
      <c r="AE36" s="117">
        <v>0</v>
      </c>
      <c r="AF36" s="117">
        <v>0</v>
      </c>
      <c r="AG36" s="117">
        <v>0</v>
      </c>
      <c r="AH36" s="117">
        <v>0</v>
      </c>
      <c r="AI36" s="123">
        <v>0</v>
      </c>
      <c r="AJ36" s="123">
        <v>0</v>
      </c>
      <c r="AK36" s="123">
        <v>0</v>
      </c>
      <c r="AL36" s="117">
        <v>0</v>
      </c>
      <c r="AM36" s="117">
        <v>0</v>
      </c>
      <c r="AN36" s="117">
        <v>0</v>
      </c>
      <c r="AO36" s="117">
        <v>0</v>
      </c>
      <c r="AP36" s="123">
        <v>0</v>
      </c>
      <c r="AQ36" s="123">
        <v>0</v>
      </c>
      <c r="AR36" s="344"/>
      <c r="AS36" s="344"/>
      <c r="AT36" s="233"/>
      <c r="AU36" s="233"/>
      <c r="AV36" s="234"/>
      <c r="AX36" s="233"/>
    </row>
    <row r="37" spans="1:50" s="235" customFormat="1" ht="24">
      <c r="A37" s="454"/>
      <c r="B37" s="451"/>
      <c r="C37" s="451"/>
      <c r="D37" s="143" t="s">
        <v>462</v>
      </c>
      <c r="E37" s="123">
        <f>H37+K37+N37+Q37+T37+W37+Z37+AC37+AF37+AI37+AL37+AO37</f>
        <v>0</v>
      </c>
      <c r="F37" s="123">
        <f>I37+L37+O37+R37+U37+X37+AA37+AD37+AG37+AJ37+AM37+AP37</f>
        <v>0</v>
      </c>
      <c r="G37" s="123">
        <v>0</v>
      </c>
      <c r="H37" s="123">
        <v>0</v>
      </c>
      <c r="I37" s="123">
        <v>0</v>
      </c>
      <c r="J37" s="123">
        <v>0</v>
      </c>
      <c r="K37" s="132">
        <v>0</v>
      </c>
      <c r="L37" s="123">
        <v>0</v>
      </c>
      <c r="M37" s="123">
        <v>0</v>
      </c>
      <c r="N37" s="123">
        <v>0</v>
      </c>
      <c r="O37" s="123">
        <v>0</v>
      </c>
      <c r="P37" s="123">
        <v>0</v>
      </c>
      <c r="Q37" s="123">
        <v>0</v>
      </c>
      <c r="R37" s="123">
        <v>0</v>
      </c>
      <c r="S37" s="123">
        <v>0</v>
      </c>
      <c r="T37" s="117">
        <v>0</v>
      </c>
      <c r="U37" s="117">
        <v>0</v>
      </c>
      <c r="V37" s="123">
        <v>0</v>
      </c>
      <c r="W37" s="117">
        <v>0</v>
      </c>
      <c r="X37" s="117">
        <v>0</v>
      </c>
      <c r="Y37" s="117">
        <v>0</v>
      </c>
      <c r="Z37" s="117">
        <v>0</v>
      </c>
      <c r="AA37" s="117">
        <v>0</v>
      </c>
      <c r="AB37" s="117">
        <v>0</v>
      </c>
      <c r="AC37" s="117">
        <v>0</v>
      </c>
      <c r="AD37" s="117">
        <v>0</v>
      </c>
      <c r="AE37" s="117">
        <v>0</v>
      </c>
      <c r="AF37" s="117">
        <v>0</v>
      </c>
      <c r="AG37" s="117">
        <v>0</v>
      </c>
      <c r="AH37" s="123">
        <v>0</v>
      </c>
      <c r="AI37" s="123">
        <v>0</v>
      </c>
      <c r="AJ37" s="123">
        <v>0</v>
      </c>
      <c r="AK37" s="123">
        <v>0</v>
      </c>
      <c r="AL37" s="117">
        <v>0</v>
      </c>
      <c r="AM37" s="117">
        <v>0</v>
      </c>
      <c r="AN37" s="117">
        <v>0</v>
      </c>
      <c r="AO37" s="123">
        <v>0</v>
      </c>
      <c r="AP37" s="123"/>
      <c r="AQ37" s="123"/>
      <c r="AR37" s="345"/>
      <c r="AS37" s="345"/>
      <c r="AT37" s="233"/>
      <c r="AU37" s="233"/>
      <c r="AV37" s="234"/>
    </row>
    <row r="38" spans="1:50" s="235" customFormat="1" ht="12.75" customHeight="1">
      <c r="A38" s="452" t="s">
        <v>10</v>
      </c>
      <c r="B38" s="449" t="s">
        <v>466</v>
      </c>
      <c r="C38" s="449" t="s">
        <v>506</v>
      </c>
      <c r="D38" s="219" t="s">
        <v>444</v>
      </c>
      <c r="E38" s="123">
        <f>SUM(E39:E40)</f>
        <v>10967.4</v>
      </c>
      <c r="F38" s="123">
        <f>SUM(F39:F40)</f>
        <v>214.3</v>
      </c>
      <c r="G38" s="123">
        <f>F38/E38*100</f>
        <v>1.9539726826777541</v>
      </c>
      <c r="H38" s="123">
        <f>SUM(H39:H40)</f>
        <v>0</v>
      </c>
      <c r="I38" s="123">
        <f>SUM(I39:I40)</f>
        <v>0</v>
      </c>
      <c r="J38" s="123">
        <f>SUM(J39:J40)</f>
        <v>0</v>
      </c>
      <c r="K38" s="123">
        <f>SUM(K39:K40)</f>
        <v>100</v>
      </c>
      <c r="L38" s="123">
        <f>SUM(L39:L40)</f>
        <v>72.5</v>
      </c>
      <c r="M38" s="123">
        <f>L38/K38*100</f>
        <v>72.5</v>
      </c>
      <c r="N38" s="123">
        <f>SUM(N39:N40)</f>
        <v>2221.1999999999998</v>
      </c>
      <c r="O38" s="123">
        <f>SUM(O39:O40)</f>
        <v>141.80000000000001</v>
      </c>
      <c r="P38" s="123">
        <f>O38/N38*100</f>
        <v>6.383936610840987</v>
      </c>
      <c r="Q38" s="123">
        <f>SUM(Q39:Q40)</f>
        <v>880</v>
      </c>
      <c r="R38" s="123">
        <f>SUM(R39:R40)</f>
        <v>0</v>
      </c>
      <c r="S38" s="123">
        <f>R38/Q38*100</f>
        <v>0</v>
      </c>
      <c r="T38" s="123">
        <f>SUM(T39:T40)</f>
        <v>880</v>
      </c>
      <c r="U38" s="123">
        <f>SUM(U39:U40)</f>
        <v>0</v>
      </c>
      <c r="V38" s="123">
        <f>SUM(V39:V40)</f>
        <v>0</v>
      </c>
      <c r="W38" s="123">
        <f>SUM(W39:W40)</f>
        <v>894.9</v>
      </c>
      <c r="X38" s="123">
        <f>SUM(X39:X40)</f>
        <v>0</v>
      </c>
      <c r="Y38" s="117">
        <f>X38/W38*100</f>
        <v>0</v>
      </c>
      <c r="Z38" s="123">
        <f>SUM(Z39:Z40)</f>
        <v>1843.3</v>
      </c>
      <c r="AA38" s="123">
        <f>SUM(AA39:AA40)</f>
        <v>0</v>
      </c>
      <c r="AB38" s="123">
        <f>AA38/Z38*100</f>
        <v>0</v>
      </c>
      <c r="AC38" s="123">
        <f>SUM(AC39:AC40)</f>
        <v>1120</v>
      </c>
      <c r="AD38" s="123">
        <f>SUM(AD39:AD40)</f>
        <v>0</v>
      </c>
      <c r="AE38" s="117">
        <f>AD38/AC38*100</f>
        <v>0</v>
      </c>
      <c r="AF38" s="123">
        <f>SUM(AF39:AF40)</f>
        <v>398</v>
      </c>
      <c r="AG38" s="123">
        <f>SUM(AG39:AG40)</f>
        <v>0</v>
      </c>
      <c r="AH38" s="117">
        <f>AG38/AF38*100</f>
        <v>0</v>
      </c>
      <c r="AI38" s="123">
        <f t="shared" ref="AI38:AQ38" si="63">SUM(AI39:AI40)</f>
        <v>870</v>
      </c>
      <c r="AJ38" s="123">
        <f t="shared" si="63"/>
        <v>0</v>
      </c>
      <c r="AK38" s="123">
        <f t="shared" si="63"/>
        <v>0</v>
      </c>
      <c r="AL38" s="123">
        <f t="shared" si="63"/>
        <v>870</v>
      </c>
      <c r="AM38" s="123">
        <f t="shared" si="63"/>
        <v>0</v>
      </c>
      <c r="AN38" s="123">
        <f t="shared" si="63"/>
        <v>0</v>
      </c>
      <c r="AO38" s="123">
        <f t="shared" si="63"/>
        <v>890</v>
      </c>
      <c r="AP38" s="123">
        <f t="shared" si="63"/>
        <v>0</v>
      </c>
      <c r="AQ38" s="123">
        <f t="shared" si="63"/>
        <v>0</v>
      </c>
      <c r="AR38" s="343" t="s">
        <v>525</v>
      </c>
      <c r="AS38" s="343" t="s">
        <v>526</v>
      </c>
      <c r="AT38" s="233"/>
      <c r="AU38" s="233"/>
      <c r="AV38" s="234"/>
      <c r="AX38" s="233"/>
    </row>
    <row r="39" spans="1:50" s="235" customFormat="1" ht="81.75" customHeight="1">
      <c r="A39" s="453"/>
      <c r="B39" s="450"/>
      <c r="C39" s="450"/>
      <c r="D39" s="220" t="s">
        <v>442</v>
      </c>
      <c r="E39" s="123">
        <f>H39+K39+N39+Q39+T39+W39+Z39+AC39+AF39+AI39+AL39+AO39</f>
        <v>0</v>
      </c>
      <c r="F39" s="123">
        <f>I39+L39+O39+R39+U39+X39+AA39+AD39+AG39+AJ39+AM39+AP39</f>
        <v>0</v>
      </c>
      <c r="G39" s="123">
        <v>0</v>
      </c>
      <c r="H39" s="123">
        <v>0</v>
      </c>
      <c r="I39" s="123">
        <v>0</v>
      </c>
      <c r="J39" s="123">
        <v>0</v>
      </c>
      <c r="K39" s="123">
        <v>0</v>
      </c>
      <c r="L39" s="123">
        <v>0</v>
      </c>
      <c r="M39" s="123">
        <v>0</v>
      </c>
      <c r="N39" s="123">
        <v>0</v>
      </c>
      <c r="O39" s="123">
        <v>0</v>
      </c>
      <c r="P39" s="123">
        <v>0</v>
      </c>
      <c r="Q39" s="123">
        <v>0</v>
      </c>
      <c r="R39" s="123">
        <v>0</v>
      </c>
      <c r="S39" s="123">
        <v>0</v>
      </c>
      <c r="T39" s="117">
        <v>0</v>
      </c>
      <c r="U39" s="117">
        <v>0</v>
      </c>
      <c r="V39" s="117">
        <v>0</v>
      </c>
      <c r="W39" s="117">
        <v>0</v>
      </c>
      <c r="X39" s="117">
        <v>0</v>
      </c>
      <c r="Y39" s="117">
        <v>0</v>
      </c>
      <c r="Z39" s="123">
        <v>0</v>
      </c>
      <c r="AA39" s="123">
        <v>0</v>
      </c>
      <c r="AB39" s="123">
        <v>0</v>
      </c>
      <c r="AC39" s="117">
        <v>0</v>
      </c>
      <c r="AD39" s="117">
        <v>0</v>
      </c>
      <c r="AE39" s="117">
        <v>0</v>
      </c>
      <c r="AF39" s="117">
        <v>0</v>
      </c>
      <c r="AG39" s="117">
        <v>0</v>
      </c>
      <c r="AH39" s="117">
        <v>0</v>
      </c>
      <c r="AI39" s="123">
        <v>0</v>
      </c>
      <c r="AJ39" s="123">
        <v>0</v>
      </c>
      <c r="AK39" s="123">
        <v>0</v>
      </c>
      <c r="AL39" s="117">
        <v>0</v>
      </c>
      <c r="AM39" s="117">
        <v>0</v>
      </c>
      <c r="AN39" s="117">
        <v>0</v>
      </c>
      <c r="AO39" s="117">
        <v>0</v>
      </c>
      <c r="AP39" s="117">
        <v>0</v>
      </c>
      <c r="AQ39" s="117">
        <v>0</v>
      </c>
      <c r="AR39" s="344"/>
      <c r="AS39" s="344"/>
      <c r="AT39" s="233"/>
      <c r="AU39" s="233"/>
      <c r="AV39" s="234"/>
      <c r="AX39" s="233"/>
    </row>
    <row r="40" spans="1:50" s="235" customFormat="1" ht="48" customHeight="1">
      <c r="A40" s="453"/>
      <c r="B40" s="450"/>
      <c r="C40" s="450"/>
      <c r="D40" s="220" t="s">
        <v>456</v>
      </c>
      <c r="E40" s="123">
        <f t="shared" ref="E40:F42" si="64">H40+K40+N40+Q40+T40+W40+Z40+AC40+AF40+AI40+AL40+AO40</f>
        <v>10967.4</v>
      </c>
      <c r="F40" s="123">
        <f t="shared" si="64"/>
        <v>214.3</v>
      </c>
      <c r="G40" s="123">
        <f>F40/E40*100</f>
        <v>1.9539726826777541</v>
      </c>
      <c r="H40" s="123">
        <v>0</v>
      </c>
      <c r="I40" s="123">
        <v>0</v>
      </c>
      <c r="J40" s="123">
        <v>0</v>
      </c>
      <c r="K40" s="123">
        <v>100</v>
      </c>
      <c r="L40" s="123">
        <v>72.5</v>
      </c>
      <c r="M40" s="123">
        <f>L40/K40*100</f>
        <v>72.5</v>
      </c>
      <c r="N40" s="123">
        <f>2321.2-100</f>
        <v>2221.1999999999998</v>
      </c>
      <c r="O40" s="123">
        <v>141.80000000000001</v>
      </c>
      <c r="P40" s="123">
        <f>O40/N40*100</f>
        <v>6.383936610840987</v>
      </c>
      <c r="Q40" s="123">
        <v>880</v>
      </c>
      <c r="R40" s="123">
        <v>0</v>
      </c>
      <c r="S40" s="123">
        <f>R40/Q40*100</f>
        <v>0</v>
      </c>
      <c r="T40" s="221">
        <v>880</v>
      </c>
      <c r="U40" s="221">
        <v>0</v>
      </c>
      <c r="V40" s="117">
        <f t="shared" ref="V40" si="65">U40/T40*100</f>
        <v>0</v>
      </c>
      <c r="W40" s="117">
        <v>894.9</v>
      </c>
      <c r="X40" s="117">
        <v>0</v>
      </c>
      <c r="Y40" s="117">
        <f t="shared" ref="Y40" si="66">X40/W40*100</f>
        <v>0</v>
      </c>
      <c r="Z40" s="123">
        <f>1120+723.3</f>
        <v>1843.3</v>
      </c>
      <c r="AA40" s="123">
        <v>0</v>
      </c>
      <c r="AB40" s="117">
        <f t="shared" ref="AB40" si="67">AA40/Z40*100</f>
        <v>0</v>
      </c>
      <c r="AC40" s="221">
        <v>1120</v>
      </c>
      <c r="AD40" s="221">
        <v>0</v>
      </c>
      <c r="AE40" s="117">
        <f t="shared" ref="AE40" si="68">AD40/AC40*100</f>
        <v>0</v>
      </c>
      <c r="AF40" s="221">
        <f>1121.3-723.3</f>
        <v>398</v>
      </c>
      <c r="AG40" s="222">
        <v>0</v>
      </c>
      <c r="AH40" s="123">
        <f t="shared" ref="AH40" si="69">AG40/AF40*100</f>
        <v>0</v>
      </c>
      <c r="AI40" s="221">
        <v>870</v>
      </c>
      <c r="AJ40" s="221">
        <v>0</v>
      </c>
      <c r="AK40" s="221">
        <f>AJ40/AI40*100</f>
        <v>0</v>
      </c>
      <c r="AL40" s="221">
        <v>870</v>
      </c>
      <c r="AM40" s="221">
        <v>0</v>
      </c>
      <c r="AN40" s="221">
        <f>AM40/AL40*100</f>
        <v>0</v>
      </c>
      <c r="AO40" s="221">
        <v>890</v>
      </c>
      <c r="AP40" s="123">
        <v>0</v>
      </c>
      <c r="AQ40" s="123">
        <f>AP40/AO40*100</f>
        <v>0</v>
      </c>
      <c r="AR40" s="344"/>
      <c r="AS40" s="344"/>
      <c r="AT40" s="233"/>
      <c r="AU40" s="233"/>
      <c r="AV40" s="234"/>
      <c r="AX40" s="233"/>
    </row>
    <row r="41" spans="1:50" s="235" customFormat="1" ht="52.5" customHeight="1">
      <c r="A41" s="453"/>
      <c r="B41" s="450"/>
      <c r="C41" s="450"/>
      <c r="D41" s="224" t="s">
        <v>452</v>
      </c>
      <c r="E41" s="123">
        <f t="shared" si="64"/>
        <v>0</v>
      </c>
      <c r="F41" s="123">
        <f t="shared" si="64"/>
        <v>43.4</v>
      </c>
      <c r="G41" s="123">
        <v>0</v>
      </c>
      <c r="H41" s="123">
        <v>0</v>
      </c>
      <c r="I41" s="123">
        <v>0</v>
      </c>
      <c r="J41" s="123">
        <v>0</v>
      </c>
      <c r="K41" s="123">
        <v>0</v>
      </c>
      <c r="L41" s="123">
        <v>0</v>
      </c>
      <c r="M41" s="123">
        <v>0</v>
      </c>
      <c r="N41" s="123">
        <v>0</v>
      </c>
      <c r="O41" s="123">
        <v>43.4</v>
      </c>
      <c r="P41" s="123">
        <v>0</v>
      </c>
      <c r="Q41" s="123">
        <v>0</v>
      </c>
      <c r="R41" s="123">
        <v>0</v>
      </c>
      <c r="S41" s="123">
        <v>0</v>
      </c>
      <c r="T41" s="117">
        <v>0</v>
      </c>
      <c r="U41" s="117">
        <v>0</v>
      </c>
      <c r="V41" s="117">
        <v>0</v>
      </c>
      <c r="W41" s="117">
        <v>0</v>
      </c>
      <c r="X41" s="117">
        <v>0</v>
      </c>
      <c r="Y41" s="117">
        <v>0</v>
      </c>
      <c r="Z41" s="123">
        <v>0</v>
      </c>
      <c r="AA41" s="123">
        <v>0</v>
      </c>
      <c r="AB41" s="123">
        <v>0</v>
      </c>
      <c r="AC41" s="117">
        <v>0</v>
      </c>
      <c r="AD41" s="117">
        <v>0</v>
      </c>
      <c r="AE41" s="117">
        <v>0</v>
      </c>
      <c r="AF41" s="117">
        <v>0</v>
      </c>
      <c r="AG41" s="117">
        <v>0</v>
      </c>
      <c r="AH41" s="117">
        <v>0</v>
      </c>
      <c r="AI41" s="123">
        <v>0</v>
      </c>
      <c r="AJ41" s="123">
        <v>0</v>
      </c>
      <c r="AK41" s="123">
        <v>0</v>
      </c>
      <c r="AL41" s="117">
        <v>0</v>
      </c>
      <c r="AM41" s="117">
        <v>0</v>
      </c>
      <c r="AN41" s="117">
        <v>0</v>
      </c>
      <c r="AO41" s="117">
        <v>0</v>
      </c>
      <c r="AP41" s="117">
        <v>0</v>
      </c>
      <c r="AQ41" s="117">
        <v>0</v>
      </c>
      <c r="AR41" s="344"/>
      <c r="AS41" s="344"/>
      <c r="AT41" s="233"/>
      <c r="AU41" s="233"/>
      <c r="AV41" s="234"/>
      <c r="AX41" s="233"/>
    </row>
    <row r="42" spans="1:50" s="235" customFormat="1" ht="54" customHeight="1">
      <c r="A42" s="453"/>
      <c r="B42" s="450"/>
      <c r="C42" s="450"/>
      <c r="D42" s="143" t="s">
        <v>257</v>
      </c>
      <c r="E42" s="123">
        <f t="shared" si="64"/>
        <v>0</v>
      </c>
      <c r="F42" s="123">
        <f t="shared" si="64"/>
        <v>0</v>
      </c>
      <c r="G42" s="123">
        <v>0</v>
      </c>
      <c r="H42" s="123">
        <v>0</v>
      </c>
      <c r="I42" s="123">
        <v>0</v>
      </c>
      <c r="J42" s="123">
        <v>0</v>
      </c>
      <c r="K42" s="123">
        <v>0</v>
      </c>
      <c r="L42" s="123">
        <v>0</v>
      </c>
      <c r="M42" s="123">
        <v>0</v>
      </c>
      <c r="N42" s="123">
        <v>0</v>
      </c>
      <c r="O42" s="123">
        <v>0</v>
      </c>
      <c r="P42" s="123">
        <v>0</v>
      </c>
      <c r="Q42" s="123">
        <v>0</v>
      </c>
      <c r="R42" s="123">
        <v>0</v>
      </c>
      <c r="S42" s="123">
        <v>0</v>
      </c>
      <c r="T42" s="117">
        <v>0</v>
      </c>
      <c r="U42" s="117">
        <v>0</v>
      </c>
      <c r="V42" s="117">
        <v>0</v>
      </c>
      <c r="W42" s="117">
        <v>0</v>
      </c>
      <c r="X42" s="117">
        <v>0</v>
      </c>
      <c r="Y42" s="117">
        <v>0</v>
      </c>
      <c r="Z42" s="123">
        <v>0</v>
      </c>
      <c r="AA42" s="123">
        <v>0</v>
      </c>
      <c r="AB42" s="123">
        <v>0</v>
      </c>
      <c r="AC42" s="117">
        <v>0</v>
      </c>
      <c r="AD42" s="117">
        <v>0</v>
      </c>
      <c r="AE42" s="117">
        <v>0</v>
      </c>
      <c r="AF42" s="117">
        <v>0</v>
      </c>
      <c r="AG42" s="117">
        <v>0</v>
      </c>
      <c r="AH42" s="117">
        <v>0</v>
      </c>
      <c r="AI42" s="123">
        <v>0</v>
      </c>
      <c r="AJ42" s="123">
        <v>0</v>
      </c>
      <c r="AK42" s="123">
        <v>0</v>
      </c>
      <c r="AL42" s="117">
        <v>0</v>
      </c>
      <c r="AM42" s="117">
        <v>0</v>
      </c>
      <c r="AN42" s="117">
        <v>0</v>
      </c>
      <c r="AO42" s="117">
        <v>0</v>
      </c>
      <c r="AP42" s="117">
        <v>0</v>
      </c>
      <c r="AQ42" s="117">
        <v>0</v>
      </c>
      <c r="AR42" s="344"/>
      <c r="AS42" s="344"/>
      <c r="AT42" s="233"/>
      <c r="AU42" s="233"/>
      <c r="AV42" s="234"/>
    </row>
    <row r="43" spans="1:50" s="235" customFormat="1" ht="55.5" customHeight="1">
      <c r="A43" s="454"/>
      <c r="B43" s="451"/>
      <c r="C43" s="451"/>
      <c r="D43" s="143" t="s">
        <v>462</v>
      </c>
      <c r="E43" s="123">
        <f>H43+K43+N43+Q43+T43+W43+Z43+AC43+AF43+AI43+AL43+AO43</f>
        <v>0</v>
      </c>
      <c r="F43" s="123">
        <f>I43+L43+O43+R43+U43+X43+AA43+AD43+AG43+AJ43+AM43+AP43</f>
        <v>0</v>
      </c>
      <c r="G43" s="123">
        <v>0</v>
      </c>
      <c r="H43" s="123">
        <v>0</v>
      </c>
      <c r="I43" s="123">
        <v>0</v>
      </c>
      <c r="J43" s="123">
        <v>0</v>
      </c>
      <c r="K43" s="132">
        <v>0</v>
      </c>
      <c r="L43" s="123">
        <v>0</v>
      </c>
      <c r="M43" s="123">
        <v>0</v>
      </c>
      <c r="N43" s="123">
        <v>0</v>
      </c>
      <c r="O43" s="123">
        <v>0</v>
      </c>
      <c r="P43" s="123">
        <v>0</v>
      </c>
      <c r="Q43" s="123">
        <v>0</v>
      </c>
      <c r="R43" s="123">
        <v>0</v>
      </c>
      <c r="S43" s="123">
        <v>0</v>
      </c>
      <c r="T43" s="117">
        <v>0</v>
      </c>
      <c r="U43" s="117">
        <v>0</v>
      </c>
      <c r="V43" s="123">
        <v>0</v>
      </c>
      <c r="W43" s="117">
        <v>0</v>
      </c>
      <c r="X43" s="117">
        <v>0</v>
      </c>
      <c r="Y43" s="117">
        <v>0</v>
      </c>
      <c r="Z43" s="117">
        <v>0</v>
      </c>
      <c r="AA43" s="117">
        <v>0</v>
      </c>
      <c r="AB43" s="117">
        <v>0</v>
      </c>
      <c r="AC43" s="117">
        <v>0</v>
      </c>
      <c r="AD43" s="117">
        <v>0</v>
      </c>
      <c r="AE43" s="117">
        <v>0</v>
      </c>
      <c r="AF43" s="117">
        <v>0</v>
      </c>
      <c r="AG43" s="117">
        <v>0</v>
      </c>
      <c r="AH43" s="123">
        <v>0</v>
      </c>
      <c r="AI43" s="123">
        <v>0</v>
      </c>
      <c r="AJ43" s="123">
        <v>0</v>
      </c>
      <c r="AK43" s="123">
        <v>0</v>
      </c>
      <c r="AL43" s="117">
        <v>0</v>
      </c>
      <c r="AM43" s="117">
        <v>0</v>
      </c>
      <c r="AN43" s="117">
        <v>0</v>
      </c>
      <c r="AO43" s="123">
        <v>0</v>
      </c>
      <c r="AP43" s="117"/>
      <c r="AQ43" s="117"/>
      <c r="AR43" s="345"/>
      <c r="AS43" s="345"/>
      <c r="AT43" s="233"/>
      <c r="AU43" s="233"/>
      <c r="AV43" s="234"/>
    </row>
    <row r="44" spans="1:50" s="235" customFormat="1" ht="12.75" customHeight="1">
      <c r="A44" s="452" t="s">
        <v>11</v>
      </c>
      <c r="B44" s="449" t="s">
        <v>467</v>
      </c>
      <c r="C44" s="449" t="s">
        <v>451</v>
      </c>
      <c r="D44" s="219" t="s">
        <v>444</v>
      </c>
      <c r="E44" s="123">
        <f>SUM(E45:E47)</f>
        <v>0</v>
      </c>
      <c r="F44" s="123">
        <f t="shared" ref="F44" si="70">SUM(F45:F47)</f>
        <v>0</v>
      </c>
      <c r="G44" s="123">
        <v>0</v>
      </c>
      <c r="H44" s="123">
        <f t="shared" ref="H44:I44" si="71">SUM(H45:H47)</f>
        <v>0</v>
      </c>
      <c r="I44" s="123">
        <f t="shared" si="71"/>
        <v>0</v>
      </c>
      <c r="J44" s="123">
        <v>0</v>
      </c>
      <c r="K44" s="123">
        <f t="shared" ref="K44:L44" si="72">SUM(K45:K47)</f>
        <v>0</v>
      </c>
      <c r="L44" s="123">
        <f t="shared" si="72"/>
        <v>0</v>
      </c>
      <c r="M44" s="123">
        <v>0</v>
      </c>
      <c r="N44" s="123">
        <f t="shared" ref="N44:O44" si="73">SUM(N45:N47)</f>
        <v>0</v>
      </c>
      <c r="O44" s="123">
        <f t="shared" si="73"/>
        <v>0</v>
      </c>
      <c r="P44" s="123">
        <v>0</v>
      </c>
      <c r="Q44" s="123">
        <f t="shared" ref="Q44:R44" si="74">SUM(Q45:Q47)</f>
        <v>0</v>
      </c>
      <c r="R44" s="123">
        <f t="shared" si="74"/>
        <v>0</v>
      </c>
      <c r="S44" s="123">
        <v>0</v>
      </c>
      <c r="T44" s="123">
        <f t="shared" ref="T44:AA44" si="75">SUM(T45:T47)</f>
        <v>0</v>
      </c>
      <c r="U44" s="123">
        <f t="shared" si="75"/>
        <v>0</v>
      </c>
      <c r="V44" s="123">
        <f t="shared" si="75"/>
        <v>0</v>
      </c>
      <c r="W44" s="123">
        <f t="shared" si="75"/>
        <v>0</v>
      </c>
      <c r="X44" s="123">
        <f t="shared" si="75"/>
        <v>0</v>
      </c>
      <c r="Y44" s="123">
        <f t="shared" si="75"/>
        <v>0</v>
      </c>
      <c r="Z44" s="123">
        <f t="shared" si="75"/>
        <v>0</v>
      </c>
      <c r="AA44" s="123">
        <f t="shared" si="75"/>
        <v>0</v>
      </c>
      <c r="AB44" s="117">
        <v>0</v>
      </c>
      <c r="AC44" s="123">
        <f t="shared" ref="AC44:AD44" si="76">SUM(AC45:AC47)</f>
        <v>0</v>
      </c>
      <c r="AD44" s="123">
        <f t="shared" si="76"/>
        <v>0</v>
      </c>
      <c r="AE44" s="123">
        <v>0</v>
      </c>
      <c r="AF44" s="123">
        <f t="shared" ref="AF44:AG44" si="77">SUM(AF45:AF47)</f>
        <v>0</v>
      </c>
      <c r="AG44" s="123">
        <f t="shared" si="77"/>
        <v>0</v>
      </c>
      <c r="AH44" s="123">
        <v>0</v>
      </c>
      <c r="AI44" s="123">
        <f t="shared" ref="AI44:AJ44" si="78">SUM(AI45:AI47)</f>
        <v>0</v>
      </c>
      <c r="AJ44" s="123">
        <f t="shared" si="78"/>
        <v>0</v>
      </c>
      <c r="AK44" s="123">
        <v>0</v>
      </c>
      <c r="AL44" s="123">
        <f t="shared" ref="AL44:AM44" si="79">SUM(AL45:AL47)</f>
        <v>0</v>
      </c>
      <c r="AM44" s="123">
        <f t="shared" si="79"/>
        <v>0</v>
      </c>
      <c r="AN44" s="117">
        <v>0</v>
      </c>
      <c r="AO44" s="123">
        <f t="shared" ref="AO44:AP44" si="80">SUM(AO45:AO47)</f>
        <v>0</v>
      </c>
      <c r="AP44" s="123">
        <f t="shared" si="80"/>
        <v>0</v>
      </c>
      <c r="AQ44" s="123">
        <v>0</v>
      </c>
      <c r="AR44" s="343"/>
      <c r="AS44" s="343"/>
      <c r="AT44" s="233"/>
      <c r="AU44" s="233"/>
      <c r="AV44" s="234"/>
    </row>
    <row r="45" spans="1:50" s="235" customFormat="1" ht="48">
      <c r="A45" s="453"/>
      <c r="B45" s="450"/>
      <c r="C45" s="450"/>
      <c r="D45" s="220" t="s">
        <v>442</v>
      </c>
      <c r="E45" s="123">
        <f>H45+K45+N45+Q45+T45+W45+Z45+AC45+AF45+AI45+AL45+AO45</f>
        <v>0</v>
      </c>
      <c r="F45" s="123">
        <f>I45+L45+O45+R45+U45+X45+AA45+AD45+AG45+AJ45+AM45+AP45</f>
        <v>0</v>
      </c>
      <c r="G45" s="123">
        <v>0</v>
      </c>
      <c r="H45" s="123">
        <v>0</v>
      </c>
      <c r="I45" s="123">
        <v>0</v>
      </c>
      <c r="J45" s="123">
        <v>0</v>
      </c>
      <c r="K45" s="132">
        <v>0</v>
      </c>
      <c r="L45" s="123">
        <v>0</v>
      </c>
      <c r="M45" s="123">
        <v>0</v>
      </c>
      <c r="N45" s="123">
        <v>0</v>
      </c>
      <c r="O45" s="123">
        <v>0</v>
      </c>
      <c r="P45" s="123">
        <v>0</v>
      </c>
      <c r="Q45" s="123">
        <v>0</v>
      </c>
      <c r="R45" s="123">
        <v>0</v>
      </c>
      <c r="S45" s="123">
        <v>0</v>
      </c>
      <c r="T45" s="117">
        <v>0</v>
      </c>
      <c r="U45" s="117">
        <v>0</v>
      </c>
      <c r="V45" s="117">
        <v>0</v>
      </c>
      <c r="W45" s="117">
        <v>0</v>
      </c>
      <c r="X45" s="117">
        <v>0</v>
      </c>
      <c r="Y45" s="117">
        <v>0</v>
      </c>
      <c r="Z45" s="117">
        <v>0</v>
      </c>
      <c r="AA45" s="117">
        <v>0</v>
      </c>
      <c r="AB45" s="117">
        <v>0</v>
      </c>
      <c r="AC45" s="117">
        <v>0</v>
      </c>
      <c r="AD45" s="117">
        <v>0</v>
      </c>
      <c r="AE45" s="117">
        <v>0</v>
      </c>
      <c r="AF45" s="117">
        <v>0</v>
      </c>
      <c r="AG45" s="117">
        <v>0</v>
      </c>
      <c r="AH45" s="117">
        <v>0</v>
      </c>
      <c r="AI45" s="123">
        <v>0</v>
      </c>
      <c r="AJ45" s="123">
        <v>0</v>
      </c>
      <c r="AK45" s="123">
        <v>0</v>
      </c>
      <c r="AL45" s="117">
        <v>0</v>
      </c>
      <c r="AM45" s="117">
        <v>0</v>
      </c>
      <c r="AN45" s="117">
        <v>0</v>
      </c>
      <c r="AO45" s="123">
        <v>0</v>
      </c>
      <c r="AP45" s="123">
        <v>0</v>
      </c>
      <c r="AQ45" s="123">
        <v>0</v>
      </c>
      <c r="AR45" s="344"/>
      <c r="AS45" s="344"/>
      <c r="AT45" s="233"/>
      <c r="AU45" s="233"/>
      <c r="AV45" s="234"/>
    </row>
    <row r="46" spans="1:50" s="235" customFormat="1" ht="12.75">
      <c r="A46" s="453"/>
      <c r="B46" s="450"/>
      <c r="C46" s="450"/>
      <c r="D46" s="220" t="s">
        <v>456</v>
      </c>
      <c r="E46" s="123">
        <f t="shared" ref="E46:F47" si="81">H46+K46+N46+Q46+T46+W46+Z46+AC46+AF46+AI46+AL46+AO46</f>
        <v>0</v>
      </c>
      <c r="F46" s="123">
        <f t="shared" si="81"/>
        <v>0</v>
      </c>
      <c r="G46" s="123">
        <v>0</v>
      </c>
      <c r="H46" s="123">
        <v>0</v>
      </c>
      <c r="I46" s="123">
        <v>0</v>
      </c>
      <c r="J46" s="123">
        <v>0</v>
      </c>
      <c r="K46" s="123">
        <v>0</v>
      </c>
      <c r="L46" s="123">
        <v>0</v>
      </c>
      <c r="M46" s="123">
        <v>0</v>
      </c>
      <c r="N46" s="123">
        <v>0</v>
      </c>
      <c r="O46" s="123">
        <v>0</v>
      </c>
      <c r="P46" s="123">
        <v>0</v>
      </c>
      <c r="Q46" s="123">
        <v>0</v>
      </c>
      <c r="R46" s="123">
        <v>0</v>
      </c>
      <c r="S46" s="123">
        <v>0</v>
      </c>
      <c r="T46" s="117">
        <v>0</v>
      </c>
      <c r="U46" s="117">
        <v>0</v>
      </c>
      <c r="V46" s="117">
        <v>0</v>
      </c>
      <c r="W46" s="117">
        <v>0</v>
      </c>
      <c r="X46" s="117">
        <v>0</v>
      </c>
      <c r="Y46" s="117">
        <v>0</v>
      </c>
      <c r="Z46" s="123">
        <v>0</v>
      </c>
      <c r="AA46" s="123">
        <v>0</v>
      </c>
      <c r="AB46" s="117">
        <v>0</v>
      </c>
      <c r="AC46" s="117">
        <v>0</v>
      </c>
      <c r="AD46" s="117">
        <v>0</v>
      </c>
      <c r="AE46" s="117">
        <v>0</v>
      </c>
      <c r="AF46" s="117">
        <v>0</v>
      </c>
      <c r="AG46" s="117">
        <v>0</v>
      </c>
      <c r="AH46" s="117">
        <v>0</v>
      </c>
      <c r="AI46" s="123">
        <v>0</v>
      </c>
      <c r="AJ46" s="123">
        <v>0</v>
      </c>
      <c r="AK46" s="123">
        <v>0</v>
      </c>
      <c r="AL46" s="117">
        <v>0</v>
      </c>
      <c r="AM46" s="117">
        <v>0</v>
      </c>
      <c r="AN46" s="117">
        <v>0</v>
      </c>
      <c r="AO46" s="117">
        <v>0</v>
      </c>
      <c r="AP46" s="123">
        <v>0</v>
      </c>
      <c r="AQ46" s="123">
        <v>0</v>
      </c>
      <c r="AR46" s="344"/>
      <c r="AS46" s="344"/>
      <c r="AT46" s="233"/>
      <c r="AU46" s="233"/>
      <c r="AV46" s="234"/>
    </row>
    <row r="47" spans="1:50" s="235" customFormat="1" ht="24">
      <c r="A47" s="453"/>
      <c r="B47" s="450"/>
      <c r="C47" s="450"/>
      <c r="D47" s="143" t="s">
        <v>257</v>
      </c>
      <c r="E47" s="123">
        <f t="shared" si="81"/>
        <v>0</v>
      </c>
      <c r="F47" s="123">
        <f t="shared" si="81"/>
        <v>0</v>
      </c>
      <c r="G47" s="123">
        <v>0</v>
      </c>
      <c r="H47" s="123">
        <v>0</v>
      </c>
      <c r="I47" s="123">
        <v>0</v>
      </c>
      <c r="J47" s="123">
        <v>0</v>
      </c>
      <c r="K47" s="123">
        <v>0</v>
      </c>
      <c r="L47" s="123">
        <v>0</v>
      </c>
      <c r="M47" s="123">
        <v>0</v>
      </c>
      <c r="N47" s="123">
        <v>0</v>
      </c>
      <c r="O47" s="123">
        <v>0</v>
      </c>
      <c r="P47" s="123">
        <v>0</v>
      </c>
      <c r="Q47" s="123">
        <v>0</v>
      </c>
      <c r="R47" s="123">
        <v>0</v>
      </c>
      <c r="S47" s="123">
        <v>0</v>
      </c>
      <c r="T47" s="117">
        <v>0</v>
      </c>
      <c r="U47" s="117">
        <v>0</v>
      </c>
      <c r="V47" s="117">
        <v>0</v>
      </c>
      <c r="W47" s="117">
        <v>0</v>
      </c>
      <c r="X47" s="117">
        <v>0</v>
      </c>
      <c r="Y47" s="117">
        <v>0</v>
      </c>
      <c r="Z47" s="123">
        <v>0</v>
      </c>
      <c r="AA47" s="123">
        <v>0</v>
      </c>
      <c r="AB47" s="123">
        <v>0</v>
      </c>
      <c r="AC47" s="117">
        <v>0</v>
      </c>
      <c r="AD47" s="117">
        <v>0</v>
      </c>
      <c r="AE47" s="117">
        <v>0</v>
      </c>
      <c r="AF47" s="117">
        <v>0</v>
      </c>
      <c r="AG47" s="117">
        <v>0</v>
      </c>
      <c r="AH47" s="117">
        <v>0</v>
      </c>
      <c r="AI47" s="123">
        <v>0</v>
      </c>
      <c r="AJ47" s="123">
        <v>0</v>
      </c>
      <c r="AK47" s="123">
        <v>0</v>
      </c>
      <c r="AL47" s="117">
        <v>0</v>
      </c>
      <c r="AM47" s="117">
        <v>0</v>
      </c>
      <c r="AN47" s="117">
        <v>0</v>
      </c>
      <c r="AO47" s="117">
        <v>0</v>
      </c>
      <c r="AP47" s="123">
        <v>0</v>
      </c>
      <c r="AQ47" s="123">
        <v>0</v>
      </c>
      <c r="AR47" s="344"/>
      <c r="AS47" s="344"/>
      <c r="AT47" s="233"/>
      <c r="AU47" s="233"/>
      <c r="AV47" s="234"/>
    </row>
    <row r="48" spans="1:50" s="235" customFormat="1" ht="24">
      <c r="A48" s="454"/>
      <c r="B48" s="451"/>
      <c r="C48" s="451"/>
      <c r="D48" s="143" t="s">
        <v>462</v>
      </c>
      <c r="E48" s="123">
        <f>H48+K48+N48+Q48+T48+W48+Z48+AC48+AF48+AI48+AL48+AO48</f>
        <v>0</v>
      </c>
      <c r="F48" s="123">
        <f>I48+L48+O48+R48+U48+X48+AA48+AD48+AG48+AJ48+AM48+AP48</f>
        <v>0</v>
      </c>
      <c r="G48" s="123">
        <v>0</v>
      </c>
      <c r="H48" s="123">
        <v>0</v>
      </c>
      <c r="I48" s="123">
        <v>0</v>
      </c>
      <c r="J48" s="123">
        <v>0</v>
      </c>
      <c r="K48" s="132">
        <v>0</v>
      </c>
      <c r="L48" s="123">
        <v>0</v>
      </c>
      <c r="M48" s="123">
        <v>0</v>
      </c>
      <c r="N48" s="123">
        <v>0</v>
      </c>
      <c r="O48" s="123">
        <v>0</v>
      </c>
      <c r="P48" s="123">
        <v>0</v>
      </c>
      <c r="Q48" s="123">
        <v>0</v>
      </c>
      <c r="R48" s="123">
        <v>0</v>
      </c>
      <c r="S48" s="123">
        <v>0</v>
      </c>
      <c r="T48" s="117">
        <v>0</v>
      </c>
      <c r="U48" s="117">
        <v>0</v>
      </c>
      <c r="V48" s="123">
        <v>0</v>
      </c>
      <c r="W48" s="117">
        <v>0</v>
      </c>
      <c r="X48" s="117">
        <v>0</v>
      </c>
      <c r="Y48" s="117">
        <v>0</v>
      </c>
      <c r="Z48" s="117">
        <v>0</v>
      </c>
      <c r="AA48" s="117">
        <v>0</v>
      </c>
      <c r="AB48" s="117">
        <v>0</v>
      </c>
      <c r="AC48" s="117">
        <v>0</v>
      </c>
      <c r="AD48" s="117">
        <v>0</v>
      </c>
      <c r="AE48" s="117">
        <v>0</v>
      </c>
      <c r="AF48" s="117">
        <v>0</v>
      </c>
      <c r="AG48" s="117">
        <v>0</v>
      </c>
      <c r="AH48" s="123">
        <v>0</v>
      </c>
      <c r="AI48" s="123">
        <v>0</v>
      </c>
      <c r="AJ48" s="123">
        <v>0</v>
      </c>
      <c r="AK48" s="123">
        <v>0</v>
      </c>
      <c r="AL48" s="117">
        <v>0</v>
      </c>
      <c r="AM48" s="117">
        <v>0</v>
      </c>
      <c r="AN48" s="117">
        <v>0</v>
      </c>
      <c r="AO48" s="123">
        <v>0</v>
      </c>
      <c r="AP48" s="123">
        <v>0</v>
      </c>
      <c r="AQ48" s="123">
        <v>0</v>
      </c>
      <c r="AR48" s="345"/>
      <c r="AS48" s="345"/>
      <c r="AT48" s="233"/>
      <c r="AU48" s="233"/>
      <c r="AV48" s="234"/>
    </row>
    <row r="49" spans="1:50" s="244" customFormat="1" ht="297.75" customHeight="1">
      <c r="A49" s="263" t="s">
        <v>460</v>
      </c>
      <c r="B49" s="143" t="s">
        <v>468</v>
      </c>
      <c r="C49" s="264" t="s">
        <v>507</v>
      </c>
      <c r="D49" s="143" t="s">
        <v>443</v>
      </c>
      <c r="E49" s="149" t="s">
        <v>279</v>
      </c>
      <c r="F49" s="149" t="s">
        <v>279</v>
      </c>
      <c r="G49" s="149" t="s">
        <v>279</v>
      </c>
      <c r="H49" s="149" t="s">
        <v>279</v>
      </c>
      <c r="I49" s="149" t="s">
        <v>279</v>
      </c>
      <c r="J49" s="149" t="s">
        <v>279</v>
      </c>
      <c r="K49" s="149" t="s">
        <v>279</v>
      </c>
      <c r="L49" s="149" t="s">
        <v>279</v>
      </c>
      <c r="M49" s="149" t="s">
        <v>279</v>
      </c>
      <c r="N49" s="149" t="s">
        <v>279</v>
      </c>
      <c r="O49" s="149" t="s">
        <v>279</v>
      </c>
      <c r="P49" s="149" t="s">
        <v>279</v>
      </c>
      <c r="Q49" s="149" t="s">
        <v>279</v>
      </c>
      <c r="R49" s="149" t="s">
        <v>279</v>
      </c>
      <c r="S49" s="149" t="s">
        <v>279</v>
      </c>
      <c r="T49" s="149" t="s">
        <v>279</v>
      </c>
      <c r="U49" s="149" t="s">
        <v>279</v>
      </c>
      <c r="V49" s="149" t="s">
        <v>279</v>
      </c>
      <c r="W49" s="149" t="s">
        <v>279</v>
      </c>
      <c r="X49" s="149" t="s">
        <v>279</v>
      </c>
      <c r="Y49" s="149" t="s">
        <v>279</v>
      </c>
      <c r="Z49" s="149" t="s">
        <v>279</v>
      </c>
      <c r="AA49" s="149" t="s">
        <v>279</v>
      </c>
      <c r="AB49" s="149" t="s">
        <v>279</v>
      </c>
      <c r="AC49" s="149" t="s">
        <v>279</v>
      </c>
      <c r="AD49" s="149" t="s">
        <v>279</v>
      </c>
      <c r="AE49" s="149" t="s">
        <v>279</v>
      </c>
      <c r="AF49" s="149" t="s">
        <v>279</v>
      </c>
      <c r="AG49" s="149" t="s">
        <v>279</v>
      </c>
      <c r="AH49" s="149" t="s">
        <v>279</v>
      </c>
      <c r="AI49" s="149" t="s">
        <v>279</v>
      </c>
      <c r="AJ49" s="149" t="s">
        <v>279</v>
      </c>
      <c r="AK49" s="149" t="s">
        <v>279</v>
      </c>
      <c r="AL49" s="149" t="s">
        <v>279</v>
      </c>
      <c r="AM49" s="149" t="s">
        <v>279</v>
      </c>
      <c r="AN49" s="149" t="s">
        <v>279</v>
      </c>
      <c r="AO49" s="149" t="s">
        <v>279</v>
      </c>
      <c r="AP49" s="149"/>
      <c r="AQ49" s="149"/>
      <c r="AR49" s="253" t="s">
        <v>519</v>
      </c>
      <c r="AS49" s="140"/>
      <c r="AT49" s="233"/>
      <c r="AU49" s="233"/>
      <c r="AV49" s="234"/>
    </row>
    <row r="50" spans="1:50" s="244" customFormat="1" ht="12.75" customHeight="1">
      <c r="A50" s="482" t="s">
        <v>461</v>
      </c>
      <c r="B50" s="485" t="s">
        <v>447</v>
      </c>
      <c r="C50" s="486"/>
      <c r="D50" s="216" t="s">
        <v>444</v>
      </c>
      <c r="E50" s="149">
        <f>E51+E52+E53</f>
        <v>450</v>
      </c>
      <c r="F50" s="149">
        <f t="shared" ref="F50:AP50" si="82">F51+F52+F53</f>
        <v>35.200000000000003</v>
      </c>
      <c r="G50" s="149">
        <f>F50/E50*100</f>
        <v>7.8222222222222237</v>
      </c>
      <c r="H50" s="149">
        <f t="shared" si="82"/>
        <v>0</v>
      </c>
      <c r="I50" s="149">
        <f t="shared" si="82"/>
        <v>0</v>
      </c>
      <c r="J50" s="149" t="e">
        <f>I50/H50*100</f>
        <v>#DIV/0!</v>
      </c>
      <c r="K50" s="149">
        <f t="shared" si="82"/>
        <v>0</v>
      </c>
      <c r="L50" s="149">
        <f t="shared" si="82"/>
        <v>0</v>
      </c>
      <c r="M50" s="149" t="e">
        <f>L50/K50*100</f>
        <v>#DIV/0!</v>
      </c>
      <c r="N50" s="149">
        <f t="shared" si="82"/>
        <v>240</v>
      </c>
      <c r="O50" s="149">
        <f t="shared" si="82"/>
        <v>35.200000000000003</v>
      </c>
      <c r="P50" s="149">
        <f>O50/N50*100</f>
        <v>14.666666666666666</v>
      </c>
      <c r="Q50" s="149">
        <f t="shared" si="82"/>
        <v>210</v>
      </c>
      <c r="R50" s="149">
        <f t="shared" si="82"/>
        <v>0</v>
      </c>
      <c r="S50" s="149">
        <f>R50/Q50*100</f>
        <v>0</v>
      </c>
      <c r="T50" s="149">
        <f t="shared" si="82"/>
        <v>0</v>
      </c>
      <c r="U50" s="149">
        <f t="shared" si="82"/>
        <v>0</v>
      </c>
      <c r="V50" s="149" t="e">
        <f>U50/T50*100</f>
        <v>#DIV/0!</v>
      </c>
      <c r="W50" s="149">
        <f t="shared" si="82"/>
        <v>0</v>
      </c>
      <c r="X50" s="149">
        <f t="shared" si="82"/>
        <v>0</v>
      </c>
      <c r="Y50" s="149" t="e">
        <f>X50/W50*100</f>
        <v>#DIV/0!</v>
      </c>
      <c r="Z50" s="149">
        <f t="shared" si="82"/>
        <v>0</v>
      </c>
      <c r="AA50" s="149">
        <f t="shared" si="82"/>
        <v>0</v>
      </c>
      <c r="AB50" s="149" t="e">
        <f>AA50/Z50*100</f>
        <v>#DIV/0!</v>
      </c>
      <c r="AC50" s="149">
        <f t="shared" si="82"/>
        <v>0</v>
      </c>
      <c r="AD50" s="149">
        <f t="shared" si="82"/>
        <v>0</v>
      </c>
      <c r="AE50" s="149" t="e">
        <f>AD50/AC50*100</f>
        <v>#DIV/0!</v>
      </c>
      <c r="AF50" s="149">
        <f t="shared" si="82"/>
        <v>0</v>
      </c>
      <c r="AG50" s="149">
        <f t="shared" si="82"/>
        <v>0</v>
      </c>
      <c r="AH50" s="149" t="e">
        <f>AG50/AF50*100</f>
        <v>#DIV/0!</v>
      </c>
      <c r="AI50" s="149">
        <f t="shared" si="82"/>
        <v>0</v>
      </c>
      <c r="AJ50" s="149">
        <f t="shared" si="82"/>
        <v>0</v>
      </c>
      <c r="AK50" s="149" t="e">
        <f>AJ50/AI50*100</f>
        <v>#DIV/0!</v>
      </c>
      <c r="AL50" s="149">
        <f t="shared" si="82"/>
        <v>0</v>
      </c>
      <c r="AM50" s="149">
        <f t="shared" si="82"/>
        <v>0</v>
      </c>
      <c r="AN50" s="149" t="e">
        <f>AM50/AL50*100</f>
        <v>#DIV/0!</v>
      </c>
      <c r="AO50" s="149">
        <f t="shared" si="82"/>
        <v>0</v>
      </c>
      <c r="AP50" s="149">
        <f t="shared" si="82"/>
        <v>0</v>
      </c>
      <c r="AQ50" s="149" t="e">
        <f>AP50/AO50*100</f>
        <v>#DIV/0!</v>
      </c>
      <c r="AR50" s="470"/>
      <c r="AS50" s="473"/>
      <c r="AT50" s="233"/>
      <c r="AU50" s="233"/>
      <c r="AV50" s="234"/>
    </row>
    <row r="51" spans="1:50" s="244" customFormat="1" ht="48">
      <c r="A51" s="483"/>
      <c r="B51" s="487"/>
      <c r="C51" s="488"/>
      <c r="D51" s="217" t="s">
        <v>442</v>
      </c>
      <c r="E51" s="149">
        <f t="shared" ref="E51:F53" si="83">E57</f>
        <v>0</v>
      </c>
      <c r="F51" s="149">
        <f t="shared" si="83"/>
        <v>0</v>
      </c>
      <c r="G51" s="149">
        <v>0</v>
      </c>
      <c r="H51" s="149">
        <f t="shared" ref="H51:I53" si="84">H57</f>
        <v>0</v>
      </c>
      <c r="I51" s="149">
        <f t="shared" si="84"/>
        <v>0</v>
      </c>
      <c r="J51" s="149">
        <v>0</v>
      </c>
      <c r="K51" s="149">
        <f t="shared" ref="K51:L53" si="85">K57</f>
        <v>0</v>
      </c>
      <c r="L51" s="149">
        <f t="shared" si="85"/>
        <v>0</v>
      </c>
      <c r="M51" s="149">
        <v>0</v>
      </c>
      <c r="N51" s="149">
        <f t="shared" ref="N51:O53" si="86">N57</f>
        <v>0</v>
      </c>
      <c r="O51" s="149">
        <f t="shared" si="86"/>
        <v>0</v>
      </c>
      <c r="P51" s="149">
        <v>0</v>
      </c>
      <c r="Q51" s="149">
        <f t="shared" ref="Q51:R53" si="87">Q57</f>
        <v>0</v>
      </c>
      <c r="R51" s="149">
        <f t="shared" si="87"/>
        <v>0</v>
      </c>
      <c r="S51" s="149" t="e">
        <f t="shared" ref="S51" si="88">R51/Q51*100</f>
        <v>#DIV/0!</v>
      </c>
      <c r="T51" s="149">
        <f t="shared" ref="T51:AD53" si="89">T57</f>
        <v>0</v>
      </c>
      <c r="U51" s="149">
        <f t="shared" si="89"/>
        <v>0</v>
      </c>
      <c r="V51" s="149">
        <f t="shared" si="89"/>
        <v>0</v>
      </c>
      <c r="W51" s="149">
        <f t="shared" si="89"/>
        <v>0</v>
      </c>
      <c r="X51" s="149">
        <f t="shared" si="89"/>
        <v>0</v>
      </c>
      <c r="Y51" s="149">
        <f t="shared" si="89"/>
        <v>0</v>
      </c>
      <c r="Z51" s="149">
        <f t="shared" si="89"/>
        <v>0</v>
      </c>
      <c r="AA51" s="149">
        <f t="shared" si="89"/>
        <v>0</v>
      </c>
      <c r="AB51" s="149">
        <f t="shared" si="89"/>
        <v>0</v>
      </c>
      <c r="AC51" s="149">
        <f t="shared" si="89"/>
        <v>0</v>
      </c>
      <c r="AD51" s="149">
        <f t="shared" si="89"/>
        <v>0</v>
      </c>
      <c r="AE51" s="149" t="e">
        <f t="shared" ref="AE51:AE52" si="90">AD51/AC51*100</f>
        <v>#DIV/0!</v>
      </c>
      <c r="AF51" s="149">
        <f t="shared" ref="AF51:AQ53" si="91">AF57</f>
        <v>0</v>
      </c>
      <c r="AG51" s="149">
        <f t="shared" si="91"/>
        <v>0</v>
      </c>
      <c r="AH51" s="149">
        <f t="shared" si="91"/>
        <v>0</v>
      </c>
      <c r="AI51" s="149">
        <f t="shared" si="91"/>
        <v>0</v>
      </c>
      <c r="AJ51" s="149">
        <f t="shared" si="91"/>
        <v>0</v>
      </c>
      <c r="AK51" s="149">
        <f t="shared" si="91"/>
        <v>0</v>
      </c>
      <c r="AL51" s="149">
        <f t="shared" si="91"/>
        <v>0</v>
      </c>
      <c r="AM51" s="149">
        <f t="shared" si="91"/>
        <v>0</v>
      </c>
      <c r="AN51" s="149">
        <f t="shared" si="91"/>
        <v>0</v>
      </c>
      <c r="AO51" s="149">
        <f t="shared" si="91"/>
        <v>0</v>
      </c>
      <c r="AP51" s="149">
        <f t="shared" si="91"/>
        <v>0</v>
      </c>
      <c r="AQ51" s="149">
        <f t="shared" si="91"/>
        <v>0</v>
      </c>
      <c r="AR51" s="471"/>
      <c r="AS51" s="474"/>
      <c r="AT51" s="233"/>
      <c r="AU51" s="233"/>
      <c r="AV51" s="234"/>
    </row>
    <row r="52" spans="1:50" s="244" customFormat="1" ht="12.75">
      <c r="A52" s="483"/>
      <c r="B52" s="487"/>
      <c r="C52" s="488"/>
      <c r="D52" s="217" t="s">
        <v>457</v>
      </c>
      <c r="E52" s="149">
        <f t="shared" si="83"/>
        <v>450</v>
      </c>
      <c r="F52" s="149">
        <f t="shared" si="83"/>
        <v>35.200000000000003</v>
      </c>
      <c r="G52" s="149">
        <f>F52/E52*100</f>
        <v>7.8222222222222237</v>
      </c>
      <c r="H52" s="149">
        <f t="shared" si="84"/>
        <v>0</v>
      </c>
      <c r="I52" s="149">
        <f t="shared" si="84"/>
        <v>0</v>
      </c>
      <c r="J52" s="149">
        <v>0</v>
      </c>
      <c r="K52" s="149">
        <f t="shared" si="85"/>
        <v>0</v>
      </c>
      <c r="L52" s="149">
        <f t="shared" si="85"/>
        <v>0</v>
      </c>
      <c r="M52" s="149">
        <v>0</v>
      </c>
      <c r="N52" s="149">
        <f t="shared" si="86"/>
        <v>240</v>
      </c>
      <c r="O52" s="149">
        <f t="shared" si="86"/>
        <v>35.200000000000003</v>
      </c>
      <c r="P52" s="149">
        <f t="shared" ref="P52" si="92">O52/N52*100</f>
        <v>14.666666666666666</v>
      </c>
      <c r="Q52" s="149">
        <f t="shared" si="87"/>
        <v>210</v>
      </c>
      <c r="R52" s="149">
        <f t="shared" si="87"/>
        <v>0</v>
      </c>
      <c r="S52" s="149">
        <v>0</v>
      </c>
      <c r="T52" s="149">
        <f t="shared" si="89"/>
        <v>0</v>
      </c>
      <c r="U52" s="149">
        <f t="shared" si="89"/>
        <v>0</v>
      </c>
      <c r="V52" s="149">
        <f t="shared" si="89"/>
        <v>0</v>
      </c>
      <c r="W52" s="149">
        <f t="shared" si="89"/>
        <v>0</v>
      </c>
      <c r="X52" s="149">
        <f t="shared" si="89"/>
        <v>0</v>
      </c>
      <c r="Y52" s="149">
        <f t="shared" si="89"/>
        <v>0</v>
      </c>
      <c r="Z52" s="149">
        <f t="shared" si="89"/>
        <v>0</v>
      </c>
      <c r="AA52" s="149">
        <f t="shared" si="89"/>
        <v>0</v>
      </c>
      <c r="AB52" s="149">
        <f t="shared" si="89"/>
        <v>0</v>
      </c>
      <c r="AC52" s="149">
        <f t="shared" si="89"/>
        <v>0</v>
      </c>
      <c r="AD52" s="149">
        <f t="shared" si="89"/>
        <v>0</v>
      </c>
      <c r="AE52" s="149" t="e">
        <f t="shared" si="90"/>
        <v>#DIV/0!</v>
      </c>
      <c r="AF52" s="149">
        <f t="shared" si="91"/>
        <v>0</v>
      </c>
      <c r="AG52" s="149">
        <f t="shared" si="91"/>
        <v>0</v>
      </c>
      <c r="AH52" s="149">
        <f t="shared" si="91"/>
        <v>0</v>
      </c>
      <c r="AI52" s="149">
        <f t="shared" si="91"/>
        <v>0</v>
      </c>
      <c r="AJ52" s="149">
        <f t="shared" si="91"/>
        <v>0</v>
      </c>
      <c r="AK52" s="149">
        <f t="shared" si="91"/>
        <v>0</v>
      </c>
      <c r="AL52" s="149">
        <f t="shared" si="91"/>
        <v>0</v>
      </c>
      <c r="AM52" s="149">
        <f t="shared" si="91"/>
        <v>0</v>
      </c>
      <c r="AN52" s="149">
        <f t="shared" si="91"/>
        <v>0</v>
      </c>
      <c r="AO52" s="149">
        <f t="shared" si="91"/>
        <v>0</v>
      </c>
      <c r="AP52" s="149">
        <f t="shared" si="91"/>
        <v>0</v>
      </c>
      <c r="AQ52" s="149">
        <f t="shared" si="91"/>
        <v>0</v>
      </c>
      <c r="AR52" s="471"/>
      <c r="AS52" s="474"/>
      <c r="AT52" s="233"/>
      <c r="AU52" s="233"/>
      <c r="AV52" s="234"/>
    </row>
    <row r="53" spans="1:50" s="244" customFormat="1" ht="24">
      <c r="A53" s="483"/>
      <c r="B53" s="487"/>
      <c r="C53" s="488"/>
      <c r="D53" s="218" t="s">
        <v>257</v>
      </c>
      <c r="E53" s="149">
        <f t="shared" si="83"/>
        <v>0</v>
      </c>
      <c r="F53" s="149">
        <f t="shared" si="83"/>
        <v>0</v>
      </c>
      <c r="G53" s="149">
        <v>0</v>
      </c>
      <c r="H53" s="149">
        <f t="shared" si="84"/>
        <v>0</v>
      </c>
      <c r="I53" s="149">
        <f t="shared" si="84"/>
        <v>0</v>
      </c>
      <c r="J53" s="149">
        <v>0</v>
      </c>
      <c r="K53" s="149">
        <f t="shared" si="85"/>
        <v>0</v>
      </c>
      <c r="L53" s="149">
        <f t="shared" si="85"/>
        <v>0</v>
      </c>
      <c r="M53" s="149">
        <v>0</v>
      </c>
      <c r="N53" s="149">
        <f t="shared" si="86"/>
        <v>0</v>
      </c>
      <c r="O53" s="149">
        <f t="shared" si="86"/>
        <v>0</v>
      </c>
      <c r="P53" s="149">
        <f>P59</f>
        <v>0</v>
      </c>
      <c r="Q53" s="149">
        <f t="shared" si="87"/>
        <v>0</v>
      </c>
      <c r="R53" s="149">
        <f t="shared" si="87"/>
        <v>0</v>
      </c>
      <c r="S53" s="149">
        <v>0</v>
      </c>
      <c r="T53" s="149">
        <f t="shared" si="89"/>
        <v>0</v>
      </c>
      <c r="U53" s="149">
        <f t="shared" si="89"/>
        <v>0</v>
      </c>
      <c r="V53" s="149">
        <f t="shared" si="89"/>
        <v>0</v>
      </c>
      <c r="W53" s="149">
        <f t="shared" si="89"/>
        <v>0</v>
      </c>
      <c r="X53" s="149">
        <f t="shared" si="89"/>
        <v>0</v>
      </c>
      <c r="Y53" s="149">
        <f t="shared" si="89"/>
        <v>0</v>
      </c>
      <c r="Z53" s="149">
        <f t="shared" si="89"/>
        <v>0</v>
      </c>
      <c r="AA53" s="149">
        <f t="shared" si="89"/>
        <v>0</v>
      </c>
      <c r="AB53" s="149">
        <f t="shared" si="89"/>
        <v>0</v>
      </c>
      <c r="AC53" s="149">
        <f t="shared" si="89"/>
        <v>0</v>
      </c>
      <c r="AD53" s="149">
        <f t="shared" si="89"/>
        <v>0</v>
      </c>
      <c r="AE53" s="149">
        <f>AE59</f>
        <v>0</v>
      </c>
      <c r="AF53" s="149">
        <f t="shared" si="91"/>
        <v>0</v>
      </c>
      <c r="AG53" s="149">
        <f t="shared" si="91"/>
        <v>0</v>
      </c>
      <c r="AH53" s="149">
        <f t="shared" si="91"/>
        <v>0</v>
      </c>
      <c r="AI53" s="149">
        <f t="shared" si="91"/>
        <v>0</v>
      </c>
      <c r="AJ53" s="149">
        <f t="shared" si="91"/>
        <v>0</v>
      </c>
      <c r="AK53" s="149">
        <f t="shared" si="91"/>
        <v>0</v>
      </c>
      <c r="AL53" s="149">
        <f t="shared" si="91"/>
        <v>0</v>
      </c>
      <c r="AM53" s="149">
        <f t="shared" si="91"/>
        <v>0</v>
      </c>
      <c r="AN53" s="149">
        <f t="shared" si="91"/>
        <v>0</v>
      </c>
      <c r="AO53" s="149">
        <f t="shared" si="91"/>
        <v>0</v>
      </c>
      <c r="AP53" s="149">
        <f t="shared" si="91"/>
        <v>0</v>
      </c>
      <c r="AQ53" s="149">
        <f t="shared" si="91"/>
        <v>0</v>
      </c>
      <c r="AR53" s="471"/>
      <c r="AS53" s="474"/>
      <c r="AT53" s="233"/>
      <c r="AU53" s="233"/>
      <c r="AV53" s="234"/>
    </row>
    <row r="54" spans="1:50" s="244" customFormat="1" ht="24">
      <c r="A54" s="484"/>
      <c r="B54" s="489"/>
      <c r="C54" s="490"/>
      <c r="D54" s="218" t="s">
        <v>462</v>
      </c>
      <c r="E54" s="149">
        <f>H54+K54+N54+Q54+T54+W54+Z54+AC54+AF54+AI54+AL54+AO54</f>
        <v>0</v>
      </c>
      <c r="F54" s="149">
        <f>I54+L54+O54+R54+U54+X54+AA54+AD54+AG54+AJ54+AM54+AP54</f>
        <v>0</v>
      </c>
      <c r="G54" s="149">
        <v>0</v>
      </c>
      <c r="H54" s="149">
        <v>0</v>
      </c>
      <c r="I54" s="149">
        <v>0</v>
      </c>
      <c r="J54" s="149">
        <v>0</v>
      </c>
      <c r="K54" s="252">
        <v>0</v>
      </c>
      <c r="L54" s="149">
        <v>0</v>
      </c>
      <c r="M54" s="149">
        <v>0</v>
      </c>
      <c r="N54" s="149">
        <v>0</v>
      </c>
      <c r="O54" s="149">
        <v>0</v>
      </c>
      <c r="P54" s="149">
        <v>0</v>
      </c>
      <c r="Q54" s="149">
        <v>0</v>
      </c>
      <c r="R54" s="149">
        <v>0</v>
      </c>
      <c r="S54" s="149">
        <v>0</v>
      </c>
      <c r="T54" s="226">
        <v>0</v>
      </c>
      <c r="U54" s="226">
        <v>0</v>
      </c>
      <c r="V54" s="149">
        <v>0</v>
      </c>
      <c r="W54" s="226">
        <v>0</v>
      </c>
      <c r="X54" s="226">
        <v>0</v>
      </c>
      <c r="Y54" s="226">
        <v>0</v>
      </c>
      <c r="Z54" s="226">
        <v>0</v>
      </c>
      <c r="AA54" s="226">
        <v>0</v>
      </c>
      <c r="AB54" s="226">
        <v>0</v>
      </c>
      <c r="AC54" s="226">
        <v>0</v>
      </c>
      <c r="AD54" s="226">
        <v>0</v>
      </c>
      <c r="AE54" s="226">
        <v>0</v>
      </c>
      <c r="AF54" s="226">
        <v>0</v>
      </c>
      <c r="AG54" s="226">
        <v>0</v>
      </c>
      <c r="AH54" s="149">
        <v>0</v>
      </c>
      <c r="AI54" s="149">
        <v>0</v>
      </c>
      <c r="AJ54" s="149">
        <v>0</v>
      </c>
      <c r="AK54" s="149">
        <v>0</v>
      </c>
      <c r="AL54" s="226">
        <v>0</v>
      </c>
      <c r="AM54" s="226">
        <v>0</v>
      </c>
      <c r="AN54" s="226">
        <v>0</v>
      </c>
      <c r="AO54" s="149">
        <v>0</v>
      </c>
      <c r="AP54" s="149"/>
      <c r="AQ54" s="149"/>
      <c r="AR54" s="472"/>
      <c r="AS54" s="475"/>
      <c r="AT54" s="233"/>
      <c r="AU54" s="233"/>
      <c r="AV54" s="234"/>
    </row>
    <row r="55" spans="1:50" s="244" customFormat="1" ht="320.25" customHeight="1">
      <c r="A55" s="263" t="s">
        <v>7</v>
      </c>
      <c r="B55" s="143" t="s">
        <v>469</v>
      </c>
      <c r="C55" s="264" t="s">
        <v>508</v>
      </c>
      <c r="D55" s="143" t="s">
        <v>443</v>
      </c>
      <c r="E55" s="149" t="s">
        <v>279</v>
      </c>
      <c r="F55" s="149" t="s">
        <v>279</v>
      </c>
      <c r="G55" s="149" t="s">
        <v>279</v>
      </c>
      <c r="H55" s="149" t="s">
        <v>279</v>
      </c>
      <c r="I55" s="149" t="s">
        <v>279</v>
      </c>
      <c r="J55" s="149" t="s">
        <v>279</v>
      </c>
      <c r="K55" s="149" t="s">
        <v>279</v>
      </c>
      <c r="L55" s="149" t="s">
        <v>279</v>
      </c>
      <c r="M55" s="149" t="s">
        <v>279</v>
      </c>
      <c r="N55" s="149" t="s">
        <v>279</v>
      </c>
      <c r="O55" s="149" t="s">
        <v>279</v>
      </c>
      <c r="P55" s="149" t="s">
        <v>279</v>
      </c>
      <c r="Q55" s="149" t="s">
        <v>279</v>
      </c>
      <c r="R55" s="149" t="s">
        <v>279</v>
      </c>
      <c r="S55" s="149" t="s">
        <v>279</v>
      </c>
      <c r="T55" s="149" t="s">
        <v>279</v>
      </c>
      <c r="U55" s="149" t="s">
        <v>279</v>
      </c>
      <c r="V55" s="149" t="s">
        <v>279</v>
      </c>
      <c r="W55" s="149" t="s">
        <v>279</v>
      </c>
      <c r="X55" s="149" t="s">
        <v>279</v>
      </c>
      <c r="Y55" s="149" t="s">
        <v>279</v>
      </c>
      <c r="Z55" s="149" t="s">
        <v>279</v>
      </c>
      <c r="AA55" s="149" t="s">
        <v>279</v>
      </c>
      <c r="AB55" s="149" t="s">
        <v>279</v>
      </c>
      <c r="AC55" s="149" t="s">
        <v>279</v>
      </c>
      <c r="AD55" s="149" t="s">
        <v>279</v>
      </c>
      <c r="AE55" s="149" t="s">
        <v>279</v>
      </c>
      <c r="AF55" s="149" t="s">
        <v>279</v>
      </c>
      <c r="AG55" s="149" t="s">
        <v>279</v>
      </c>
      <c r="AH55" s="149" t="s">
        <v>279</v>
      </c>
      <c r="AI55" s="149" t="s">
        <v>279</v>
      </c>
      <c r="AJ55" s="149" t="s">
        <v>279</v>
      </c>
      <c r="AK55" s="149" t="s">
        <v>279</v>
      </c>
      <c r="AL55" s="149" t="s">
        <v>279</v>
      </c>
      <c r="AM55" s="149" t="s">
        <v>279</v>
      </c>
      <c r="AN55" s="149" t="s">
        <v>279</v>
      </c>
      <c r="AO55" s="149" t="s">
        <v>279</v>
      </c>
      <c r="AP55" s="149"/>
      <c r="AQ55" s="149"/>
      <c r="AR55" s="253" t="s">
        <v>524</v>
      </c>
      <c r="AS55" s="140"/>
      <c r="AT55" s="233"/>
      <c r="AU55" s="233"/>
      <c r="AV55" s="234"/>
    </row>
    <row r="56" spans="1:50" s="235" customFormat="1" ht="29.25" customHeight="1">
      <c r="A56" s="491" t="s">
        <v>8</v>
      </c>
      <c r="B56" s="449" t="s">
        <v>470</v>
      </c>
      <c r="C56" s="343" t="s">
        <v>509</v>
      </c>
      <c r="D56" s="219" t="s">
        <v>444</v>
      </c>
      <c r="E56" s="123">
        <f>SUM(E57:E59)</f>
        <v>450</v>
      </c>
      <c r="F56" s="123">
        <f t="shared" ref="F56" si="93">SUM(F57:F59)</f>
        <v>35.200000000000003</v>
      </c>
      <c r="G56" s="123">
        <f>F56/E56*100</f>
        <v>7.8222222222222237</v>
      </c>
      <c r="H56" s="132">
        <f>H57+H58+H59</f>
        <v>0</v>
      </c>
      <c r="I56" s="132">
        <f>I57+I58+I59</f>
        <v>0</v>
      </c>
      <c r="J56" s="123">
        <v>0</v>
      </c>
      <c r="K56" s="132">
        <f>K57+K58+K59</f>
        <v>0</v>
      </c>
      <c r="L56" s="132">
        <f>L57+L58+L59</f>
        <v>0</v>
      </c>
      <c r="M56" s="132">
        <v>0</v>
      </c>
      <c r="N56" s="132">
        <f>N57+N58+N59</f>
        <v>240</v>
      </c>
      <c r="O56" s="132">
        <f>O57+O58+O59</f>
        <v>35.200000000000003</v>
      </c>
      <c r="P56" s="123">
        <f t="shared" ref="P56:P58" si="94">O56/N56*100</f>
        <v>14.666666666666666</v>
      </c>
      <c r="Q56" s="132">
        <f>Q57+Q58+Q59</f>
        <v>210</v>
      </c>
      <c r="R56" s="132">
        <f>R57+R58+R59</f>
        <v>0</v>
      </c>
      <c r="S56" s="132">
        <f>R56/Q56*100</f>
        <v>0</v>
      </c>
      <c r="T56" s="132">
        <f t="shared" ref="T56:AP56" si="95">T57+T58+T59</f>
        <v>0</v>
      </c>
      <c r="U56" s="132">
        <f t="shared" si="95"/>
        <v>0</v>
      </c>
      <c r="V56" s="132">
        <v>0</v>
      </c>
      <c r="W56" s="132">
        <f t="shared" si="95"/>
        <v>0</v>
      </c>
      <c r="X56" s="132">
        <f t="shared" si="95"/>
        <v>0</v>
      </c>
      <c r="Y56" s="132">
        <v>0</v>
      </c>
      <c r="Z56" s="132">
        <f t="shared" si="95"/>
        <v>0</v>
      </c>
      <c r="AA56" s="132">
        <f t="shared" si="95"/>
        <v>0</v>
      </c>
      <c r="AB56" s="132">
        <v>0</v>
      </c>
      <c r="AC56" s="132">
        <f t="shared" si="95"/>
        <v>0</v>
      </c>
      <c r="AD56" s="132">
        <f t="shared" si="95"/>
        <v>0</v>
      </c>
      <c r="AE56" s="132">
        <v>0</v>
      </c>
      <c r="AF56" s="132">
        <f t="shared" si="95"/>
        <v>0</v>
      </c>
      <c r="AG56" s="132">
        <f t="shared" si="95"/>
        <v>0</v>
      </c>
      <c r="AH56" s="117">
        <v>0</v>
      </c>
      <c r="AI56" s="132">
        <f t="shared" si="95"/>
        <v>0</v>
      </c>
      <c r="AJ56" s="132">
        <f t="shared" si="95"/>
        <v>0</v>
      </c>
      <c r="AK56" s="132">
        <v>0</v>
      </c>
      <c r="AL56" s="132">
        <f t="shared" si="95"/>
        <v>0</v>
      </c>
      <c r="AM56" s="132">
        <f t="shared" si="95"/>
        <v>0</v>
      </c>
      <c r="AN56" s="132">
        <v>0</v>
      </c>
      <c r="AO56" s="132">
        <f t="shared" si="95"/>
        <v>0</v>
      </c>
      <c r="AP56" s="132">
        <f t="shared" si="95"/>
        <v>0</v>
      </c>
      <c r="AQ56" s="123">
        <v>0</v>
      </c>
      <c r="AR56" s="425" t="s">
        <v>520</v>
      </c>
      <c r="AS56" s="343" t="s">
        <v>528</v>
      </c>
      <c r="AT56" s="233"/>
      <c r="AU56" s="233"/>
      <c r="AV56" s="234"/>
      <c r="AX56" s="233"/>
    </row>
    <row r="57" spans="1:50" s="235" customFormat="1" ht="69" customHeight="1">
      <c r="A57" s="492"/>
      <c r="B57" s="450"/>
      <c r="C57" s="344"/>
      <c r="D57" s="220" t="s">
        <v>442</v>
      </c>
      <c r="E57" s="123">
        <f>H57+K57+N57+Q57+T57+W57+Z57+AC57+AF57+AI57+AL57+AO57</f>
        <v>0</v>
      </c>
      <c r="F57" s="123">
        <f>I57+L57+O57+R57+U57+X57+AA57+AD57+AG57+AJ57+AM57+AP57</f>
        <v>0</v>
      </c>
      <c r="G57" s="123">
        <v>0</v>
      </c>
      <c r="H57" s="123">
        <v>0</v>
      </c>
      <c r="I57" s="123">
        <v>0</v>
      </c>
      <c r="J57" s="123">
        <v>0</v>
      </c>
      <c r="K57" s="123">
        <v>0</v>
      </c>
      <c r="L57" s="123">
        <v>0</v>
      </c>
      <c r="M57" s="123">
        <v>0</v>
      </c>
      <c r="N57" s="123">
        <v>0</v>
      </c>
      <c r="O57" s="123">
        <v>0</v>
      </c>
      <c r="P57" s="123">
        <v>0</v>
      </c>
      <c r="Q57" s="123">
        <v>0</v>
      </c>
      <c r="R57" s="123">
        <v>0</v>
      </c>
      <c r="S57" s="123">
        <v>0</v>
      </c>
      <c r="T57" s="221">
        <v>0</v>
      </c>
      <c r="U57" s="221">
        <v>0</v>
      </c>
      <c r="V57" s="117">
        <v>0</v>
      </c>
      <c r="W57" s="117">
        <v>0</v>
      </c>
      <c r="X57" s="117">
        <v>0</v>
      </c>
      <c r="Y57" s="117">
        <v>0</v>
      </c>
      <c r="Z57" s="123">
        <v>0</v>
      </c>
      <c r="AA57" s="123">
        <v>0</v>
      </c>
      <c r="AB57" s="117">
        <v>0</v>
      </c>
      <c r="AC57" s="221">
        <v>0</v>
      </c>
      <c r="AD57" s="221">
        <v>0</v>
      </c>
      <c r="AE57" s="117">
        <v>0</v>
      </c>
      <c r="AF57" s="221">
        <v>0</v>
      </c>
      <c r="AG57" s="222">
        <v>0</v>
      </c>
      <c r="AH57" s="123">
        <v>0</v>
      </c>
      <c r="AI57" s="221">
        <v>0</v>
      </c>
      <c r="AJ57" s="221">
        <v>0</v>
      </c>
      <c r="AK57" s="221">
        <v>0</v>
      </c>
      <c r="AL57" s="221">
        <v>0</v>
      </c>
      <c r="AM57" s="221">
        <v>0</v>
      </c>
      <c r="AN57" s="221">
        <v>0</v>
      </c>
      <c r="AO57" s="221">
        <v>0</v>
      </c>
      <c r="AP57" s="123">
        <v>0</v>
      </c>
      <c r="AQ57" s="123">
        <v>0</v>
      </c>
      <c r="AR57" s="426"/>
      <c r="AS57" s="344"/>
      <c r="AT57" s="233"/>
      <c r="AU57" s="233"/>
      <c r="AV57" s="234"/>
      <c r="AX57" s="233"/>
    </row>
    <row r="58" spans="1:50" s="235" customFormat="1" ht="33.75" customHeight="1">
      <c r="A58" s="492"/>
      <c r="B58" s="450"/>
      <c r="C58" s="344"/>
      <c r="D58" s="220" t="s">
        <v>457</v>
      </c>
      <c r="E58" s="123">
        <f t="shared" ref="E58:F59" si="96">H58+K58+N58+Q58+T58+W58+Z58+AC58+AF58+AI58+AL58+AO58</f>
        <v>450</v>
      </c>
      <c r="F58" s="123">
        <f t="shared" si="96"/>
        <v>35.200000000000003</v>
      </c>
      <c r="G58" s="123">
        <f>F58/E58*100</f>
        <v>7.8222222222222237</v>
      </c>
      <c r="H58" s="123">
        <v>0</v>
      </c>
      <c r="I58" s="123">
        <v>0</v>
      </c>
      <c r="J58" s="123">
        <v>0</v>
      </c>
      <c r="K58" s="123">
        <v>0</v>
      </c>
      <c r="L58" s="123">
        <v>0</v>
      </c>
      <c r="M58" s="123">
        <v>0</v>
      </c>
      <c r="N58" s="123">
        <v>240</v>
      </c>
      <c r="O58" s="123">
        <v>35.200000000000003</v>
      </c>
      <c r="P58" s="123">
        <f t="shared" si="94"/>
        <v>14.666666666666666</v>
      </c>
      <c r="Q58" s="123">
        <v>210</v>
      </c>
      <c r="R58" s="123">
        <v>0</v>
      </c>
      <c r="S58" s="123">
        <f t="shared" ref="S58" si="97">R58/Q58*100</f>
        <v>0</v>
      </c>
      <c r="T58" s="221">
        <v>0</v>
      </c>
      <c r="U58" s="221">
        <v>0</v>
      </c>
      <c r="V58" s="117">
        <v>0</v>
      </c>
      <c r="W58" s="117">
        <v>0</v>
      </c>
      <c r="X58" s="117">
        <v>0</v>
      </c>
      <c r="Y58" s="117">
        <v>0</v>
      </c>
      <c r="Z58" s="123">
        <v>0</v>
      </c>
      <c r="AA58" s="123">
        <v>0</v>
      </c>
      <c r="AB58" s="117">
        <v>0</v>
      </c>
      <c r="AC58" s="221">
        <v>0</v>
      </c>
      <c r="AD58" s="221">
        <v>0</v>
      </c>
      <c r="AE58" s="117">
        <v>0</v>
      </c>
      <c r="AF58" s="221">
        <v>0</v>
      </c>
      <c r="AG58" s="222">
        <v>0</v>
      </c>
      <c r="AH58" s="123">
        <v>0</v>
      </c>
      <c r="AI58" s="221">
        <v>0</v>
      </c>
      <c r="AJ58" s="221">
        <v>0</v>
      </c>
      <c r="AK58" s="221">
        <v>0</v>
      </c>
      <c r="AL58" s="221">
        <v>0</v>
      </c>
      <c r="AM58" s="221">
        <v>0</v>
      </c>
      <c r="AN58" s="221">
        <v>0</v>
      </c>
      <c r="AO58" s="221">
        <v>0</v>
      </c>
      <c r="AP58" s="123">
        <v>0</v>
      </c>
      <c r="AQ58" s="123">
        <v>0</v>
      </c>
      <c r="AR58" s="426"/>
      <c r="AS58" s="344"/>
      <c r="AT58" s="233"/>
      <c r="AU58" s="233"/>
      <c r="AV58" s="234"/>
      <c r="AX58" s="233"/>
    </row>
    <row r="59" spans="1:50" s="235" customFormat="1" ht="41.25" customHeight="1">
      <c r="A59" s="492"/>
      <c r="B59" s="450"/>
      <c r="C59" s="344"/>
      <c r="D59" s="143" t="s">
        <v>257</v>
      </c>
      <c r="E59" s="123">
        <f t="shared" si="96"/>
        <v>0</v>
      </c>
      <c r="F59" s="123">
        <f t="shared" si="96"/>
        <v>0</v>
      </c>
      <c r="G59" s="123">
        <v>0</v>
      </c>
      <c r="H59" s="123">
        <v>0</v>
      </c>
      <c r="I59" s="123">
        <v>0</v>
      </c>
      <c r="J59" s="123">
        <v>0</v>
      </c>
      <c r="K59" s="132">
        <v>0</v>
      </c>
      <c r="L59" s="123">
        <v>0</v>
      </c>
      <c r="M59" s="123">
        <v>0</v>
      </c>
      <c r="N59" s="123">
        <v>0</v>
      </c>
      <c r="O59" s="123">
        <v>0</v>
      </c>
      <c r="P59" s="123">
        <v>0</v>
      </c>
      <c r="Q59" s="123">
        <v>0</v>
      </c>
      <c r="R59" s="123">
        <v>0</v>
      </c>
      <c r="S59" s="241">
        <v>0</v>
      </c>
      <c r="T59" s="117">
        <v>0</v>
      </c>
      <c r="U59" s="117">
        <v>0</v>
      </c>
      <c r="V59" s="117">
        <v>0</v>
      </c>
      <c r="W59" s="117">
        <v>0</v>
      </c>
      <c r="X59" s="117">
        <v>0</v>
      </c>
      <c r="Y59" s="117">
        <v>0</v>
      </c>
      <c r="Z59" s="117">
        <v>0</v>
      </c>
      <c r="AA59" s="117">
        <v>0</v>
      </c>
      <c r="AB59" s="117">
        <v>0</v>
      </c>
      <c r="AC59" s="117">
        <v>0</v>
      </c>
      <c r="AD59" s="117">
        <v>0</v>
      </c>
      <c r="AE59" s="117">
        <v>0</v>
      </c>
      <c r="AF59" s="117">
        <v>0</v>
      </c>
      <c r="AG59" s="117">
        <v>0</v>
      </c>
      <c r="AH59" s="117">
        <v>0</v>
      </c>
      <c r="AI59" s="123">
        <v>0</v>
      </c>
      <c r="AJ59" s="123">
        <v>0</v>
      </c>
      <c r="AK59" s="123">
        <v>0</v>
      </c>
      <c r="AL59" s="117">
        <v>0</v>
      </c>
      <c r="AM59" s="117">
        <v>0</v>
      </c>
      <c r="AN59" s="117">
        <v>0</v>
      </c>
      <c r="AO59" s="123">
        <v>0</v>
      </c>
      <c r="AP59" s="123">
        <v>0</v>
      </c>
      <c r="AQ59" s="123">
        <v>0</v>
      </c>
      <c r="AR59" s="426"/>
      <c r="AS59" s="344"/>
      <c r="AT59" s="233"/>
      <c r="AU59" s="233"/>
      <c r="AV59" s="234"/>
      <c r="AX59" s="233"/>
    </row>
    <row r="60" spans="1:50" s="235" customFormat="1" ht="57" customHeight="1">
      <c r="A60" s="493"/>
      <c r="B60" s="451"/>
      <c r="C60" s="345"/>
      <c r="D60" s="143" t="s">
        <v>462</v>
      </c>
      <c r="E60" s="123">
        <f>H60+K60+N60+Q60+T60+W60+Z60+AC60+AF60+AI60+AL60+AO60</f>
        <v>0</v>
      </c>
      <c r="F60" s="123">
        <f>I60+L60+O60+R60+U60+X60+AA60+AD60+AG60+AJ60+AM60+AP60</f>
        <v>0</v>
      </c>
      <c r="G60" s="123">
        <v>0</v>
      </c>
      <c r="H60" s="123">
        <v>0</v>
      </c>
      <c r="I60" s="123">
        <v>0</v>
      </c>
      <c r="J60" s="123">
        <v>0</v>
      </c>
      <c r="K60" s="132">
        <v>0</v>
      </c>
      <c r="L60" s="123">
        <v>0</v>
      </c>
      <c r="M60" s="123">
        <v>0</v>
      </c>
      <c r="N60" s="123">
        <v>0</v>
      </c>
      <c r="O60" s="123">
        <v>0</v>
      </c>
      <c r="P60" s="123">
        <v>0</v>
      </c>
      <c r="Q60" s="123">
        <v>0</v>
      </c>
      <c r="R60" s="123">
        <v>0</v>
      </c>
      <c r="S60" s="123">
        <v>0</v>
      </c>
      <c r="T60" s="117">
        <v>0</v>
      </c>
      <c r="U60" s="117">
        <v>0</v>
      </c>
      <c r="V60" s="123">
        <v>0</v>
      </c>
      <c r="W60" s="117">
        <v>0</v>
      </c>
      <c r="X60" s="117">
        <v>0</v>
      </c>
      <c r="Y60" s="117">
        <v>0</v>
      </c>
      <c r="Z60" s="117">
        <v>0</v>
      </c>
      <c r="AA60" s="117">
        <v>0</v>
      </c>
      <c r="AB60" s="117">
        <v>0</v>
      </c>
      <c r="AC60" s="117">
        <v>0</v>
      </c>
      <c r="AD60" s="117">
        <v>0</v>
      </c>
      <c r="AE60" s="117">
        <v>0</v>
      </c>
      <c r="AF60" s="117">
        <v>0</v>
      </c>
      <c r="AG60" s="117">
        <v>0</v>
      </c>
      <c r="AH60" s="123">
        <v>0</v>
      </c>
      <c r="AI60" s="123">
        <v>0</v>
      </c>
      <c r="AJ60" s="123">
        <v>0</v>
      </c>
      <c r="AK60" s="123">
        <v>0</v>
      </c>
      <c r="AL60" s="117">
        <v>0</v>
      </c>
      <c r="AM60" s="117">
        <v>0</v>
      </c>
      <c r="AN60" s="117">
        <v>0</v>
      </c>
      <c r="AO60" s="123">
        <v>0</v>
      </c>
      <c r="AP60" s="123">
        <v>0</v>
      </c>
      <c r="AQ60" s="123">
        <v>0</v>
      </c>
      <c r="AR60" s="427"/>
      <c r="AS60" s="345"/>
      <c r="AT60" s="233"/>
      <c r="AU60" s="233"/>
      <c r="AV60" s="234"/>
    </row>
    <row r="61" spans="1:50" s="244" customFormat="1" ht="12.75" customHeight="1">
      <c r="A61" s="482" t="s">
        <v>471</v>
      </c>
      <c r="B61" s="485" t="s">
        <v>448</v>
      </c>
      <c r="C61" s="486"/>
      <c r="D61" s="216" t="s">
        <v>444</v>
      </c>
      <c r="E61" s="149">
        <f>E62+E63+E64</f>
        <v>575.29999999999995</v>
      </c>
      <c r="F61" s="149">
        <f t="shared" ref="F61:AQ61" si="98">F62+F63+F64</f>
        <v>27.4</v>
      </c>
      <c r="G61" s="149">
        <f>F61/E61*100</f>
        <v>4.76273248739788</v>
      </c>
      <c r="H61" s="149">
        <f t="shared" si="98"/>
        <v>0</v>
      </c>
      <c r="I61" s="149">
        <f t="shared" si="98"/>
        <v>0</v>
      </c>
      <c r="J61" s="149">
        <v>0</v>
      </c>
      <c r="K61" s="149">
        <f t="shared" si="98"/>
        <v>0</v>
      </c>
      <c r="L61" s="149">
        <f t="shared" si="98"/>
        <v>0</v>
      </c>
      <c r="M61" s="149">
        <v>0</v>
      </c>
      <c r="N61" s="149">
        <f t="shared" si="98"/>
        <v>110</v>
      </c>
      <c r="O61" s="149">
        <f t="shared" si="98"/>
        <v>27.4</v>
      </c>
      <c r="P61" s="149">
        <f>O61/N61*100</f>
        <v>24.90909090909091</v>
      </c>
      <c r="Q61" s="149">
        <f t="shared" si="98"/>
        <v>37</v>
      </c>
      <c r="R61" s="149">
        <f t="shared" si="98"/>
        <v>0</v>
      </c>
      <c r="S61" s="149">
        <f t="shared" ref="F61:AQ64" si="99">S68</f>
        <v>0</v>
      </c>
      <c r="T61" s="149">
        <f t="shared" si="98"/>
        <v>37</v>
      </c>
      <c r="U61" s="149">
        <f t="shared" si="98"/>
        <v>0</v>
      </c>
      <c r="V61" s="149">
        <f t="shared" si="98"/>
        <v>0</v>
      </c>
      <c r="W61" s="149">
        <f t="shared" si="98"/>
        <v>37.299999999999997</v>
      </c>
      <c r="X61" s="149">
        <f t="shared" si="98"/>
        <v>0</v>
      </c>
      <c r="Y61" s="149">
        <f t="shared" si="98"/>
        <v>0</v>
      </c>
      <c r="Z61" s="149">
        <f t="shared" si="98"/>
        <v>37</v>
      </c>
      <c r="AA61" s="149">
        <f t="shared" si="98"/>
        <v>0</v>
      </c>
      <c r="AB61" s="149">
        <f t="shared" si="98"/>
        <v>0</v>
      </c>
      <c r="AC61" s="149">
        <f t="shared" si="98"/>
        <v>37</v>
      </c>
      <c r="AD61" s="149">
        <f t="shared" si="98"/>
        <v>0</v>
      </c>
      <c r="AE61" s="149">
        <f t="shared" si="98"/>
        <v>0</v>
      </c>
      <c r="AF61" s="149">
        <f t="shared" si="98"/>
        <v>103</v>
      </c>
      <c r="AG61" s="149">
        <f t="shared" si="98"/>
        <v>0</v>
      </c>
      <c r="AH61" s="149">
        <f t="shared" si="98"/>
        <v>0</v>
      </c>
      <c r="AI61" s="149">
        <f t="shared" si="98"/>
        <v>37</v>
      </c>
      <c r="AJ61" s="149">
        <f t="shared" si="98"/>
        <v>0</v>
      </c>
      <c r="AK61" s="149">
        <f t="shared" si="98"/>
        <v>0</v>
      </c>
      <c r="AL61" s="149">
        <f t="shared" si="98"/>
        <v>37</v>
      </c>
      <c r="AM61" s="149">
        <f t="shared" si="98"/>
        <v>0</v>
      </c>
      <c r="AN61" s="149">
        <f t="shared" si="98"/>
        <v>0</v>
      </c>
      <c r="AO61" s="149">
        <f t="shared" si="98"/>
        <v>103</v>
      </c>
      <c r="AP61" s="149">
        <f t="shared" si="98"/>
        <v>0</v>
      </c>
      <c r="AQ61" s="149">
        <f t="shared" si="98"/>
        <v>0</v>
      </c>
      <c r="AR61" s="470"/>
      <c r="AS61" s="473"/>
      <c r="AT61" s="233"/>
      <c r="AU61" s="233"/>
      <c r="AV61" s="234"/>
    </row>
    <row r="62" spans="1:50" s="244" customFormat="1" ht="48">
      <c r="A62" s="483"/>
      <c r="B62" s="487"/>
      <c r="C62" s="488"/>
      <c r="D62" s="217" t="s">
        <v>442</v>
      </c>
      <c r="E62" s="149">
        <f>E69</f>
        <v>0</v>
      </c>
      <c r="F62" s="149">
        <f t="shared" si="99"/>
        <v>0</v>
      </c>
      <c r="G62" s="149">
        <v>0</v>
      </c>
      <c r="H62" s="149">
        <f t="shared" si="99"/>
        <v>0</v>
      </c>
      <c r="I62" s="149">
        <f t="shared" si="99"/>
        <v>0</v>
      </c>
      <c r="J62" s="149">
        <v>0</v>
      </c>
      <c r="K62" s="149">
        <f t="shared" si="99"/>
        <v>0</v>
      </c>
      <c r="L62" s="149">
        <f t="shared" si="99"/>
        <v>0</v>
      </c>
      <c r="M62" s="149">
        <v>0</v>
      </c>
      <c r="N62" s="149">
        <f t="shared" si="99"/>
        <v>0</v>
      </c>
      <c r="O62" s="149">
        <f t="shared" si="99"/>
        <v>0</v>
      </c>
      <c r="P62" s="149">
        <v>0</v>
      </c>
      <c r="Q62" s="149">
        <f t="shared" si="99"/>
        <v>0</v>
      </c>
      <c r="R62" s="149">
        <f t="shared" si="99"/>
        <v>0</v>
      </c>
      <c r="S62" s="149">
        <f t="shared" si="99"/>
        <v>0</v>
      </c>
      <c r="T62" s="149">
        <f t="shared" si="99"/>
        <v>0</v>
      </c>
      <c r="U62" s="149">
        <f t="shared" si="99"/>
        <v>0</v>
      </c>
      <c r="V62" s="149">
        <f t="shared" si="99"/>
        <v>0</v>
      </c>
      <c r="W62" s="149">
        <f t="shared" si="99"/>
        <v>0</v>
      </c>
      <c r="X62" s="149">
        <f t="shared" si="99"/>
        <v>0</v>
      </c>
      <c r="Y62" s="149">
        <f t="shared" si="99"/>
        <v>0</v>
      </c>
      <c r="Z62" s="149">
        <f t="shared" si="99"/>
        <v>0</v>
      </c>
      <c r="AA62" s="149">
        <f t="shared" si="99"/>
        <v>0</v>
      </c>
      <c r="AB62" s="149">
        <f t="shared" si="99"/>
        <v>0</v>
      </c>
      <c r="AC62" s="149">
        <f t="shared" si="99"/>
        <v>0</v>
      </c>
      <c r="AD62" s="149">
        <f t="shared" si="99"/>
        <v>0</v>
      </c>
      <c r="AE62" s="149">
        <f t="shared" si="99"/>
        <v>0</v>
      </c>
      <c r="AF62" s="149">
        <f t="shared" si="99"/>
        <v>0</v>
      </c>
      <c r="AG62" s="149">
        <f t="shared" si="99"/>
        <v>0</v>
      </c>
      <c r="AH62" s="149">
        <f t="shared" si="99"/>
        <v>0</v>
      </c>
      <c r="AI62" s="149">
        <f t="shared" si="99"/>
        <v>0</v>
      </c>
      <c r="AJ62" s="149">
        <f t="shared" si="99"/>
        <v>0</v>
      </c>
      <c r="AK62" s="149">
        <f t="shared" si="99"/>
        <v>0</v>
      </c>
      <c r="AL62" s="149">
        <f t="shared" si="99"/>
        <v>0</v>
      </c>
      <c r="AM62" s="149">
        <f t="shared" si="99"/>
        <v>0</v>
      </c>
      <c r="AN62" s="149">
        <f t="shared" si="99"/>
        <v>0</v>
      </c>
      <c r="AO62" s="149">
        <f t="shared" si="99"/>
        <v>0</v>
      </c>
      <c r="AP62" s="149">
        <f t="shared" si="99"/>
        <v>0</v>
      </c>
      <c r="AQ62" s="149">
        <f t="shared" si="99"/>
        <v>0</v>
      </c>
      <c r="AR62" s="471"/>
      <c r="AS62" s="474"/>
      <c r="AT62" s="233"/>
      <c r="AU62" s="233"/>
      <c r="AV62" s="234"/>
    </row>
    <row r="63" spans="1:50" s="244" customFormat="1" ht="12.75">
      <c r="A63" s="483"/>
      <c r="B63" s="487"/>
      <c r="C63" s="488"/>
      <c r="D63" s="217" t="s">
        <v>457</v>
      </c>
      <c r="E63" s="149">
        <f>E70</f>
        <v>575.29999999999995</v>
      </c>
      <c r="F63" s="149">
        <f t="shared" si="99"/>
        <v>27.4</v>
      </c>
      <c r="G63" s="149">
        <f>F63/E63*100</f>
        <v>4.76273248739788</v>
      </c>
      <c r="H63" s="149">
        <f t="shared" si="99"/>
        <v>0</v>
      </c>
      <c r="I63" s="149">
        <f t="shared" si="99"/>
        <v>0</v>
      </c>
      <c r="J63" s="149">
        <v>0</v>
      </c>
      <c r="K63" s="149">
        <f t="shared" si="99"/>
        <v>0</v>
      </c>
      <c r="L63" s="149">
        <f t="shared" si="99"/>
        <v>0</v>
      </c>
      <c r="M63" s="149">
        <v>0</v>
      </c>
      <c r="N63" s="149">
        <f t="shared" si="99"/>
        <v>110</v>
      </c>
      <c r="O63" s="149">
        <f t="shared" si="99"/>
        <v>27.4</v>
      </c>
      <c r="P63" s="149">
        <f>O63/N63*100</f>
        <v>24.90909090909091</v>
      </c>
      <c r="Q63" s="149">
        <f t="shared" si="99"/>
        <v>37</v>
      </c>
      <c r="R63" s="149">
        <f t="shared" si="99"/>
        <v>0</v>
      </c>
      <c r="S63" s="149">
        <f t="shared" si="99"/>
        <v>0</v>
      </c>
      <c r="T63" s="149">
        <f t="shared" si="99"/>
        <v>37</v>
      </c>
      <c r="U63" s="149">
        <f t="shared" si="99"/>
        <v>0</v>
      </c>
      <c r="V63" s="149">
        <f t="shared" si="99"/>
        <v>0</v>
      </c>
      <c r="W63" s="149">
        <f t="shared" si="99"/>
        <v>37.299999999999997</v>
      </c>
      <c r="X63" s="149">
        <f t="shared" si="99"/>
        <v>0</v>
      </c>
      <c r="Y63" s="149">
        <f t="shared" si="99"/>
        <v>0</v>
      </c>
      <c r="Z63" s="149">
        <f t="shared" si="99"/>
        <v>37</v>
      </c>
      <c r="AA63" s="149">
        <f t="shared" si="99"/>
        <v>0</v>
      </c>
      <c r="AB63" s="149">
        <f t="shared" si="99"/>
        <v>0</v>
      </c>
      <c r="AC63" s="149">
        <f t="shared" si="99"/>
        <v>37</v>
      </c>
      <c r="AD63" s="149">
        <f t="shared" si="99"/>
        <v>0</v>
      </c>
      <c r="AE63" s="149">
        <f t="shared" si="99"/>
        <v>0</v>
      </c>
      <c r="AF63" s="149">
        <f t="shared" si="99"/>
        <v>103</v>
      </c>
      <c r="AG63" s="149">
        <f t="shared" si="99"/>
        <v>0</v>
      </c>
      <c r="AH63" s="149">
        <f t="shared" si="99"/>
        <v>0</v>
      </c>
      <c r="AI63" s="149">
        <f>AI70</f>
        <v>37</v>
      </c>
      <c r="AJ63" s="149">
        <f t="shared" si="99"/>
        <v>0</v>
      </c>
      <c r="AK63" s="149">
        <f t="shared" si="99"/>
        <v>0</v>
      </c>
      <c r="AL63" s="149">
        <f t="shared" si="99"/>
        <v>37</v>
      </c>
      <c r="AM63" s="149">
        <f t="shared" si="99"/>
        <v>0</v>
      </c>
      <c r="AN63" s="149">
        <f t="shared" si="99"/>
        <v>0</v>
      </c>
      <c r="AO63" s="149">
        <f t="shared" si="99"/>
        <v>103</v>
      </c>
      <c r="AP63" s="149">
        <f t="shared" si="99"/>
        <v>0</v>
      </c>
      <c r="AQ63" s="149">
        <f t="shared" si="99"/>
        <v>0</v>
      </c>
      <c r="AR63" s="471"/>
      <c r="AS63" s="474"/>
      <c r="AT63" s="233"/>
      <c r="AU63" s="233"/>
      <c r="AV63" s="234"/>
    </row>
    <row r="64" spans="1:50" s="244" customFormat="1" ht="24">
      <c r="A64" s="483"/>
      <c r="B64" s="487"/>
      <c r="C64" s="488"/>
      <c r="D64" s="218" t="s">
        <v>257</v>
      </c>
      <c r="E64" s="149">
        <f>E71</f>
        <v>0</v>
      </c>
      <c r="F64" s="149">
        <f t="shared" si="99"/>
        <v>0</v>
      </c>
      <c r="G64" s="149">
        <v>0</v>
      </c>
      <c r="H64" s="149">
        <f t="shared" si="99"/>
        <v>0</v>
      </c>
      <c r="I64" s="149">
        <f t="shared" si="99"/>
        <v>0</v>
      </c>
      <c r="J64" s="149">
        <f t="shared" si="99"/>
        <v>0</v>
      </c>
      <c r="K64" s="149">
        <f t="shared" si="99"/>
        <v>0</v>
      </c>
      <c r="L64" s="149">
        <f t="shared" si="99"/>
        <v>0</v>
      </c>
      <c r="M64" s="149">
        <v>0</v>
      </c>
      <c r="N64" s="149">
        <f t="shared" si="99"/>
        <v>0</v>
      </c>
      <c r="O64" s="149">
        <f t="shared" si="99"/>
        <v>0</v>
      </c>
      <c r="P64" s="149">
        <f t="shared" si="99"/>
        <v>0</v>
      </c>
      <c r="Q64" s="149">
        <f t="shared" si="99"/>
        <v>0</v>
      </c>
      <c r="R64" s="149">
        <f t="shared" si="99"/>
        <v>0</v>
      </c>
      <c r="S64" s="149">
        <f t="shared" si="99"/>
        <v>0</v>
      </c>
      <c r="T64" s="149">
        <f t="shared" si="99"/>
        <v>0</v>
      </c>
      <c r="U64" s="149">
        <f t="shared" si="99"/>
        <v>0</v>
      </c>
      <c r="V64" s="149">
        <f t="shared" si="99"/>
        <v>0</v>
      </c>
      <c r="W64" s="149">
        <f t="shared" si="99"/>
        <v>0</v>
      </c>
      <c r="X64" s="149">
        <f t="shared" si="99"/>
        <v>0</v>
      </c>
      <c r="Y64" s="149">
        <f t="shared" si="99"/>
        <v>0</v>
      </c>
      <c r="Z64" s="149">
        <f t="shared" si="99"/>
        <v>0</v>
      </c>
      <c r="AA64" s="149">
        <f t="shared" si="99"/>
        <v>0</v>
      </c>
      <c r="AB64" s="149">
        <f t="shared" si="99"/>
        <v>0</v>
      </c>
      <c r="AC64" s="149">
        <f t="shared" si="99"/>
        <v>0</v>
      </c>
      <c r="AD64" s="149">
        <f t="shared" si="99"/>
        <v>0</v>
      </c>
      <c r="AE64" s="149">
        <f t="shared" si="99"/>
        <v>0</v>
      </c>
      <c r="AF64" s="149">
        <f t="shared" si="99"/>
        <v>0</v>
      </c>
      <c r="AG64" s="149">
        <f t="shared" si="99"/>
        <v>0</v>
      </c>
      <c r="AH64" s="149">
        <f t="shared" si="99"/>
        <v>0</v>
      </c>
      <c r="AI64" s="149">
        <f t="shared" si="99"/>
        <v>0</v>
      </c>
      <c r="AJ64" s="149">
        <f t="shared" si="99"/>
        <v>0</v>
      </c>
      <c r="AK64" s="149">
        <f t="shared" si="99"/>
        <v>0</v>
      </c>
      <c r="AL64" s="149">
        <f t="shared" si="99"/>
        <v>0</v>
      </c>
      <c r="AM64" s="149">
        <f t="shared" si="99"/>
        <v>0</v>
      </c>
      <c r="AN64" s="149">
        <f t="shared" si="99"/>
        <v>0</v>
      </c>
      <c r="AO64" s="149">
        <f t="shared" si="99"/>
        <v>0</v>
      </c>
      <c r="AP64" s="149">
        <f t="shared" si="99"/>
        <v>0</v>
      </c>
      <c r="AQ64" s="149">
        <f t="shared" si="99"/>
        <v>0</v>
      </c>
      <c r="AR64" s="471"/>
      <c r="AS64" s="474"/>
      <c r="AT64" s="233"/>
      <c r="AU64" s="233"/>
      <c r="AV64" s="234"/>
    </row>
    <row r="65" spans="1:50" s="244" customFormat="1" ht="24">
      <c r="A65" s="484"/>
      <c r="B65" s="489"/>
      <c r="C65" s="490"/>
      <c r="D65" s="218" t="s">
        <v>462</v>
      </c>
      <c r="E65" s="149">
        <f>H65+K65+N65+Q65+T65+W65+Z65+AC65+AF65+AI65+AL65+AO65</f>
        <v>0</v>
      </c>
      <c r="F65" s="149">
        <f>I65+L65+O65+R65+U65+X65+AA65+AD65+AG65+AJ65+AM65+AP65</f>
        <v>0</v>
      </c>
      <c r="G65" s="149">
        <v>0</v>
      </c>
      <c r="H65" s="149">
        <v>0</v>
      </c>
      <c r="I65" s="149">
        <v>0</v>
      </c>
      <c r="J65" s="149">
        <v>0</v>
      </c>
      <c r="K65" s="252">
        <v>0</v>
      </c>
      <c r="L65" s="149">
        <v>0</v>
      </c>
      <c r="M65" s="149">
        <v>0</v>
      </c>
      <c r="N65" s="149">
        <v>0</v>
      </c>
      <c r="O65" s="149">
        <v>0</v>
      </c>
      <c r="P65" s="149">
        <v>0</v>
      </c>
      <c r="Q65" s="149">
        <v>0</v>
      </c>
      <c r="R65" s="149">
        <v>0</v>
      </c>
      <c r="S65" s="149">
        <v>0</v>
      </c>
      <c r="T65" s="226">
        <v>0</v>
      </c>
      <c r="U65" s="226">
        <v>0</v>
      </c>
      <c r="V65" s="149">
        <v>0</v>
      </c>
      <c r="W65" s="226">
        <v>0</v>
      </c>
      <c r="X65" s="226">
        <v>0</v>
      </c>
      <c r="Y65" s="226">
        <v>0</v>
      </c>
      <c r="Z65" s="226">
        <v>0</v>
      </c>
      <c r="AA65" s="226">
        <v>0</v>
      </c>
      <c r="AB65" s="226">
        <v>0</v>
      </c>
      <c r="AC65" s="226">
        <v>0</v>
      </c>
      <c r="AD65" s="226">
        <v>0</v>
      </c>
      <c r="AE65" s="226">
        <v>0</v>
      </c>
      <c r="AF65" s="226">
        <v>0</v>
      </c>
      <c r="AG65" s="226">
        <v>0</v>
      </c>
      <c r="AH65" s="149">
        <v>0</v>
      </c>
      <c r="AI65" s="149">
        <v>0</v>
      </c>
      <c r="AJ65" s="149">
        <v>0</v>
      </c>
      <c r="AK65" s="149">
        <v>0</v>
      </c>
      <c r="AL65" s="226">
        <v>0</v>
      </c>
      <c r="AM65" s="226">
        <v>0</v>
      </c>
      <c r="AN65" s="226">
        <v>0</v>
      </c>
      <c r="AO65" s="149">
        <v>0</v>
      </c>
      <c r="AP65" s="149"/>
      <c r="AQ65" s="149"/>
      <c r="AR65" s="472"/>
      <c r="AS65" s="475"/>
      <c r="AT65" s="233"/>
      <c r="AU65" s="233"/>
      <c r="AV65" s="234"/>
    </row>
    <row r="66" spans="1:50" s="244" customFormat="1" ht="101.25" customHeight="1">
      <c r="A66" s="223" t="s">
        <v>17</v>
      </c>
      <c r="B66" s="143" t="s">
        <v>474</v>
      </c>
      <c r="C66" s="264" t="s">
        <v>510</v>
      </c>
      <c r="D66" s="143" t="s">
        <v>443</v>
      </c>
      <c r="E66" s="149" t="s">
        <v>279</v>
      </c>
      <c r="F66" s="149" t="s">
        <v>279</v>
      </c>
      <c r="G66" s="149" t="s">
        <v>279</v>
      </c>
      <c r="H66" s="149" t="s">
        <v>279</v>
      </c>
      <c r="I66" s="149" t="s">
        <v>279</v>
      </c>
      <c r="J66" s="149" t="s">
        <v>279</v>
      </c>
      <c r="K66" s="149" t="s">
        <v>279</v>
      </c>
      <c r="L66" s="149" t="s">
        <v>279</v>
      </c>
      <c r="M66" s="149" t="s">
        <v>279</v>
      </c>
      <c r="N66" s="149" t="s">
        <v>279</v>
      </c>
      <c r="O66" s="149" t="s">
        <v>279</v>
      </c>
      <c r="P66" s="149" t="s">
        <v>279</v>
      </c>
      <c r="Q66" s="149" t="s">
        <v>279</v>
      </c>
      <c r="R66" s="149" t="s">
        <v>279</v>
      </c>
      <c r="S66" s="149" t="s">
        <v>279</v>
      </c>
      <c r="T66" s="149" t="s">
        <v>279</v>
      </c>
      <c r="U66" s="149" t="s">
        <v>279</v>
      </c>
      <c r="V66" s="149" t="s">
        <v>279</v>
      </c>
      <c r="W66" s="149" t="s">
        <v>279</v>
      </c>
      <c r="X66" s="149" t="s">
        <v>279</v>
      </c>
      <c r="Y66" s="149" t="s">
        <v>279</v>
      </c>
      <c r="Z66" s="149" t="s">
        <v>279</v>
      </c>
      <c r="AA66" s="149" t="s">
        <v>279</v>
      </c>
      <c r="AB66" s="149" t="s">
        <v>279</v>
      </c>
      <c r="AC66" s="149" t="s">
        <v>279</v>
      </c>
      <c r="AD66" s="149" t="s">
        <v>279</v>
      </c>
      <c r="AE66" s="149" t="s">
        <v>279</v>
      </c>
      <c r="AF66" s="149" t="s">
        <v>279</v>
      </c>
      <c r="AG66" s="149" t="s">
        <v>279</v>
      </c>
      <c r="AH66" s="149" t="s">
        <v>279</v>
      </c>
      <c r="AI66" s="149" t="s">
        <v>279</v>
      </c>
      <c r="AJ66" s="149" t="s">
        <v>279</v>
      </c>
      <c r="AK66" s="149" t="s">
        <v>279</v>
      </c>
      <c r="AL66" s="149" t="s">
        <v>279</v>
      </c>
      <c r="AM66" s="149" t="s">
        <v>279</v>
      </c>
      <c r="AN66" s="149" t="s">
        <v>279</v>
      </c>
      <c r="AO66" s="149" t="s">
        <v>279</v>
      </c>
      <c r="AP66" s="149" t="s">
        <v>279</v>
      </c>
      <c r="AQ66" s="149" t="s">
        <v>279</v>
      </c>
      <c r="AR66" s="254" t="s">
        <v>516</v>
      </c>
      <c r="AS66" s="139"/>
      <c r="AT66" s="233"/>
      <c r="AU66" s="233"/>
      <c r="AV66" s="234"/>
    </row>
    <row r="67" spans="1:50" s="244" customFormat="1" ht="60">
      <c r="A67" s="263" t="s">
        <v>472</v>
      </c>
      <c r="B67" s="143" t="s">
        <v>475</v>
      </c>
      <c r="C67" s="264" t="s">
        <v>510</v>
      </c>
      <c r="D67" s="143" t="s">
        <v>443</v>
      </c>
      <c r="E67" s="149" t="s">
        <v>279</v>
      </c>
      <c r="F67" s="149" t="s">
        <v>279</v>
      </c>
      <c r="G67" s="149" t="s">
        <v>279</v>
      </c>
      <c r="H67" s="149" t="s">
        <v>279</v>
      </c>
      <c r="I67" s="149" t="s">
        <v>279</v>
      </c>
      <c r="J67" s="149" t="s">
        <v>279</v>
      </c>
      <c r="K67" s="149" t="s">
        <v>279</v>
      </c>
      <c r="L67" s="149" t="s">
        <v>279</v>
      </c>
      <c r="M67" s="149" t="s">
        <v>279</v>
      </c>
      <c r="N67" s="149" t="s">
        <v>279</v>
      </c>
      <c r="O67" s="149" t="s">
        <v>279</v>
      </c>
      <c r="P67" s="149" t="s">
        <v>279</v>
      </c>
      <c r="Q67" s="149" t="s">
        <v>279</v>
      </c>
      <c r="R67" s="149" t="s">
        <v>279</v>
      </c>
      <c r="S67" s="149" t="s">
        <v>279</v>
      </c>
      <c r="T67" s="149" t="s">
        <v>279</v>
      </c>
      <c r="U67" s="149" t="s">
        <v>279</v>
      </c>
      <c r="V67" s="149" t="s">
        <v>279</v>
      </c>
      <c r="W67" s="149" t="s">
        <v>279</v>
      </c>
      <c r="X67" s="149" t="s">
        <v>279</v>
      </c>
      <c r="Y67" s="149" t="s">
        <v>279</v>
      </c>
      <c r="Z67" s="149" t="s">
        <v>279</v>
      </c>
      <c r="AA67" s="149" t="s">
        <v>279</v>
      </c>
      <c r="AB67" s="149" t="s">
        <v>279</v>
      </c>
      <c r="AC67" s="149" t="s">
        <v>279</v>
      </c>
      <c r="AD67" s="149" t="s">
        <v>279</v>
      </c>
      <c r="AE67" s="149" t="s">
        <v>279</v>
      </c>
      <c r="AF67" s="149" t="s">
        <v>279</v>
      </c>
      <c r="AG67" s="149" t="s">
        <v>279</v>
      </c>
      <c r="AH67" s="149" t="s">
        <v>279</v>
      </c>
      <c r="AI67" s="149" t="s">
        <v>279</v>
      </c>
      <c r="AJ67" s="149" t="s">
        <v>279</v>
      </c>
      <c r="AK67" s="149" t="s">
        <v>279</v>
      </c>
      <c r="AL67" s="149" t="s">
        <v>279</v>
      </c>
      <c r="AM67" s="149" t="s">
        <v>279</v>
      </c>
      <c r="AN67" s="149" t="s">
        <v>279</v>
      </c>
      <c r="AO67" s="149" t="s">
        <v>279</v>
      </c>
      <c r="AP67" s="149" t="s">
        <v>279</v>
      </c>
      <c r="AQ67" s="149" t="s">
        <v>279</v>
      </c>
      <c r="AR67" s="238" t="s">
        <v>484</v>
      </c>
      <c r="AS67" s="140"/>
      <c r="AT67" s="233"/>
      <c r="AU67" s="233"/>
      <c r="AV67" s="234"/>
    </row>
    <row r="68" spans="1:50" s="235" customFormat="1" ht="12.75" customHeight="1">
      <c r="A68" s="496" t="s">
        <v>473</v>
      </c>
      <c r="B68" s="497" t="s">
        <v>476</v>
      </c>
      <c r="C68" s="497" t="s">
        <v>511</v>
      </c>
      <c r="D68" s="219" t="s">
        <v>444</v>
      </c>
      <c r="E68" s="123">
        <f>SUM(E69:E71)</f>
        <v>575.29999999999995</v>
      </c>
      <c r="F68" s="123">
        <f t="shared" ref="F68" si="100">SUM(F69:F71)</f>
        <v>27.4</v>
      </c>
      <c r="G68" s="123">
        <f>F68/E68*100</f>
        <v>4.76273248739788</v>
      </c>
      <c r="H68" s="132">
        <f t="shared" ref="H68:AQ68" si="101">H69+H70+H71</f>
        <v>0</v>
      </c>
      <c r="I68" s="132">
        <f t="shared" si="101"/>
        <v>0</v>
      </c>
      <c r="J68" s="123">
        <v>0</v>
      </c>
      <c r="K68" s="132">
        <f t="shared" si="101"/>
        <v>0</v>
      </c>
      <c r="L68" s="132">
        <f t="shared" si="101"/>
        <v>0</v>
      </c>
      <c r="M68" s="241">
        <v>0</v>
      </c>
      <c r="N68" s="132">
        <f t="shared" si="101"/>
        <v>110</v>
      </c>
      <c r="O68" s="132">
        <f t="shared" si="101"/>
        <v>27.4</v>
      </c>
      <c r="P68" s="123">
        <f>O68/N68*100</f>
        <v>24.90909090909091</v>
      </c>
      <c r="Q68" s="132">
        <f t="shared" si="101"/>
        <v>37</v>
      </c>
      <c r="R68" s="132">
        <f t="shared" si="101"/>
        <v>0</v>
      </c>
      <c r="S68" s="123">
        <f>R68/Q68*100</f>
        <v>0</v>
      </c>
      <c r="T68" s="132">
        <f t="shared" si="101"/>
        <v>37</v>
      </c>
      <c r="U68" s="132">
        <f t="shared" si="101"/>
        <v>0</v>
      </c>
      <c r="V68" s="123">
        <f>U68/T68*100</f>
        <v>0</v>
      </c>
      <c r="W68" s="132">
        <f t="shared" si="101"/>
        <v>37.299999999999997</v>
      </c>
      <c r="X68" s="132">
        <f t="shared" si="101"/>
        <v>0</v>
      </c>
      <c r="Y68" s="132">
        <f t="shared" si="101"/>
        <v>0</v>
      </c>
      <c r="Z68" s="132">
        <f t="shared" si="101"/>
        <v>37</v>
      </c>
      <c r="AA68" s="132">
        <f t="shared" si="101"/>
        <v>0</v>
      </c>
      <c r="AB68" s="132">
        <f t="shared" si="101"/>
        <v>0</v>
      </c>
      <c r="AC68" s="132">
        <f t="shared" si="101"/>
        <v>37</v>
      </c>
      <c r="AD68" s="132">
        <f t="shared" si="101"/>
        <v>0</v>
      </c>
      <c r="AE68" s="123">
        <f>AD68/AC68*100</f>
        <v>0</v>
      </c>
      <c r="AF68" s="132">
        <f t="shared" si="101"/>
        <v>103</v>
      </c>
      <c r="AG68" s="132">
        <f t="shared" si="101"/>
        <v>0</v>
      </c>
      <c r="AH68" s="117">
        <f>AG68/AF68*100</f>
        <v>0</v>
      </c>
      <c r="AI68" s="132">
        <f t="shared" si="101"/>
        <v>37</v>
      </c>
      <c r="AJ68" s="132">
        <f t="shared" si="101"/>
        <v>0</v>
      </c>
      <c r="AK68" s="132">
        <f t="shared" si="101"/>
        <v>0</v>
      </c>
      <c r="AL68" s="132">
        <f t="shared" si="101"/>
        <v>37</v>
      </c>
      <c r="AM68" s="132">
        <f t="shared" si="101"/>
        <v>0</v>
      </c>
      <c r="AN68" s="132">
        <f t="shared" si="101"/>
        <v>0</v>
      </c>
      <c r="AO68" s="132">
        <f t="shared" si="101"/>
        <v>103</v>
      </c>
      <c r="AP68" s="132">
        <f t="shared" si="101"/>
        <v>0</v>
      </c>
      <c r="AQ68" s="132">
        <f t="shared" si="101"/>
        <v>0</v>
      </c>
      <c r="AR68" s="343" t="s">
        <v>517</v>
      </c>
      <c r="AS68" s="343" t="s">
        <v>518</v>
      </c>
      <c r="AT68" s="233"/>
      <c r="AU68" s="233"/>
      <c r="AV68" s="234"/>
      <c r="AX68" s="233"/>
    </row>
    <row r="69" spans="1:50" s="235" customFormat="1" ht="48">
      <c r="A69" s="496"/>
      <c r="B69" s="497"/>
      <c r="C69" s="497"/>
      <c r="D69" s="220" t="s">
        <v>442</v>
      </c>
      <c r="E69" s="123">
        <f>H69+K69+N69+Q69+T69+W69+Z69+AC69+AF69+AI69+AL69+AO69</f>
        <v>0</v>
      </c>
      <c r="F69" s="123">
        <f>I69+L69+O69+R69+U69+X69+AA69+AD69+AG69+AJ69+AM69+AP69</f>
        <v>0</v>
      </c>
      <c r="G69" s="123">
        <v>0</v>
      </c>
      <c r="H69" s="123">
        <v>0</v>
      </c>
      <c r="I69" s="123">
        <v>0</v>
      </c>
      <c r="J69" s="123">
        <v>0</v>
      </c>
      <c r="K69" s="132">
        <v>0</v>
      </c>
      <c r="L69" s="123">
        <v>0</v>
      </c>
      <c r="M69" s="241">
        <v>0</v>
      </c>
      <c r="N69" s="123">
        <v>0</v>
      </c>
      <c r="O69" s="123">
        <v>0</v>
      </c>
      <c r="P69" s="123">
        <v>0</v>
      </c>
      <c r="Q69" s="123">
        <v>0</v>
      </c>
      <c r="R69" s="123">
        <v>0</v>
      </c>
      <c r="S69" s="123">
        <v>0</v>
      </c>
      <c r="T69" s="117">
        <v>0</v>
      </c>
      <c r="U69" s="117">
        <v>0</v>
      </c>
      <c r="V69" s="117">
        <v>0</v>
      </c>
      <c r="W69" s="117">
        <v>0</v>
      </c>
      <c r="X69" s="117">
        <v>0</v>
      </c>
      <c r="Y69" s="117">
        <v>0</v>
      </c>
      <c r="Z69" s="117">
        <v>0</v>
      </c>
      <c r="AA69" s="117">
        <v>0</v>
      </c>
      <c r="AB69" s="117">
        <v>0</v>
      </c>
      <c r="AC69" s="117">
        <v>0</v>
      </c>
      <c r="AD69" s="117">
        <v>0</v>
      </c>
      <c r="AE69" s="117">
        <v>0</v>
      </c>
      <c r="AF69" s="117">
        <v>0</v>
      </c>
      <c r="AG69" s="117">
        <v>0</v>
      </c>
      <c r="AH69" s="117">
        <v>0</v>
      </c>
      <c r="AI69" s="123">
        <v>0</v>
      </c>
      <c r="AJ69" s="123">
        <v>0</v>
      </c>
      <c r="AK69" s="123">
        <v>0</v>
      </c>
      <c r="AL69" s="117">
        <v>0</v>
      </c>
      <c r="AM69" s="117">
        <v>0</v>
      </c>
      <c r="AN69" s="117">
        <v>0</v>
      </c>
      <c r="AO69" s="123">
        <v>0</v>
      </c>
      <c r="AP69" s="123">
        <v>0</v>
      </c>
      <c r="AQ69" s="123">
        <v>0</v>
      </c>
      <c r="AR69" s="344"/>
      <c r="AS69" s="344"/>
      <c r="AT69" s="233"/>
      <c r="AU69" s="233"/>
      <c r="AV69" s="234"/>
      <c r="AX69" s="233"/>
    </row>
    <row r="70" spans="1:50" s="235" customFormat="1" ht="12.75">
      <c r="A70" s="496"/>
      <c r="B70" s="497"/>
      <c r="C70" s="497"/>
      <c r="D70" s="220" t="s">
        <v>457</v>
      </c>
      <c r="E70" s="123">
        <f t="shared" ref="E70:F71" si="102">H70+K70+N70+Q70+T70+W70+Z70+AC70+AF70+AI70+AL70+AO70</f>
        <v>575.29999999999995</v>
      </c>
      <c r="F70" s="123">
        <f t="shared" si="102"/>
        <v>27.4</v>
      </c>
      <c r="G70" s="123">
        <f>F70/E70*100</f>
        <v>4.76273248739788</v>
      </c>
      <c r="H70" s="123">
        <v>0</v>
      </c>
      <c r="I70" s="123">
        <v>0</v>
      </c>
      <c r="J70" s="123">
        <v>0</v>
      </c>
      <c r="K70" s="123">
        <v>0</v>
      </c>
      <c r="L70" s="123">
        <v>0</v>
      </c>
      <c r="M70" s="123">
        <v>0</v>
      </c>
      <c r="N70" s="123">
        <v>110</v>
      </c>
      <c r="O70" s="123">
        <v>27.4</v>
      </c>
      <c r="P70" s="123">
        <f>O70/N70*100</f>
        <v>24.90909090909091</v>
      </c>
      <c r="Q70" s="123">
        <v>37</v>
      </c>
      <c r="R70" s="123">
        <v>0</v>
      </c>
      <c r="S70" s="123">
        <f>R70/Q70*100</f>
        <v>0</v>
      </c>
      <c r="T70" s="221">
        <v>37</v>
      </c>
      <c r="U70" s="221">
        <v>0</v>
      </c>
      <c r="V70" s="117">
        <f t="shared" ref="V70" si="103">U70/T70*100</f>
        <v>0</v>
      </c>
      <c r="W70" s="117">
        <v>37.299999999999997</v>
      </c>
      <c r="X70" s="117">
        <v>0</v>
      </c>
      <c r="Y70" s="117">
        <f t="shared" ref="Y70" si="104">X70/W70*100</f>
        <v>0</v>
      </c>
      <c r="Z70" s="123">
        <v>37</v>
      </c>
      <c r="AA70" s="123">
        <v>0</v>
      </c>
      <c r="AB70" s="117">
        <f t="shared" ref="AB70" si="105">AA70/Z70*100</f>
        <v>0</v>
      </c>
      <c r="AC70" s="221">
        <v>37</v>
      </c>
      <c r="AD70" s="221">
        <v>0</v>
      </c>
      <c r="AE70" s="117">
        <f t="shared" ref="AE70" si="106">AD70/AC70*100</f>
        <v>0</v>
      </c>
      <c r="AF70" s="221">
        <v>103</v>
      </c>
      <c r="AG70" s="222">
        <v>0</v>
      </c>
      <c r="AH70" s="123">
        <f t="shared" ref="AH70" si="107">AG70/AF70*100</f>
        <v>0</v>
      </c>
      <c r="AI70" s="221">
        <v>37</v>
      </c>
      <c r="AJ70" s="221">
        <v>0</v>
      </c>
      <c r="AK70" s="221">
        <f>AJ70/AI70*100</f>
        <v>0</v>
      </c>
      <c r="AL70" s="221">
        <v>37</v>
      </c>
      <c r="AM70" s="221">
        <v>0</v>
      </c>
      <c r="AN70" s="221">
        <f>AM70/AL70*100</f>
        <v>0</v>
      </c>
      <c r="AO70" s="221">
        <v>103</v>
      </c>
      <c r="AP70" s="123">
        <v>0</v>
      </c>
      <c r="AQ70" s="123">
        <f>AP70/AO70*100</f>
        <v>0</v>
      </c>
      <c r="AR70" s="344"/>
      <c r="AS70" s="344"/>
      <c r="AT70" s="233"/>
      <c r="AU70" s="233"/>
      <c r="AV70" s="234"/>
      <c r="AX70" s="233"/>
    </row>
    <row r="71" spans="1:50" s="235" customFormat="1" ht="24">
      <c r="A71" s="496"/>
      <c r="B71" s="497"/>
      <c r="C71" s="497"/>
      <c r="D71" s="143" t="s">
        <v>257</v>
      </c>
      <c r="E71" s="123">
        <f t="shared" si="102"/>
        <v>0</v>
      </c>
      <c r="F71" s="123">
        <f t="shared" si="102"/>
        <v>0</v>
      </c>
      <c r="G71" s="123">
        <v>0</v>
      </c>
      <c r="H71" s="123">
        <v>0</v>
      </c>
      <c r="I71" s="123">
        <v>0</v>
      </c>
      <c r="J71" s="123">
        <v>0</v>
      </c>
      <c r="K71" s="132">
        <v>0</v>
      </c>
      <c r="L71" s="123">
        <v>0</v>
      </c>
      <c r="M71" s="123">
        <v>0</v>
      </c>
      <c r="N71" s="123">
        <v>0</v>
      </c>
      <c r="O71" s="123">
        <v>0</v>
      </c>
      <c r="P71" s="123">
        <v>0</v>
      </c>
      <c r="Q71" s="123">
        <v>0</v>
      </c>
      <c r="R71" s="123">
        <v>0</v>
      </c>
      <c r="S71" s="123">
        <v>0</v>
      </c>
      <c r="T71" s="117">
        <v>0</v>
      </c>
      <c r="U71" s="117">
        <v>0</v>
      </c>
      <c r="V71" s="117">
        <v>0</v>
      </c>
      <c r="W71" s="117">
        <v>0</v>
      </c>
      <c r="X71" s="117">
        <v>0</v>
      </c>
      <c r="Y71" s="117">
        <v>0</v>
      </c>
      <c r="Z71" s="117">
        <v>0</v>
      </c>
      <c r="AA71" s="117">
        <v>0</v>
      </c>
      <c r="AB71" s="117">
        <v>0</v>
      </c>
      <c r="AC71" s="117">
        <v>0</v>
      </c>
      <c r="AD71" s="117">
        <v>0</v>
      </c>
      <c r="AE71" s="117">
        <v>0</v>
      </c>
      <c r="AF71" s="117">
        <v>0</v>
      </c>
      <c r="AG71" s="117">
        <v>0</v>
      </c>
      <c r="AH71" s="117">
        <v>0</v>
      </c>
      <c r="AI71" s="123">
        <v>0</v>
      </c>
      <c r="AJ71" s="123">
        <v>0</v>
      </c>
      <c r="AK71" s="123">
        <v>0</v>
      </c>
      <c r="AL71" s="117">
        <v>0</v>
      </c>
      <c r="AM71" s="117">
        <v>0</v>
      </c>
      <c r="AN71" s="117">
        <v>0</v>
      </c>
      <c r="AO71" s="123">
        <v>0</v>
      </c>
      <c r="AP71" s="123">
        <v>0</v>
      </c>
      <c r="AQ71" s="123">
        <v>0</v>
      </c>
      <c r="AR71" s="344"/>
      <c r="AS71" s="344"/>
      <c r="AT71" s="233"/>
      <c r="AU71" s="233"/>
      <c r="AV71" s="234"/>
      <c r="AX71" s="233"/>
    </row>
    <row r="72" spans="1:50" s="235" customFormat="1" ht="24">
      <c r="A72" s="496"/>
      <c r="B72" s="497"/>
      <c r="C72" s="497"/>
      <c r="D72" s="143" t="s">
        <v>462</v>
      </c>
      <c r="E72" s="123">
        <f>H72+K72+N72+Q72+T72+W72+Z72+AC72+AF72+AI72+AL72+AO72</f>
        <v>0</v>
      </c>
      <c r="F72" s="123">
        <f>I72+L72+O72+R72+U72+X72+AA72+AD72+AG72+AJ72+AM72+AP72</f>
        <v>0</v>
      </c>
      <c r="G72" s="123">
        <v>0</v>
      </c>
      <c r="H72" s="123">
        <v>0</v>
      </c>
      <c r="I72" s="123">
        <v>0</v>
      </c>
      <c r="J72" s="123">
        <v>0</v>
      </c>
      <c r="K72" s="132">
        <v>0</v>
      </c>
      <c r="L72" s="123">
        <v>0</v>
      </c>
      <c r="M72" s="123">
        <v>0</v>
      </c>
      <c r="N72" s="123">
        <v>0</v>
      </c>
      <c r="O72" s="123">
        <v>0</v>
      </c>
      <c r="P72" s="123">
        <v>0</v>
      </c>
      <c r="Q72" s="123">
        <v>0</v>
      </c>
      <c r="R72" s="123">
        <v>0</v>
      </c>
      <c r="S72" s="123">
        <v>0</v>
      </c>
      <c r="T72" s="117">
        <v>0</v>
      </c>
      <c r="U72" s="117">
        <v>0</v>
      </c>
      <c r="V72" s="123">
        <v>0</v>
      </c>
      <c r="W72" s="117">
        <v>0</v>
      </c>
      <c r="X72" s="117">
        <v>0</v>
      </c>
      <c r="Y72" s="117">
        <v>0</v>
      </c>
      <c r="Z72" s="117">
        <v>0</v>
      </c>
      <c r="AA72" s="117">
        <v>0</v>
      </c>
      <c r="AB72" s="117">
        <v>0</v>
      </c>
      <c r="AC72" s="117">
        <v>0</v>
      </c>
      <c r="AD72" s="117">
        <v>0</v>
      </c>
      <c r="AE72" s="117">
        <v>0</v>
      </c>
      <c r="AF72" s="117">
        <v>0</v>
      </c>
      <c r="AG72" s="117">
        <v>0</v>
      </c>
      <c r="AH72" s="123">
        <v>0</v>
      </c>
      <c r="AI72" s="123">
        <v>0</v>
      </c>
      <c r="AJ72" s="123">
        <v>0</v>
      </c>
      <c r="AK72" s="123">
        <v>0</v>
      </c>
      <c r="AL72" s="117">
        <v>0</v>
      </c>
      <c r="AM72" s="117">
        <v>0</v>
      </c>
      <c r="AN72" s="117">
        <v>0</v>
      </c>
      <c r="AO72" s="123">
        <v>0</v>
      </c>
      <c r="AP72" s="123">
        <v>0</v>
      </c>
      <c r="AQ72" s="123">
        <v>0</v>
      </c>
      <c r="AR72" s="345"/>
      <c r="AS72" s="345"/>
      <c r="AT72" s="233"/>
      <c r="AU72" s="233"/>
      <c r="AV72" s="234"/>
    </row>
    <row r="73" spans="1:50" s="244" customFormat="1" ht="12.75" customHeight="1">
      <c r="A73" s="461" t="s">
        <v>495</v>
      </c>
      <c r="B73" s="464" t="s">
        <v>496</v>
      </c>
      <c r="C73" s="465"/>
      <c r="D73" s="216" t="s">
        <v>444</v>
      </c>
      <c r="E73" s="149">
        <v>0</v>
      </c>
      <c r="F73" s="149">
        <v>0</v>
      </c>
      <c r="G73" s="149">
        <v>0</v>
      </c>
      <c r="H73" s="149">
        <f>H74+H75+H76</f>
        <v>0</v>
      </c>
      <c r="I73" s="149">
        <f>I74+I75+I76</f>
        <v>0</v>
      </c>
      <c r="J73" s="149">
        <v>0</v>
      </c>
      <c r="K73" s="149">
        <f>K74+K75+K76</f>
        <v>0</v>
      </c>
      <c r="L73" s="149">
        <f>L74+L75+L76</f>
        <v>0</v>
      </c>
      <c r="M73" s="149">
        <v>0</v>
      </c>
      <c r="N73" s="149">
        <f>N74+N75+N76</f>
        <v>100</v>
      </c>
      <c r="O73" s="149">
        <f>O74+O75+O76</f>
        <v>0</v>
      </c>
      <c r="P73" s="149">
        <v>0</v>
      </c>
      <c r="Q73" s="149">
        <f>Q74+Q75+Q76</f>
        <v>0</v>
      </c>
      <c r="R73" s="149">
        <f>R74+R75+R76</f>
        <v>0</v>
      </c>
      <c r="S73" s="149">
        <v>0</v>
      </c>
      <c r="T73" s="149">
        <f>T74+T75+T76</f>
        <v>0</v>
      </c>
      <c r="U73" s="149">
        <f>U74+U75+U76</f>
        <v>0</v>
      </c>
      <c r="V73" s="149">
        <v>0</v>
      </c>
      <c r="W73" s="149">
        <f>W74+W75+W76</f>
        <v>3300</v>
      </c>
      <c r="X73" s="149">
        <f>X74+X75+X76</f>
        <v>0</v>
      </c>
      <c r="Y73" s="149">
        <v>0</v>
      </c>
      <c r="Z73" s="149">
        <f>Z74+Z75+Z76</f>
        <v>100</v>
      </c>
      <c r="AA73" s="149">
        <f>AA74+AA75+AA76</f>
        <v>0</v>
      </c>
      <c r="AB73" s="149">
        <v>0</v>
      </c>
      <c r="AC73" s="149">
        <f>AC74+AC75+AC76</f>
        <v>0</v>
      </c>
      <c r="AD73" s="149">
        <f>AD74+AD75+AD76</f>
        <v>0</v>
      </c>
      <c r="AE73" s="149">
        <v>0</v>
      </c>
      <c r="AF73" s="149">
        <f>AF74+AF75+AF76</f>
        <v>2500</v>
      </c>
      <c r="AG73" s="149">
        <f>AG74+AG75+AG76</f>
        <v>0</v>
      </c>
      <c r="AH73" s="149">
        <v>0</v>
      </c>
      <c r="AI73" s="149">
        <f>AI74+AI75+AI76</f>
        <v>0</v>
      </c>
      <c r="AJ73" s="149">
        <f>AJ74+AJ75+AJ76</f>
        <v>0</v>
      </c>
      <c r="AK73" s="149">
        <v>0</v>
      </c>
      <c r="AL73" s="149">
        <f>AL74+AL75+AL76</f>
        <v>0</v>
      </c>
      <c r="AM73" s="149">
        <f>AM74+AM75+AM76</f>
        <v>0</v>
      </c>
      <c r="AN73" s="149">
        <v>0</v>
      </c>
      <c r="AO73" s="149">
        <f>AO74+AO75+AO76</f>
        <v>0</v>
      </c>
      <c r="AP73" s="149">
        <f>AP74+AP75+AP76</f>
        <v>0</v>
      </c>
      <c r="AQ73" s="149">
        <v>0</v>
      </c>
      <c r="AR73" s="470"/>
      <c r="AS73" s="473"/>
      <c r="AT73" s="243"/>
    </row>
    <row r="74" spans="1:50" s="244" customFormat="1" ht="48">
      <c r="A74" s="462"/>
      <c r="B74" s="466"/>
      <c r="C74" s="467"/>
      <c r="D74" s="217" t="s">
        <v>442</v>
      </c>
      <c r="E74" s="149">
        <v>0</v>
      </c>
      <c r="F74" s="149">
        <v>0</v>
      </c>
      <c r="G74" s="149">
        <v>0</v>
      </c>
      <c r="H74" s="149">
        <f t="shared" ref="H74:I74" si="108">H79+H84</f>
        <v>0</v>
      </c>
      <c r="I74" s="149">
        <f t="shared" si="108"/>
        <v>0</v>
      </c>
      <c r="J74" s="149">
        <v>0</v>
      </c>
      <c r="K74" s="149">
        <f t="shared" ref="K74:L74" si="109">K79+K84</f>
        <v>0</v>
      </c>
      <c r="L74" s="149">
        <f t="shared" si="109"/>
        <v>0</v>
      </c>
      <c r="M74" s="149">
        <v>0</v>
      </c>
      <c r="N74" s="149">
        <f t="shared" ref="N74:O74" si="110">N79+N84</f>
        <v>0</v>
      </c>
      <c r="O74" s="149">
        <f t="shared" si="110"/>
        <v>0</v>
      </c>
      <c r="P74" s="149">
        <v>0</v>
      </c>
      <c r="Q74" s="149">
        <f t="shared" ref="Q74:R74" si="111">Q79+Q84</f>
        <v>0</v>
      </c>
      <c r="R74" s="149">
        <f t="shared" si="111"/>
        <v>0</v>
      </c>
      <c r="S74" s="149">
        <v>0</v>
      </c>
      <c r="T74" s="149">
        <f t="shared" ref="T74:U74" si="112">T79+T84</f>
        <v>0</v>
      </c>
      <c r="U74" s="149">
        <f t="shared" si="112"/>
        <v>0</v>
      </c>
      <c r="V74" s="149">
        <v>0</v>
      </c>
      <c r="W74" s="149">
        <f t="shared" ref="W74:X74" si="113">W79+W84</f>
        <v>0</v>
      </c>
      <c r="X74" s="149">
        <f t="shared" si="113"/>
        <v>0</v>
      </c>
      <c r="Y74" s="149">
        <v>0</v>
      </c>
      <c r="Z74" s="149">
        <f t="shared" ref="Z74:AA74" si="114">Z79+Z84</f>
        <v>0</v>
      </c>
      <c r="AA74" s="149">
        <f t="shared" si="114"/>
        <v>0</v>
      </c>
      <c r="AB74" s="149">
        <v>0</v>
      </c>
      <c r="AC74" s="149">
        <f t="shared" ref="AC74:AD74" si="115">AC79+AC84</f>
        <v>0</v>
      </c>
      <c r="AD74" s="149">
        <f t="shared" si="115"/>
        <v>0</v>
      </c>
      <c r="AE74" s="149">
        <v>0</v>
      </c>
      <c r="AF74" s="149">
        <f t="shared" ref="AF74:AG74" si="116">AF79+AF84</f>
        <v>0</v>
      </c>
      <c r="AG74" s="149">
        <f t="shared" si="116"/>
        <v>0</v>
      </c>
      <c r="AH74" s="149">
        <v>0</v>
      </c>
      <c r="AI74" s="149">
        <f t="shared" ref="AI74:AJ74" si="117">AI79+AI84</f>
        <v>0</v>
      </c>
      <c r="AJ74" s="149">
        <f t="shared" si="117"/>
        <v>0</v>
      </c>
      <c r="AK74" s="149">
        <v>0</v>
      </c>
      <c r="AL74" s="149">
        <f t="shared" ref="AL74:AM74" si="118">AL79+AL84</f>
        <v>0</v>
      </c>
      <c r="AM74" s="149">
        <f t="shared" si="118"/>
        <v>0</v>
      </c>
      <c r="AN74" s="149">
        <v>0</v>
      </c>
      <c r="AO74" s="149">
        <f t="shared" ref="AO74:AP74" si="119">AO79+AO84</f>
        <v>0</v>
      </c>
      <c r="AP74" s="149">
        <f t="shared" si="119"/>
        <v>0</v>
      </c>
      <c r="AQ74" s="149">
        <v>0</v>
      </c>
      <c r="AR74" s="471"/>
      <c r="AS74" s="474"/>
      <c r="AT74" s="243"/>
    </row>
    <row r="75" spans="1:50" s="244" customFormat="1" ht="12.75">
      <c r="A75" s="462"/>
      <c r="B75" s="466"/>
      <c r="C75" s="467"/>
      <c r="D75" s="217" t="s">
        <v>457</v>
      </c>
      <c r="E75" s="149">
        <f>E80+E85</f>
        <v>6000</v>
      </c>
      <c r="F75" s="149">
        <f>F80+F85</f>
        <v>0</v>
      </c>
      <c r="G75" s="149">
        <v>0</v>
      </c>
      <c r="H75" s="149">
        <f t="shared" ref="H75:I75" si="120">H80+H85</f>
        <v>0</v>
      </c>
      <c r="I75" s="149">
        <f t="shared" si="120"/>
        <v>0</v>
      </c>
      <c r="J75" s="149">
        <v>0</v>
      </c>
      <c r="K75" s="149">
        <f t="shared" ref="K75:L75" si="121">K80+K85</f>
        <v>0</v>
      </c>
      <c r="L75" s="149">
        <f t="shared" si="121"/>
        <v>0</v>
      </c>
      <c r="M75" s="149">
        <v>0</v>
      </c>
      <c r="N75" s="149">
        <f t="shared" ref="N75:O75" si="122">N80+N85</f>
        <v>100</v>
      </c>
      <c r="O75" s="149">
        <f t="shared" si="122"/>
        <v>0</v>
      </c>
      <c r="P75" s="149">
        <v>0</v>
      </c>
      <c r="Q75" s="149">
        <f t="shared" ref="Q75:R75" si="123">Q80+Q85</f>
        <v>0</v>
      </c>
      <c r="R75" s="149">
        <f t="shared" si="123"/>
        <v>0</v>
      </c>
      <c r="S75" s="149">
        <v>0</v>
      </c>
      <c r="T75" s="149">
        <f t="shared" ref="T75:U75" si="124">T80+T85</f>
        <v>0</v>
      </c>
      <c r="U75" s="149">
        <f t="shared" si="124"/>
        <v>0</v>
      </c>
      <c r="V75" s="149">
        <v>0</v>
      </c>
      <c r="W75" s="149">
        <f t="shared" ref="W75:X75" si="125">W80+W85</f>
        <v>3300</v>
      </c>
      <c r="X75" s="149">
        <f t="shared" si="125"/>
        <v>0</v>
      </c>
      <c r="Y75" s="149">
        <v>0</v>
      </c>
      <c r="Z75" s="149">
        <f t="shared" ref="Z75:AA75" si="126">Z80+Z85</f>
        <v>100</v>
      </c>
      <c r="AA75" s="149">
        <f t="shared" si="126"/>
        <v>0</v>
      </c>
      <c r="AB75" s="149">
        <v>0</v>
      </c>
      <c r="AC75" s="149">
        <f t="shared" ref="AC75:AD75" si="127">AC80+AC85</f>
        <v>0</v>
      </c>
      <c r="AD75" s="149">
        <f t="shared" si="127"/>
        <v>0</v>
      </c>
      <c r="AE75" s="149">
        <v>0</v>
      </c>
      <c r="AF75" s="149">
        <f t="shared" ref="AF75:AG75" si="128">AF80+AF85</f>
        <v>2500</v>
      </c>
      <c r="AG75" s="149">
        <f t="shared" si="128"/>
        <v>0</v>
      </c>
      <c r="AH75" s="149">
        <v>0</v>
      </c>
      <c r="AI75" s="149">
        <f t="shared" ref="AI75:AJ75" si="129">AI80+AI85</f>
        <v>0</v>
      </c>
      <c r="AJ75" s="149">
        <f t="shared" si="129"/>
        <v>0</v>
      </c>
      <c r="AK75" s="149">
        <v>0</v>
      </c>
      <c r="AL75" s="149">
        <f t="shared" ref="AL75:AM75" si="130">AL80+AL85</f>
        <v>0</v>
      </c>
      <c r="AM75" s="149">
        <f t="shared" si="130"/>
        <v>0</v>
      </c>
      <c r="AN75" s="149">
        <v>0</v>
      </c>
      <c r="AO75" s="149">
        <f t="shared" ref="AO75:AP75" si="131">AO80+AO85</f>
        <v>0</v>
      </c>
      <c r="AP75" s="149">
        <f t="shared" si="131"/>
        <v>0</v>
      </c>
      <c r="AQ75" s="149">
        <v>0</v>
      </c>
      <c r="AR75" s="471"/>
      <c r="AS75" s="474"/>
      <c r="AT75" s="243"/>
    </row>
    <row r="76" spans="1:50" s="244" customFormat="1" ht="24">
      <c r="A76" s="462"/>
      <c r="B76" s="466"/>
      <c r="C76" s="467"/>
      <c r="D76" s="218" t="s">
        <v>257</v>
      </c>
      <c r="E76" s="149">
        <v>0</v>
      </c>
      <c r="F76" s="149">
        <v>0</v>
      </c>
      <c r="G76" s="149">
        <v>0</v>
      </c>
      <c r="H76" s="149">
        <f>H81+H86</f>
        <v>0</v>
      </c>
      <c r="I76" s="149">
        <f>I81+I86</f>
        <v>0</v>
      </c>
      <c r="J76" s="149">
        <v>0</v>
      </c>
      <c r="K76" s="149">
        <f>K81+K86</f>
        <v>0</v>
      </c>
      <c r="L76" s="149">
        <f>L81+L86</f>
        <v>0</v>
      </c>
      <c r="M76" s="149">
        <v>0</v>
      </c>
      <c r="N76" s="149">
        <f>N81+N86</f>
        <v>0</v>
      </c>
      <c r="O76" s="149">
        <f>O81+O86</f>
        <v>0</v>
      </c>
      <c r="P76" s="149">
        <v>0</v>
      </c>
      <c r="Q76" s="149">
        <f>Q81+Q86</f>
        <v>0</v>
      </c>
      <c r="R76" s="149">
        <f>R81+R86</f>
        <v>0</v>
      </c>
      <c r="S76" s="149">
        <v>0</v>
      </c>
      <c r="T76" s="149">
        <f>T81+T86</f>
        <v>0</v>
      </c>
      <c r="U76" s="149">
        <f>U81+U86</f>
        <v>0</v>
      </c>
      <c r="V76" s="149">
        <v>0</v>
      </c>
      <c r="W76" s="149">
        <f>W81+W86</f>
        <v>0</v>
      </c>
      <c r="X76" s="149">
        <f>X81+X86</f>
        <v>0</v>
      </c>
      <c r="Y76" s="149">
        <v>0</v>
      </c>
      <c r="Z76" s="149">
        <f>Z81+Z86</f>
        <v>0</v>
      </c>
      <c r="AA76" s="149">
        <f>AA81+AA86</f>
        <v>0</v>
      </c>
      <c r="AB76" s="149">
        <v>0</v>
      </c>
      <c r="AC76" s="149">
        <f>AC81+AC86</f>
        <v>0</v>
      </c>
      <c r="AD76" s="149">
        <f>AD81+AD86</f>
        <v>0</v>
      </c>
      <c r="AE76" s="149">
        <v>0</v>
      </c>
      <c r="AF76" s="149">
        <f>AF81+AF86</f>
        <v>0</v>
      </c>
      <c r="AG76" s="149">
        <f>AG81+AG86</f>
        <v>0</v>
      </c>
      <c r="AH76" s="149">
        <v>0</v>
      </c>
      <c r="AI76" s="149">
        <f>AI81+AI86</f>
        <v>0</v>
      </c>
      <c r="AJ76" s="149">
        <f>AJ81+AJ86</f>
        <v>0</v>
      </c>
      <c r="AK76" s="149">
        <v>0</v>
      </c>
      <c r="AL76" s="149">
        <f>AL81+AL86</f>
        <v>0</v>
      </c>
      <c r="AM76" s="149">
        <f>AM81+AM86</f>
        <v>0</v>
      </c>
      <c r="AN76" s="149">
        <v>0</v>
      </c>
      <c r="AO76" s="149">
        <f>AO81+AO86</f>
        <v>0</v>
      </c>
      <c r="AP76" s="149">
        <f>AP81+AP86</f>
        <v>0</v>
      </c>
      <c r="AQ76" s="149">
        <v>0</v>
      </c>
      <c r="AR76" s="471"/>
      <c r="AS76" s="474"/>
      <c r="AT76" s="243"/>
    </row>
    <row r="77" spans="1:50" s="244" customFormat="1" ht="24">
      <c r="A77" s="463"/>
      <c r="B77" s="468"/>
      <c r="C77" s="469"/>
      <c r="D77" s="218" t="s">
        <v>462</v>
      </c>
      <c r="E77" s="149">
        <f>H77+K77+N77+Q77+T77+W77+Z77+AC77+AF77+AI77+AL77+AO77</f>
        <v>0</v>
      </c>
      <c r="F77" s="149">
        <f>I77+L77+O77+R77+U77+X77+AA77+AD77+AG77+AJ77+AM77+AP77</f>
        <v>0</v>
      </c>
      <c r="G77" s="149">
        <v>0</v>
      </c>
      <c r="H77" s="149">
        <v>0</v>
      </c>
      <c r="I77" s="149">
        <v>0</v>
      </c>
      <c r="J77" s="149">
        <v>0</v>
      </c>
      <c r="K77" s="252">
        <v>0</v>
      </c>
      <c r="L77" s="149">
        <v>0</v>
      </c>
      <c r="M77" s="149">
        <v>0</v>
      </c>
      <c r="N77" s="149">
        <v>0</v>
      </c>
      <c r="O77" s="149">
        <v>0</v>
      </c>
      <c r="P77" s="149">
        <v>0</v>
      </c>
      <c r="Q77" s="149">
        <v>0</v>
      </c>
      <c r="R77" s="149">
        <v>0</v>
      </c>
      <c r="S77" s="149">
        <v>0</v>
      </c>
      <c r="T77" s="226">
        <v>0</v>
      </c>
      <c r="U77" s="226">
        <v>0</v>
      </c>
      <c r="V77" s="149">
        <v>0</v>
      </c>
      <c r="W77" s="226">
        <v>0</v>
      </c>
      <c r="X77" s="226">
        <v>0</v>
      </c>
      <c r="Y77" s="226">
        <v>0</v>
      </c>
      <c r="Z77" s="226">
        <v>0</v>
      </c>
      <c r="AA77" s="226">
        <v>0</v>
      </c>
      <c r="AB77" s="226">
        <v>0</v>
      </c>
      <c r="AC77" s="226">
        <v>0</v>
      </c>
      <c r="AD77" s="226">
        <v>0</v>
      </c>
      <c r="AE77" s="226">
        <v>0</v>
      </c>
      <c r="AF77" s="226">
        <v>0</v>
      </c>
      <c r="AG77" s="226">
        <v>0</v>
      </c>
      <c r="AH77" s="149">
        <v>0</v>
      </c>
      <c r="AI77" s="149">
        <v>0</v>
      </c>
      <c r="AJ77" s="149">
        <v>0</v>
      </c>
      <c r="AK77" s="149">
        <v>0</v>
      </c>
      <c r="AL77" s="226">
        <v>0</v>
      </c>
      <c r="AM77" s="226">
        <v>0</v>
      </c>
      <c r="AN77" s="226">
        <v>0</v>
      </c>
      <c r="AO77" s="149">
        <v>0</v>
      </c>
      <c r="AP77" s="149">
        <v>0</v>
      </c>
      <c r="AQ77" s="149">
        <v>0</v>
      </c>
      <c r="AR77" s="472"/>
      <c r="AS77" s="475"/>
      <c r="AT77" s="243"/>
    </row>
    <row r="78" spans="1:50" s="235" customFormat="1" ht="28.5" customHeight="1">
      <c r="A78" s="452" t="s">
        <v>94</v>
      </c>
      <c r="B78" s="476" t="s">
        <v>497</v>
      </c>
      <c r="C78" s="449" t="s">
        <v>498</v>
      </c>
      <c r="D78" s="219" t="s">
        <v>444</v>
      </c>
      <c r="E78" s="123">
        <f>SUM(E79:E81)</f>
        <v>500</v>
      </c>
      <c r="F78" s="123">
        <f>SUM(F79:F81)</f>
        <v>0</v>
      </c>
      <c r="G78" s="123">
        <v>0</v>
      </c>
      <c r="H78" s="123">
        <v>0</v>
      </c>
      <c r="I78" s="123">
        <v>0</v>
      </c>
      <c r="J78" s="123">
        <v>0</v>
      </c>
      <c r="K78" s="132">
        <v>0</v>
      </c>
      <c r="L78" s="123">
        <v>0</v>
      </c>
      <c r="M78" s="123">
        <v>0</v>
      </c>
      <c r="N78" s="123">
        <v>0</v>
      </c>
      <c r="O78" s="123">
        <v>0</v>
      </c>
      <c r="P78" s="123">
        <v>0</v>
      </c>
      <c r="Q78" s="123">
        <v>0</v>
      </c>
      <c r="R78" s="123">
        <v>0</v>
      </c>
      <c r="S78" s="123">
        <v>0</v>
      </c>
      <c r="T78" s="117">
        <v>0</v>
      </c>
      <c r="U78" s="117">
        <v>0</v>
      </c>
      <c r="V78" s="123">
        <v>0</v>
      </c>
      <c r="W78" s="117">
        <v>0</v>
      </c>
      <c r="X78" s="117">
        <v>0</v>
      </c>
      <c r="Y78" s="117">
        <v>0</v>
      </c>
      <c r="Z78" s="117">
        <v>0</v>
      </c>
      <c r="AA78" s="117">
        <v>0</v>
      </c>
      <c r="AB78" s="117">
        <v>0</v>
      </c>
      <c r="AC78" s="117">
        <v>0</v>
      </c>
      <c r="AD78" s="117">
        <v>0</v>
      </c>
      <c r="AE78" s="117">
        <v>0</v>
      </c>
      <c r="AF78" s="117">
        <v>0</v>
      </c>
      <c r="AG78" s="117">
        <v>0</v>
      </c>
      <c r="AH78" s="123">
        <v>0</v>
      </c>
      <c r="AI78" s="123">
        <v>0</v>
      </c>
      <c r="AJ78" s="123">
        <v>0</v>
      </c>
      <c r="AK78" s="123">
        <v>0</v>
      </c>
      <c r="AL78" s="117">
        <v>0</v>
      </c>
      <c r="AM78" s="117">
        <v>0</v>
      </c>
      <c r="AN78" s="117">
        <v>0</v>
      </c>
      <c r="AO78" s="123">
        <v>0</v>
      </c>
      <c r="AP78" s="123">
        <v>0</v>
      </c>
      <c r="AQ78" s="123">
        <v>0</v>
      </c>
      <c r="AR78" s="425" t="s">
        <v>515</v>
      </c>
      <c r="AS78" s="343"/>
      <c r="AT78" s="233"/>
      <c r="AU78" s="233"/>
      <c r="AV78" s="234"/>
      <c r="AX78" s="233"/>
    </row>
    <row r="79" spans="1:50" s="235" customFormat="1" ht="49.5" customHeight="1">
      <c r="A79" s="453"/>
      <c r="B79" s="477"/>
      <c r="C79" s="450"/>
      <c r="D79" s="220" t="s">
        <v>442</v>
      </c>
      <c r="E79" s="123">
        <f>H79+K79+N79+Q79+T79+W79+Z79+AC79+AF79+AI79+AL79+AO79</f>
        <v>0</v>
      </c>
      <c r="F79" s="123">
        <f>I79+L79+O79+R79+U79+X79+AA79+AD79+AG79+AJ79+AM79+AP79</f>
        <v>0</v>
      </c>
      <c r="G79" s="123">
        <v>0</v>
      </c>
      <c r="H79" s="123">
        <v>0</v>
      </c>
      <c r="I79" s="123">
        <v>0</v>
      </c>
      <c r="J79" s="123">
        <v>0</v>
      </c>
      <c r="K79" s="132">
        <v>0</v>
      </c>
      <c r="L79" s="123">
        <v>0</v>
      </c>
      <c r="M79" s="123">
        <v>0</v>
      </c>
      <c r="N79" s="123">
        <v>0</v>
      </c>
      <c r="O79" s="123">
        <v>0</v>
      </c>
      <c r="P79" s="123">
        <v>0</v>
      </c>
      <c r="Q79" s="123">
        <v>0</v>
      </c>
      <c r="R79" s="123">
        <v>0</v>
      </c>
      <c r="S79" s="123">
        <v>0</v>
      </c>
      <c r="T79" s="117">
        <v>0</v>
      </c>
      <c r="U79" s="117">
        <v>0</v>
      </c>
      <c r="V79" s="123">
        <v>0</v>
      </c>
      <c r="W79" s="117">
        <v>0</v>
      </c>
      <c r="X79" s="117">
        <v>0</v>
      </c>
      <c r="Y79" s="117">
        <v>0</v>
      </c>
      <c r="Z79" s="117">
        <v>0</v>
      </c>
      <c r="AA79" s="117">
        <v>0</v>
      </c>
      <c r="AB79" s="117">
        <v>0</v>
      </c>
      <c r="AC79" s="117">
        <v>0</v>
      </c>
      <c r="AD79" s="117">
        <v>0</v>
      </c>
      <c r="AE79" s="117">
        <v>0</v>
      </c>
      <c r="AF79" s="117">
        <v>0</v>
      </c>
      <c r="AG79" s="117">
        <v>0</v>
      </c>
      <c r="AH79" s="123">
        <v>0</v>
      </c>
      <c r="AI79" s="123">
        <v>0</v>
      </c>
      <c r="AJ79" s="123">
        <v>0</v>
      </c>
      <c r="AK79" s="123">
        <v>0</v>
      </c>
      <c r="AL79" s="117">
        <v>0</v>
      </c>
      <c r="AM79" s="117">
        <v>0</v>
      </c>
      <c r="AN79" s="117">
        <v>0</v>
      </c>
      <c r="AO79" s="123">
        <v>0</v>
      </c>
      <c r="AP79" s="123">
        <v>0</v>
      </c>
      <c r="AQ79" s="123">
        <v>0</v>
      </c>
      <c r="AR79" s="426"/>
      <c r="AS79" s="344"/>
      <c r="AT79" s="233"/>
      <c r="AU79" s="233"/>
      <c r="AV79" s="234"/>
      <c r="AX79" s="233"/>
    </row>
    <row r="80" spans="1:50" s="235" customFormat="1" ht="26.25" customHeight="1">
      <c r="A80" s="453"/>
      <c r="B80" s="477"/>
      <c r="C80" s="450"/>
      <c r="D80" s="220" t="s">
        <v>456</v>
      </c>
      <c r="E80" s="123">
        <f t="shared" ref="E80:E81" si="132">H80+K80+N80+Q80+T80+W80+Z80+AC80+AF80+AI80+AL80+AO80</f>
        <v>500</v>
      </c>
      <c r="F80" s="123">
        <f t="shared" ref="F80:F81" si="133">I80+L80+O80+R80+U80+X80+AA80+AD80+AG80+AJ80+AM80+AP80</f>
        <v>0</v>
      </c>
      <c r="G80" s="123">
        <v>0</v>
      </c>
      <c r="H80" s="123">
        <v>0</v>
      </c>
      <c r="I80" s="123">
        <v>0</v>
      </c>
      <c r="J80" s="123">
        <v>0</v>
      </c>
      <c r="K80" s="132">
        <v>0</v>
      </c>
      <c r="L80" s="123">
        <v>0</v>
      </c>
      <c r="M80" s="123">
        <v>0</v>
      </c>
      <c r="N80" s="123">
        <v>100</v>
      </c>
      <c r="O80" s="123">
        <v>0</v>
      </c>
      <c r="P80" s="123">
        <v>0</v>
      </c>
      <c r="Q80" s="123">
        <v>0</v>
      </c>
      <c r="R80" s="123">
        <v>0</v>
      </c>
      <c r="S80" s="123">
        <v>0</v>
      </c>
      <c r="T80" s="117">
        <v>0</v>
      </c>
      <c r="U80" s="117">
        <v>0</v>
      </c>
      <c r="V80" s="123">
        <v>0</v>
      </c>
      <c r="W80" s="117">
        <v>300</v>
      </c>
      <c r="X80" s="117">
        <v>0</v>
      </c>
      <c r="Y80" s="117">
        <v>0</v>
      </c>
      <c r="Z80" s="117">
        <v>100</v>
      </c>
      <c r="AA80" s="117">
        <v>0</v>
      </c>
      <c r="AB80" s="117">
        <v>0</v>
      </c>
      <c r="AC80" s="117">
        <v>0</v>
      </c>
      <c r="AD80" s="117">
        <v>0</v>
      </c>
      <c r="AE80" s="117">
        <v>0</v>
      </c>
      <c r="AF80" s="117">
        <v>0</v>
      </c>
      <c r="AG80" s="117">
        <v>0</v>
      </c>
      <c r="AH80" s="123">
        <v>0</v>
      </c>
      <c r="AI80" s="123">
        <v>0</v>
      </c>
      <c r="AJ80" s="123">
        <v>0</v>
      </c>
      <c r="AK80" s="123">
        <v>0</v>
      </c>
      <c r="AL80" s="117">
        <v>0</v>
      </c>
      <c r="AM80" s="117">
        <v>0</v>
      </c>
      <c r="AN80" s="117">
        <v>0</v>
      </c>
      <c r="AO80" s="123">
        <v>0</v>
      </c>
      <c r="AP80" s="123">
        <v>0</v>
      </c>
      <c r="AQ80" s="123">
        <v>0</v>
      </c>
      <c r="AR80" s="426"/>
      <c r="AS80" s="344"/>
      <c r="AT80" s="233"/>
      <c r="AU80" s="233"/>
      <c r="AV80" s="234"/>
      <c r="AX80" s="233"/>
    </row>
    <row r="81" spans="1:50" s="235" customFormat="1" ht="35.25" customHeight="1">
      <c r="A81" s="453"/>
      <c r="B81" s="477"/>
      <c r="C81" s="450"/>
      <c r="D81" s="143" t="s">
        <v>257</v>
      </c>
      <c r="E81" s="123">
        <f t="shared" si="132"/>
        <v>0</v>
      </c>
      <c r="F81" s="123">
        <f t="shared" si="133"/>
        <v>0</v>
      </c>
      <c r="G81" s="123">
        <v>0</v>
      </c>
      <c r="H81" s="123">
        <v>0</v>
      </c>
      <c r="I81" s="123">
        <v>0</v>
      </c>
      <c r="J81" s="123">
        <v>0</v>
      </c>
      <c r="K81" s="132">
        <v>0</v>
      </c>
      <c r="L81" s="123">
        <v>0</v>
      </c>
      <c r="M81" s="123">
        <v>0</v>
      </c>
      <c r="N81" s="123">
        <v>0</v>
      </c>
      <c r="O81" s="123">
        <v>0</v>
      </c>
      <c r="P81" s="123">
        <v>0</v>
      </c>
      <c r="Q81" s="123">
        <v>0</v>
      </c>
      <c r="R81" s="123">
        <v>0</v>
      </c>
      <c r="S81" s="123">
        <v>0</v>
      </c>
      <c r="T81" s="117">
        <v>0</v>
      </c>
      <c r="U81" s="117">
        <v>0</v>
      </c>
      <c r="V81" s="123">
        <v>0</v>
      </c>
      <c r="W81" s="117">
        <v>0</v>
      </c>
      <c r="X81" s="117">
        <v>0</v>
      </c>
      <c r="Y81" s="117">
        <v>0</v>
      </c>
      <c r="Z81" s="117">
        <v>0</v>
      </c>
      <c r="AA81" s="117">
        <v>0</v>
      </c>
      <c r="AB81" s="117">
        <v>0</v>
      </c>
      <c r="AC81" s="117">
        <v>0</v>
      </c>
      <c r="AD81" s="117">
        <v>0</v>
      </c>
      <c r="AE81" s="117">
        <v>0</v>
      </c>
      <c r="AF81" s="117">
        <v>0</v>
      </c>
      <c r="AG81" s="117">
        <v>0</v>
      </c>
      <c r="AH81" s="123">
        <v>0</v>
      </c>
      <c r="AI81" s="123">
        <v>0</v>
      </c>
      <c r="AJ81" s="123">
        <v>0</v>
      </c>
      <c r="AK81" s="123">
        <v>0</v>
      </c>
      <c r="AL81" s="117">
        <v>0</v>
      </c>
      <c r="AM81" s="117">
        <v>0</v>
      </c>
      <c r="AN81" s="117">
        <v>0</v>
      </c>
      <c r="AO81" s="123">
        <v>0</v>
      </c>
      <c r="AP81" s="123">
        <v>0</v>
      </c>
      <c r="AQ81" s="123">
        <v>0</v>
      </c>
      <c r="AR81" s="426"/>
      <c r="AS81" s="344"/>
      <c r="AT81" s="233"/>
      <c r="AU81" s="233"/>
      <c r="AV81" s="234"/>
      <c r="AX81" s="233"/>
    </row>
    <row r="82" spans="1:50" s="235" customFormat="1" ht="54" customHeight="1">
      <c r="A82" s="454"/>
      <c r="B82" s="478"/>
      <c r="C82" s="451"/>
      <c r="D82" s="143" t="s">
        <v>462</v>
      </c>
      <c r="E82" s="123">
        <f>H82+K82+N82+Q82+T82+W82+Z82+AC82+AF82+AI82+AL82+AO82</f>
        <v>0</v>
      </c>
      <c r="F82" s="123">
        <f>I82+L82+O82+R82+U82+X82+AA82+AD82+AG82+AJ82+AM82+AP82</f>
        <v>0</v>
      </c>
      <c r="G82" s="123">
        <v>0</v>
      </c>
      <c r="H82" s="123">
        <v>0</v>
      </c>
      <c r="I82" s="123">
        <v>0</v>
      </c>
      <c r="J82" s="123">
        <v>0</v>
      </c>
      <c r="K82" s="132">
        <v>0</v>
      </c>
      <c r="L82" s="123">
        <v>0</v>
      </c>
      <c r="M82" s="123">
        <v>0</v>
      </c>
      <c r="N82" s="123">
        <v>0</v>
      </c>
      <c r="O82" s="123">
        <v>0</v>
      </c>
      <c r="P82" s="123">
        <v>0</v>
      </c>
      <c r="Q82" s="123">
        <v>0</v>
      </c>
      <c r="R82" s="123">
        <v>0</v>
      </c>
      <c r="S82" s="123">
        <v>0</v>
      </c>
      <c r="T82" s="117">
        <v>0</v>
      </c>
      <c r="U82" s="117">
        <v>0</v>
      </c>
      <c r="V82" s="123">
        <v>0</v>
      </c>
      <c r="W82" s="117">
        <v>0</v>
      </c>
      <c r="X82" s="117">
        <v>0</v>
      </c>
      <c r="Y82" s="117">
        <v>0</v>
      </c>
      <c r="Z82" s="117">
        <v>0</v>
      </c>
      <c r="AA82" s="117">
        <v>0</v>
      </c>
      <c r="AB82" s="117">
        <v>0</v>
      </c>
      <c r="AC82" s="117">
        <v>0</v>
      </c>
      <c r="AD82" s="117">
        <v>0</v>
      </c>
      <c r="AE82" s="117">
        <v>0</v>
      </c>
      <c r="AF82" s="117">
        <v>0</v>
      </c>
      <c r="AG82" s="117">
        <v>0</v>
      </c>
      <c r="AH82" s="123">
        <v>0</v>
      </c>
      <c r="AI82" s="123">
        <v>0</v>
      </c>
      <c r="AJ82" s="123">
        <v>0</v>
      </c>
      <c r="AK82" s="123">
        <v>0</v>
      </c>
      <c r="AL82" s="117">
        <v>0</v>
      </c>
      <c r="AM82" s="117">
        <v>0</v>
      </c>
      <c r="AN82" s="117">
        <v>0</v>
      </c>
      <c r="AO82" s="123">
        <v>0</v>
      </c>
      <c r="AP82" s="123">
        <v>0</v>
      </c>
      <c r="AQ82" s="123">
        <v>0</v>
      </c>
      <c r="AR82" s="427"/>
      <c r="AS82" s="345"/>
      <c r="AT82" s="233"/>
      <c r="AU82" s="233"/>
      <c r="AV82" s="234"/>
    </row>
    <row r="83" spans="1:50" s="235" customFormat="1" ht="12.75" customHeight="1">
      <c r="A83" s="452" t="s">
        <v>499</v>
      </c>
      <c r="B83" s="449" t="s">
        <v>500</v>
      </c>
      <c r="C83" s="449" t="s">
        <v>512</v>
      </c>
      <c r="D83" s="219" t="s">
        <v>444</v>
      </c>
      <c r="E83" s="123">
        <f>E84+E85+E86+E87</f>
        <v>5500</v>
      </c>
      <c r="F83" s="123">
        <f>F84+F85+F86+F87</f>
        <v>0</v>
      </c>
      <c r="G83" s="123">
        <v>0</v>
      </c>
      <c r="H83" s="123">
        <f>H84+H85+H86+H87</f>
        <v>0</v>
      </c>
      <c r="I83" s="123">
        <v>0</v>
      </c>
      <c r="J83" s="123">
        <v>0</v>
      </c>
      <c r="K83" s="123">
        <v>0</v>
      </c>
      <c r="L83" s="123">
        <f>L84+L85+L86+L87</f>
        <v>0</v>
      </c>
      <c r="M83" s="123">
        <v>0</v>
      </c>
      <c r="N83" s="123">
        <v>0</v>
      </c>
      <c r="O83" s="123">
        <f>O84+O85+O86+O87</f>
        <v>0</v>
      </c>
      <c r="P83" s="123">
        <v>0</v>
      </c>
      <c r="Q83" s="123">
        <v>0</v>
      </c>
      <c r="R83" s="123">
        <v>0</v>
      </c>
      <c r="S83" s="123">
        <v>0</v>
      </c>
      <c r="T83" s="123">
        <v>0</v>
      </c>
      <c r="U83" s="123">
        <v>0</v>
      </c>
      <c r="V83" s="123">
        <v>0</v>
      </c>
      <c r="W83" s="123">
        <v>0</v>
      </c>
      <c r="X83" s="123">
        <v>0</v>
      </c>
      <c r="Y83" s="123">
        <v>0</v>
      </c>
      <c r="Z83" s="123">
        <v>0</v>
      </c>
      <c r="AA83" s="123">
        <v>0</v>
      </c>
      <c r="AB83" s="123">
        <v>0</v>
      </c>
      <c r="AC83" s="123">
        <v>0</v>
      </c>
      <c r="AD83" s="123">
        <v>0</v>
      </c>
      <c r="AE83" s="123">
        <v>0</v>
      </c>
      <c r="AF83" s="123">
        <f t="shared" ref="AF83:AO83" si="134">AF84+AF85+AF86+AF87</f>
        <v>2500</v>
      </c>
      <c r="AG83" s="123">
        <f t="shared" si="134"/>
        <v>0</v>
      </c>
      <c r="AH83" s="123">
        <f t="shared" si="134"/>
        <v>0</v>
      </c>
      <c r="AI83" s="123">
        <f t="shared" si="134"/>
        <v>0</v>
      </c>
      <c r="AJ83" s="123">
        <f t="shared" si="134"/>
        <v>0</v>
      </c>
      <c r="AK83" s="123">
        <f t="shared" si="134"/>
        <v>0</v>
      </c>
      <c r="AL83" s="123">
        <f t="shared" si="134"/>
        <v>0</v>
      </c>
      <c r="AM83" s="123">
        <f t="shared" si="134"/>
        <v>0</v>
      </c>
      <c r="AN83" s="123">
        <f t="shared" si="134"/>
        <v>0</v>
      </c>
      <c r="AO83" s="123">
        <f t="shared" si="134"/>
        <v>0</v>
      </c>
      <c r="AP83" s="123">
        <f>SUM(AP84:AP86)</f>
        <v>0</v>
      </c>
      <c r="AQ83" s="123">
        <v>0</v>
      </c>
      <c r="AR83" s="425" t="s">
        <v>514</v>
      </c>
      <c r="AS83" s="343"/>
      <c r="AT83" s="233"/>
      <c r="AU83" s="233"/>
      <c r="AV83" s="234"/>
      <c r="AX83" s="233"/>
    </row>
    <row r="84" spans="1:50" s="235" customFormat="1" ht="48">
      <c r="A84" s="453"/>
      <c r="B84" s="450"/>
      <c r="C84" s="450"/>
      <c r="D84" s="220" t="s">
        <v>442</v>
      </c>
      <c r="E84" s="123">
        <f>H84+K84+N84+Q84+T84+W84+Z84+AC84+AF84+AI84+AL84+AO84</f>
        <v>0</v>
      </c>
      <c r="F84" s="123">
        <f>I84+L84+O84+R84+U84+X84+AA84+AD84+AG84+AJ84+AM84+AP84</f>
        <v>0</v>
      </c>
      <c r="G84" s="123">
        <v>0</v>
      </c>
      <c r="H84" s="123">
        <v>0</v>
      </c>
      <c r="I84" s="123">
        <v>0</v>
      </c>
      <c r="J84" s="123">
        <v>0</v>
      </c>
      <c r="K84" s="132">
        <v>0</v>
      </c>
      <c r="L84" s="123">
        <v>0</v>
      </c>
      <c r="M84" s="123">
        <v>0</v>
      </c>
      <c r="N84" s="123">
        <v>0</v>
      </c>
      <c r="O84" s="123">
        <v>0</v>
      </c>
      <c r="P84" s="123">
        <v>0</v>
      </c>
      <c r="Q84" s="123">
        <v>0</v>
      </c>
      <c r="R84" s="123">
        <v>0</v>
      </c>
      <c r="S84" s="123">
        <v>0</v>
      </c>
      <c r="T84" s="117">
        <v>0</v>
      </c>
      <c r="U84" s="117">
        <v>0</v>
      </c>
      <c r="V84" s="123">
        <v>0</v>
      </c>
      <c r="W84" s="117">
        <v>0</v>
      </c>
      <c r="X84" s="117">
        <v>0</v>
      </c>
      <c r="Y84" s="117">
        <v>0</v>
      </c>
      <c r="Z84" s="117">
        <v>0</v>
      </c>
      <c r="AA84" s="117">
        <v>0</v>
      </c>
      <c r="AB84" s="117">
        <v>0</v>
      </c>
      <c r="AC84" s="117">
        <v>0</v>
      </c>
      <c r="AD84" s="117">
        <v>0</v>
      </c>
      <c r="AE84" s="117">
        <v>0</v>
      </c>
      <c r="AF84" s="117">
        <v>0</v>
      </c>
      <c r="AG84" s="117">
        <v>0</v>
      </c>
      <c r="AH84" s="123">
        <v>0</v>
      </c>
      <c r="AI84" s="123">
        <v>0</v>
      </c>
      <c r="AJ84" s="123">
        <v>0</v>
      </c>
      <c r="AK84" s="123">
        <v>0</v>
      </c>
      <c r="AL84" s="117">
        <v>0</v>
      </c>
      <c r="AM84" s="117">
        <v>0</v>
      </c>
      <c r="AN84" s="117">
        <v>0</v>
      </c>
      <c r="AO84" s="123">
        <v>0</v>
      </c>
      <c r="AP84" s="123">
        <v>0</v>
      </c>
      <c r="AQ84" s="123">
        <v>0</v>
      </c>
      <c r="AR84" s="426"/>
      <c r="AS84" s="344"/>
      <c r="AT84" s="233"/>
      <c r="AU84" s="233"/>
      <c r="AV84" s="234"/>
      <c r="AX84" s="233"/>
    </row>
    <row r="85" spans="1:50" s="235" customFormat="1" ht="12.75">
      <c r="A85" s="453"/>
      <c r="B85" s="450"/>
      <c r="C85" s="450"/>
      <c r="D85" s="220" t="s">
        <v>456</v>
      </c>
      <c r="E85" s="123">
        <f>H85+K85+N85+Q85+T85+W85+Z85+AC85+AF85+AI85+AL85+AO85</f>
        <v>5500</v>
      </c>
      <c r="F85" s="123">
        <f>I85+L85+O85+R85+U85+X85+AA85+AD85+AG85+AJ85+AM85+AP85</f>
        <v>0</v>
      </c>
      <c r="G85" s="123">
        <v>0</v>
      </c>
      <c r="H85" s="123">
        <v>0</v>
      </c>
      <c r="I85" s="123">
        <v>0</v>
      </c>
      <c r="J85" s="123">
        <v>0</v>
      </c>
      <c r="K85" s="132">
        <v>0</v>
      </c>
      <c r="L85" s="123">
        <v>0</v>
      </c>
      <c r="M85" s="123">
        <v>0</v>
      </c>
      <c r="N85" s="123">
        <v>0</v>
      </c>
      <c r="O85" s="123">
        <v>0</v>
      </c>
      <c r="P85" s="123">
        <v>0</v>
      </c>
      <c r="Q85" s="123">
        <v>0</v>
      </c>
      <c r="R85" s="123">
        <v>0</v>
      </c>
      <c r="S85" s="123">
        <v>0</v>
      </c>
      <c r="T85" s="117">
        <v>0</v>
      </c>
      <c r="U85" s="117">
        <v>0</v>
      </c>
      <c r="V85" s="123">
        <v>0</v>
      </c>
      <c r="W85" s="123">
        <v>3000</v>
      </c>
      <c r="X85" s="117">
        <v>0</v>
      </c>
      <c r="Y85" s="117">
        <v>0</v>
      </c>
      <c r="Z85" s="117">
        <v>0</v>
      </c>
      <c r="AA85" s="117">
        <v>0</v>
      </c>
      <c r="AB85" s="117">
        <v>0</v>
      </c>
      <c r="AC85" s="117">
        <v>0</v>
      </c>
      <c r="AD85" s="117">
        <v>0</v>
      </c>
      <c r="AE85" s="117">
        <v>0</v>
      </c>
      <c r="AF85" s="123">
        <v>2500</v>
      </c>
      <c r="AG85" s="117">
        <v>0</v>
      </c>
      <c r="AH85" s="123">
        <v>0</v>
      </c>
      <c r="AI85" s="123">
        <v>0</v>
      </c>
      <c r="AJ85" s="123">
        <v>0</v>
      </c>
      <c r="AK85" s="123">
        <v>0</v>
      </c>
      <c r="AL85" s="117">
        <v>0</v>
      </c>
      <c r="AM85" s="117">
        <v>0</v>
      </c>
      <c r="AN85" s="117">
        <v>0</v>
      </c>
      <c r="AO85" s="123">
        <v>0</v>
      </c>
      <c r="AP85" s="123">
        <v>0</v>
      </c>
      <c r="AQ85" s="123">
        <v>0</v>
      </c>
      <c r="AR85" s="426"/>
      <c r="AS85" s="344"/>
      <c r="AT85" s="233"/>
      <c r="AU85" s="233"/>
      <c r="AV85" s="234"/>
      <c r="AX85" s="233"/>
    </row>
    <row r="86" spans="1:50" s="235" customFormat="1" ht="42" customHeight="1">
      <c r="A86" s="453"/>
      <c r="B86" s="450"/>
      <c r="C86" s="450"/>
      <c r="D86" s="143" t="s">
        <v>257</v>
      </c>
      <c r="E86" s="123">
        <f t="shared" ref="E86" si="135">H86+K86+N86+Q86+T86+W86+Z86+AC86+AF86+AI86+AL86+AO86</f>
        <v>0</v>
      </c>
      <c r="F86" s="123">
        <f t="shared" ref="F86" si="136">I86+L86+O86+R86+U86+X86+AA86+AD86+AG86+AJ86+AM86+AP86</f>
        <v>0</v>
      </c>
      <c r="G86" s="123">
        <v>0</v>
      </c>
      <c r="H86" s="123">
        <v>0</v>
      </c>
      <c r="I86" s="123">
        <v>0</v>
      </c>
      <c r="J86" s="123">
        <v>0</v>
      </c>
      <c r="K86" s="132">
        <v>0</v>
      </c>
      <c r="L86" s="123">
        <v>0</v>
      </c>
      <c r="M86" s="123">
        <v>0</v>
      </c>
      <c r="N86" s="123">
        <v>0</v>
      </c>
      <c r="O86" s="123">
        <v>0</v>
      </c>
      <c r="P86" s="123">
        <v>0</v>
      </c>
      <c r="Q86" s="123">
        <v>0</v>
      </c>
      <c r="R86" s="123">
        <v>0</v>
      </c>
      <c r="S86" s="123">
        <v>0</v>
      </c>
      <c r="T86" s="117">
        <v>0</v>
      </c>
      <c r="U86" s="117">
        <v>0</v>
      </c>
      <c r="V86" s="123">
        <v>0</v>
      </c>
      <c r="W86" s="117">
        <v>0</v>
      </c>
      <c r="X86" s="117">
        <v>0</v>
      </c>
      <c r="Y86" s="117">
        <v>0</v>
      </c>
      <c r="Z86" s="117">
        <v>0</v>
      </c>
      <c r="AA86" s="117">
        <v>0</v>
      </c>
      <c r="AB86" s="117">
        <v>0</v>
      </c>
      <c r="AC86" s="117">
        <v>0</v>
      </c>
      <c r="AD86" s="117">
        <v>0</v>
      </c>
      <c r="AE86" s="117">
        <v>0</v>
      </c>
      <c r="AF86" s="117">
        <v>0</v>
      </c>
      <c r="AG86" s="117">
        <v>0</v>
      </c>
      <c r="AH86" s="117">
        <v>0</v>
      </c>
      <c r="AI86" s="123">
        <v>0</v>
      </c>
      <c r="AJ86" s="123">
        <v>0</v>
      </c>
      <c r="AK86" s="123">
        <v>0</v>
      </c>
      <c r="AL86" s="117">
        <v>0</v>
      </c>
      <c r="AM86" s="117">
        <v>0</v>
      </c>
      <c r="AN86" s="117">
        <v>0</v>
      </c>
      <c r="AO86" s="123">
        <v>0</v>
      </c>
      <c r="AP86" s="123">
        <v>0</v>
      </c>
      <c r="AQ86" s="123">
        <v>0</v>
      </c>
      <c r="AR86" s="426"/>
      <c r="AS86" s="344"/>
      <c r="AT86" s="233"/>
      <c r="AU86" s="233"/>
      <c r="AV86" s="234"/>
    </row>
    <row r="87" spans="1:50" s="235" customFormat="1" ht="39.75" customHeight="1">
      <c r="A87" s="454"/>
      <c r="B87" s="451"/>
      <c r="C87" s="451"/>
      <c r="D87" s="143" t="s">
        <v>462</v>
      </c>
      <c r="E87" s="123">
        <f>H87+K87+N87+Q87+T87+W87+Z87+AC87+AF87+AI87+AL87+AO87</f>
        <v>0</v>
      </c>
      <c r="F87" s="123">
        <f>I87+L87+O87+R87+U87+X87+AA87+AD87+AG87+AJ87+AM87+AP87</f>
        <v>0</v>
      </c>
      <c r="G87" s="123">
        <v>0</v>
      </c>
      <c r="H87" s="123">
        <v>0</v>
      </c>
      <c r="I87" s="123">
        <v>0</v>
      </c>
      <c r="J87" s="123">
        <v>0</v>
      </c>
      <c r="K87" s="132">
        <v>0</v>
      </c>
      <c r="L87" s="123">
        <v>0</v>
      </c>
      <c r="M87" s="123">
        <v>0</v>
      </c>
      <c r="N87" s="123">
        <v>0</v>
      </c>
      <c r="O87" s="123">
        <v>0</v>
      </c>
      <c r="P87" s="123">
        <v>0</v>
      </c>
      <c r="Q87" s="123">
        <v>0</v>
      </c>
      <c r="R87" s="123">
        <v>0</v>
      </c>
      <c r="S87" s="123">
        <v>0</v>
      </c>
      <c r="T87" s="117">
        <v>0</v>
      </c>
      <c r="U87" s="117">
        <v>0</v>
      </c>
      <c r="V87" s="123">
        <v>0</v>
      </c>
      <c r="W87" s="117">
        <v>0</v>
      </c>
      <c r="X87" s="117">
        <v>0</v>
      </c>
      <c r="Y87" s="117">
        <v>0</v>
      </c>
      <c r="Z87" s="117">
        <v>0</v>
      </c>
      <c r="AA87" s="117">
        <v>0</v>
      </c>
      <c r="AB87" s="117">
        <v>0</v>
      </c>
      <c r="AC87" s="117">
        <v>0</v>
      </c>
      <c r="AD87" s="117">
        <v>0</v>
      </c>
      <c r="AE87" s="117">
        <v>0</v>
      </c>
      <c r="AF87" s="117">
        <v>0</v>
      </c>
      <c r="AG87" s="117">
        <v>0</v>
      </c>
      <c r="AH87" s="123">
        <v>0</v>
      </c>
      <c r="AI87" s="123">
        <v>0</v>
      </c>
      <c r="AJ87" s="123">
        <v>0</v>
      </c>
      <c r="AK87" s="123">
        <v>0</v>
      </c>
      <c r="AL87" s="117">
        <v>0</v>
      </c>
      <c r="AM87" s="117">
        <v>0</v>
      </c>
      <c r="AN87" s="117">
        <v>0</v>
      </c>
      <c r="AO87" s="123">
        <v>0</v>
      </c>
      <c r="AP87" s="123">
        <v>0</v>
      </c>
      <c r="AQ87" s="123">
        <v>0</v>
      </c>
      <c r="AR87" s="427"/>
      <c r="AS87" s="345"/>
      <c r="AT87" s="233"/>
      <c r="AU87" s="233"/>
      <c r="AV87" s="234"/>
    </row>
    <row r="88" spans="1:50" s="244" customFormat="1" ht="12.75">
      <c r="A88" s="494" t="s">
        <v>445</v>
      </c>
      <c r="B88" s="494"/>
      <c r="C88" s="494"/>
      <c r="D88" s="218" t="s">
        <v>444</v>
      </c>
      <c r="E88" s="149">
        <f>E89+E90+E91</f>
        <v>455936.80000000005</v>
      </c>
      <c r="F88" s="149">
        <f>F89+F90+F91</f>
        <v>85335.6</v>
      </c>
      <c r="G88" s="149">
        <f>F88/E88*100</f>
        <v>18.716541415389148</v>
      </c>
      <c r="H88" s="149">
        <f t="shared" ref="H88:I88" si="137">H89+H90+H91</f>
        <v>17862.100000000002</v>
      </c>
      <c r="I88" s="149">
        <f t="shared" si="137"/>
        <v>17654.599999999999</v>
      </c>
      <c r="J88" s="149">
        <f>I88/H88*100</f>
        <v>98.838322481679057</v>
      </c>
      <c r="K88" s="149">
        <f t="shared" ref="K88:L88" si="138">K89+K90+K91</f>
        <v>37855.800000000003</v>
      </c>
      <c r="L88" s="149">
        <f t="shared" si="138"/>
        <v>36847.599999999999</v>
      </c>
      <c r="M88" s="149">
        <f>L88/K88*100</f>
        <v>97.336735718172633</v>
      </c>
      <c r="N88" s="149">
        <f t="shared" ref="N88:O88" si="139">N89+N90+N91</f>
        <v>41496.399999999994</v>
      </c>
      <c r="O88" s="149">
        <f t="shared" si="139"/>
        <v>30833.400000000005</v>
      </c>
      <c r="P88" s="149">
        <f>O88/N88*100</f>
        <v>74.303795028002455</v>
      </c>
      <c r="Q88" s="149">
        <f t="shared" ref="Q88:R88" si="140">Q89+Q90+Q91</f>
        <v>39349.199999999997</v>
      </c>
      <c r="R88" s="149">
        <f t="shared" si="140"/>
        <v>0</v>
      </c>
      <c r="S88" s="149">
        <f>R88/Q88*100</f>
        <v>0</v>
      </c>
      <c r="T88" s="149">
        <f t="shared" ref="T88:U88" si="141">T89+T90+T91</f>
        <v>38889.800000000003</v>
      </c>
      <c r="U88" s="149">
        <f t="shared" si="141"/>
        <v>0</v>
      </c>
      <c r="V88" s="149">
        <f>U88/T88*100</f>
        <v>0</v>
      </c>
      <c r="W88" s="149">
        <f t="shared" ref="W88:X88" si="142">W89+W90+W91</f>
        <v>42107.999999999993</v>
      </c>
      <c r="X88" s="149">
        <f t="shared" si="142"/>
        <v>0</v>
      </c>
      <c r="Y88" s="149">
        <f>X88/W88*100</f>
        <v>0</v>
      </c>
      <c r="Z88" s="149">
        <f t="shared" ref="Z88:AA88" si="143">Z89+Z90+Z91</f>
        <v>45342.700000000004</v>
      </c>
      <c r="AA88" s="149">
        <f t="shared" si="143"/>
        <v>0</v>
      </c>
      <c r="AB88" s="149">
        <f>AA88/Z88*100</f>
        <v>0</v>
      </c>
      <c r="AC88" s="149">
        <f t="shared" ref="AC88:AD88" si="144">AC89+AC90+AC91</f>
        <v>38377.800000000003</v>
      </c>
      <c r="AD88" s="149">
        <f t="shared" si="144"/>
        <v>0</v>
      </c>
      <c r="AE88" s="149">
        <f>AD88/AC88*100</f>
        <v>0</v>
      </c>
      <c r="AF88" s="149">
        <f t="shared" ref="AF88:AG88" si="145">AF89+AF90+AF91</f>
        <v>35352.5</v>
      </c>
      <c r="AG88" s="149">
        <f t="shared" si="145"/>
        <v>0</v>
      </c>
      <c r="AH88" s="149">
        <f>AG88/AF88*100</f>
        <v>0</v>
      </c>
      <c r="AI88" s="149">
        <f t="shared" ref="AI88:AJ88" si="146">AI89+AI90+AI91</f>
        <v>32189.5</v>
      </c>
      <c r="AJ88" s="149">
        <f t="shared" si="146"/>
        <v>0</v>
      </c>
      <c r="AK88" s="149">
        <f>AJ88/AI88*100</f>
        <v>0</v>
      </c>
      <c r="AL88" s="149">
        <f t="shared" ref="AL88:AM88" si="147">AL89+AL90+AL91</f>
        <v>31413.899999999998</v>
      </c>
      <c r="AM88" s="149">
        <f t="shared" si="147"/>
        <v>0</v>
      </c>
      <c r="AN88" s="149">
        <f>AM88/AL88*100</f>
        <v>0</v>
      </c>
      <c r="AO88" s="149">
        <f t="shared" ref="AO88:AP88" si="148">AO89+AO90+AO91</f>
        <v>55699.1</v>
      </c>
      <c r="AP88" s="149">
        <f t="shared" si="148"/>
        <v>0</v>
      </c>
      <c r="AQ88" s="227">
        <f>AP88/AO88*100</f>
        <v>0</v>
      </c>
      <c r="AR88" s="459"/>
      <c r="AS88" s="495"/>
      <c r="AT88" s="233"/>
      <c r="AU88" s="233"/>
      <c r="AV88" s="234"/>
    </row>
    <row r="89" spans="1:50" s="244" customFormat="1" ht="48">
      <c r="A89" s="494"/>
      <c r="B89" s="494"/>
      <c r="C89" s="494"/>
      <c r="D89" s="217" t="s">
        <v>442</v>
      </c>
      <c r="E89" s="149">
        <f>E12+E51+E62+E74</f>
        <v>96737.799999999988</v>
      </c>
      <c r="F89" s="149">
        <f>F12+F51+F62+F74</f>
        <v>13847.300000000001</v>
      </c>
      <c r="G89" s="149">
        <f>F89/E89*100</f>
        <v>14.314259782628923</v>
      </c>
      <c r="H89" s="149">
        <f>H12+H51+H62+H74</f>
        <v>805.8</v>
      </c>
      <c r="I89" s="149">
        <f>I12+I51+I62+I74</f>
        <v>614.6</v>
      </c>
      <c r="J89" s="149">
        <f t="shared" ref="J89:J90" si="149">I89/H89*100</f>
        <v>76.272027798461167</v>
      </c>
      <c r="K89" s="149">
        <f>K12+K51+K62+K74</f>
        <v>6811.5</v>
      </c>
      <c r="L89" s="149">
        <f>L12+L51+L62+L74</f>
        <v>5873.3</v>
      </c>
      <c r="M89" s="149">
        <f t="shared" ref="M89:M91" si="150">L89/K89*100</f>
        <v>86.226235043676141</v>
      </c>
      <c r="N89" s="149">
        <f>N12+N51+N62+N74</f>
        <v>7924.7</v>
      </c>
      <c r="O89" s="149">
        <f>O12+O51+O62+O74</f>
        <v>7359.4000000000005</v>
      </c>
      <c r="P89" s="149">
        <f t="shared" ref="P89:P91" si="151">O89/N89*100</f>
        <v>92.866606937802075</v>
      </c>
      <c r="Q89" s="149">
        <f t="shared" ref="Q89:AO89" si="152">Q12+Q51+Q62+Q74</f>
        <v>7824.7</v>
      </c>
      <c r="R89" s="149">
        <f t="shared" si="152"/>
        <v>0</v>
      </c>
      <c r="S89" s="149" t="e">
        <f t="shared" si="152"/>
        <v>#DIV/0!</v>
      </c>
      <c r="T89" s="149">
        <f t="shared" si="152"/>
        <v>8885.9</v>
      </c>
      <c r="U89" s="149">
        <f t="shared" si="152"/>
        <v>0</v>
      </c>
      <c r="V89" s="149">
        <f t="shared" si="152"/>
        <v>0</v>
      </c>
      <c r="W89" s="149">
        <f t="shared" si="152"/>
        <v>7085.1</v>
      </c>
      <c r="X89" s="149">
        <f t="shared" si="152"/>
        <v>0</v>
      </c>
      <c r="Y89" s="149">
        <f t="shared" si="152"/>
        <v>0</v>
      </c>
      <c r="Z89" s="149">
        <f t="shared" si="152"/>
        <v>9331.4</v>
      </c>
      <c r="AA89" s="149">
        <f t="shared" si="152"/>
        <v>0</v>
      </c>
      <c r="AB89" s="149">
        <f t="shared" si="152"/>
        <v>0</v>
      </c>
      <c r="AC89" s="149">
        <f t="shared" si="152"/>
        <v>8376.5</v>
      </c>
      <c r="AD89" s="149">
        <f t="shared" si="152"/>
        <v>0</v>
      </c>
      <c r="AE89" s="149" t="e">
        <f t="shared" si="152"/>
        <v>#DIV/0!</v>
      </c>
      <c r="AF89" s="149">
        <f t="shared" si="152"/>
        <v>7243.7999999999993</v>
      </c>
      <c r="AG89" s="149">
        <f t="shared" si="152"/>
        <v>0</v>
      </c>
      <c r="AH89" s="149">
        <f t="shared" si="152"/>
        <v>0</v>
      </c>
      <c r="AI89" s="149">
        <f t="shared" si="152"/>
        <v>7665.8</v>
      </c>
      <c r="AJ89" s="149">
        <f t="shared" si="152"/>
        <v>0</v>
      </c>
      <c r="AK89" s="149">
        <f t="shared" si="152"/>
        <v>0</v>
      </c>
      <c r="AL89" s="149">
        <f t="shared" si="152"/>
        <v>7354.9</v>
      </c>
      <c r="AM89" s="149">
        <f t="shared" si="152"/>
        <v>0</v>
      </c>
      <c r="AN89" s="149">
        <f t="shared" si="152"/>
        <v>0</v>
      </c>
      <c r="AO89" s="149">
        <f t="shared" si="152"/>
        <v>17427.7</v>
      </c>
      <c r="AP89" s="149">
        <f>AP12+AP51+AP62</f>
        <v>0</v>
      </c>
      <c r="AQ89" s="227">
        <f t="shared" ref="AQ89:AQ91" si="153">AP89/AO89*100</f>
        <v>0</v>
      </c>
      <c r="AR89" s="459"/>
      <c r="AS89" s="495"/>
      <c r="AT89" s="233"/>
      <c r="AU89" s="233"/>
      <c r="AV89" s="234"/>
    </row>
    <row r="90" spans="1:50" s="244" customFormat="1" ht="12.75">
      <c r="A90" s="494"/>
      <c r="B90" s="494"/>
      <c r="C90" s="494"/>
      <c r="D90" s="217" t="s">
        <v>457</v>
      </c>
      <c r="E90" s="149">
        <f>E13+E52+E63+E75</f>
        <v>353602.10000000003</v>
      </c>
      <c r="F90" s="149">
        <f>F13+F52+F63+F75</f>
        <v>70457.7</v>
      </c>
      <c r="G90" s="149">
        <f>F90/E90*100</f>
        <v>19.925701798716691</v>
      </c>
      <c r="H90" s="149">
        <f>H13+H52+H63+H75</f>
        <v>17001.400000000001</v>
      </c>
      <c r="I90" s="149">
        <f>I13+I52+I63+I75</f>
        <v>16985.099999999999</v>
      </c>
      <c r="J90" s="149">
        <f t="shared" si="149"/>
        <v>99.904125542602358</v>
      </c>
      <c r="K90" s="149">
        <f>K13+K52+K63+K75</f>
        <v>30591.600000000002</v>
      </c>
      <c r="L90" s="149">
        <f>L13+L52+L63+L75</f>
        <v>30521.600000000002</v>
      </c>
      <c r="M90" s="149">
        <f t="shared" si="150"/>
        <v>99.771179016462028</v>
      </c>
      <c r="N90" s="149">
        <f>N13+N52+N63+N75</f>
        <v>33018.1</v>
      </c>
      <c r="O90" s="149">
        <f>O13+O52+O63+O75</f>
        <v>22951.000000000004</v>
      </c>
      <c r="P90" s="149">
        <f t="shared" si="151"/>
        <v>69.510359469503101</v>
      </c>
      <c r="Q90" s="149">
        <f t="shared" ref="Q90:AO90" si="154">Q13+Q52+Q63+Q75</f>
        <v>31041.1</v>
      </c>
      <c r="R90" s="149">
        <f t="shared" si="154"/>
        <v>0</v>
      </c>
      <c r="S90" s="149">
        <f t="shared" si="154"/>
        <v>0</v>
      </c>
      <c r="T90" s="149">
        <f t="shared" si="154"/>
        <v>29616</v>
      </c>
      <c r="U90" s="149">
        <f t="shared" si="154"/>
        <v>0</v>
      </c>
      <c r="V90" s="149">
        <f t="shared" si="154"/>
        <v>0</v>
      </c>
      <c r="W90" s="149">
        <f t="shared" si="154"/>
        <v>34072.899999999994</v>
      </c>
      <c r="X90" s="149">
        <f t="shared" si="154"/>
        <v>0</v>
      </c>
      <c r="Y90" s="149">
        <f t="shared" si="154"/>
        <v>0</v>
      </c>
      <c r="Z90" s="149">
        <f t="shared" si="154"/>
        <v>35489.5</v>
      </c>
      <c r="AA90" s="149">
        <f t="shared" si="154"/>
        <v>0</v>
      </c>
      <c r="AB90" s="149">
        <f t="shared" si="154"/>
        <v>0</v>
      </c>
      <c r="AC90" s="149">
        <f t="shared" si="154"/>
        <v>29452</v>
      </c>
      <c r="AD90" s="149">
        <f t="shared" si="154"/>
        <v>0</v>
      </c>
      <c r="AE90" s="149" t="e">
        <f t="shared" si="154"/>
        <v>#DIV/0!</v>
      </c>
      <c r="AF90" s="149">
        <f t="shared" si="154"/>
        <v>27747.8</v>
      </c>
      <c r="AG90" s="149">
        <f t="shared" si="154"/>
        <v>0</v>
      </c>
      <c r="AH90" s="149">
        <f t="shared" si="154"/>
        <v>0</v>
      </c>
      <c r="AI90" s="149">
        <f t="shared" si="154"/>
        <v>24194.5</v>
      </c>
      <c r="AJ90" s="149">
        <f t="shared" si="154"/>
        <v>0</v>
      </c>
      <c r="AK90" s="149">
        <f t="shared" si="154"/>
        <v>0</v>
      </c>
      <c r="AL90" s="149">
        <f t="shared" si="154"/>
        <v>23680.699999999997</v>
      </c>
      <c r="AM90" s="149">
        <f t="shared" si="154"/>
        <v>0</v>
      </c>
      <c r="AN90" s="149">
        <f t="shared" si="154"/>
        <v>0</v>
      </c>
      <c r="AO90" s="149">
        <f t="shared" si="154"/>
        <v>37696.5</v>
      </c>
      <c r="AP90" s="149">
        <f>AP13+AP52+AP63</f>
        <v>0</v>
      </c>
      <c r="AQ90" s="227">
        <f t="shared" si="153"/>
        <v>0</v>
      </c>
      <c r="AR90" s="459"/>
      <c r="AS90" s="495"/>
      <c r="AT90" s="233"/>
      <c r="AU90" s="233"/>
      <c r="AV90" s="234"/>
    </row>
    <row r="91" spans="1:50" s="244" customFormat="1" ht="24">
      <c r="A91" s="494"/>
      <c r="B91" s="494"/>
      <c r="C91" s="494"/>
      <c r="D91" s="218" t="s">
        <v>257</v>
      </c>
      <c r="E91" s="149">
        <f>E15+E53+E64+E76</f>
        <v>5596.9</v>
      </c>
      <c r="F91" s="149">
        <f>F15+F53+F64+F76</f>
        <v>1030.5999999999999</v>
      </c>
      <c r="G91" s="149">
        <f>F91/E91*100</f>
        <v>18.413764762636458</v>
      </c>
      <c r="H91" s="149">
        <f>H15+H53+H64+H76</f>
        <v>54.9</v>
      </c>
      <c r="I91" s="149">
        <f>I15+I53+I64+I76</f>
        <v>54.9</v>
      </c>
      <c r="J91" s="149">
        <v>0</v>
      </c>
      <c r="K91" s="149">
        <f>K15+K53+K64+K76</f>
        <v>452.7</v>
      </c>
      <c r="L91" s="149">
        <f>L15+L53+L64+L76</f>
        <v>452.7</v>
      </c>
      <c r="M91" s="149">
        <f t="shared" si="150"/>
        <v>100</v>
      </c>
      <c r="N91" s="149">
        <f>N15+N53+N64+N76</f>
        <v>553.60000000000014</v>
      </c>
      <c r="O91" s="149">
        <f>O15+O53+O64+O76</f>
        <v>523</v>
      </c>
      <c r="P91" s="149">
        <f t="shared" si="151"/>
        <v>94.472543352601136</v>
      </c>
      <c r="Q91" s="149">
        <f t="shared" ref="Q91:AO91" si="155">Q15+Q53+Q64+Q76</f>
        <v>483.4</v>
      </c>
      <c r="R91" s="149">
        <f t="shared" si="155"/>
        <v>0</v>
      </c>
      <c r="S91" s="149">
        <f t="shared" si="155"/>
        <v>0</v>
      </c>
      <c r="T91" s="149">
        <f t="shared" si="155"/>
        <v>387.9</v>
      </c>
      <c r="U91" s="149">
        <f t="shared" si="155"/>
        <v>0</v>
      </c>
      <c r="V91" s="149">
        <f t="shared" si="155"/>
        <v>0</v>
      </c>
      <c r="W91" s="149">
        <f t="shared" si="155"/>
        <v>950</v>
      </c>
      <c r="X91" s="149">
        <f t="shared" si="155"/>
        <v>0</v>
      </c>
      <c r="Y91" s="149">
        <f t="shared" si="155"/>
        <v>0</v>
      </c>
      <c r="Z91" s="149">
        <f t="shared" si="155"/>
        <v>521.79999999999995</v>
      </c>
      <c r="AA91" s="149">
        <f t="shared" si="155"/>
        <v>0</v>
      </c>
      <c r="AB91" s="149">
        <f t="shared" si="155"/>
        <v>0</v>
      </c>
      <c r="AC91" s="149">
        <f t="shared" si="155"/>
        <v>549.29999999999995</v>
      </c>
      <c r="AD91" s="149">
        <f t="shared" si="155"/>
        <v>0</v>
      </c>
      <c r="AE91" s="149">
        <f t="shared" si="155"/>
        <v>0</v>
      </c>
      <c r="AF91" s="149">
        <f t="shared" si="155"/>
        <v>360.9</v>
      </c>
      <c r="AG91" s="149">
        <f t="shared" si="155"/>
        <v>0</v>
      </c>
      <c r="AH91" s="149">
        <f t="shared" si="155"/>
        <v>0</v>
      </c>
      <c r="AI91" s="149">
        <f t="shared" si="155"/>
        <v>329.2</v>
      </c>
      <c r="AJ91" s="149">
        <f t="shared" si="155"/>
        <v>0</v>
      </c>
      <c r="AK91" s="149">
        <f t="shared" si="155"/>
        <v>0</v>
      </c>
      <c r="AL91" s="149">
        <f t="shared" si="155"/>
        <v>378.3</v>
      </c>
      <c r="AM91" s="149">
        <f t="shared" si="155"/>
        <v>0</v>
      </c>
      <c r="AN91" s="149">
        <f t="shared" si="155"/>
        <v>0</v>
      </c>
      <c r="AO91" s="149">
        <f t="shared" si="155"/>
        <v>574.9</v>
      </c>
      <c r="AP91" s="149">
        <f>AP15+AP53+AP64</f>
        <v>0</v>
      </c>
      <c r="AQ91" s="227">
        <f t="shared" si="153"/>
        <v>0</v>
      </c>
      <c r="AR91" s="459"/>
      <c r="AS91" s="495"/>
      <c r="AT91" s="233"/>
      <c r="AU91" s="233"/>
      <c r="AV91" s="234"/>
    </row>
    <row r="92" spans="1:50" s="235" customFormat="1" ht="48">
      <c r="A92" s="494"/>
      <c r="B92" s="494"/>
      <c r="C92" s="494"/>
      <c r="D92" s="224" t="s">
        <v>441</v>
      </c>
      <c r="E92" s="123">
        <f>E14</f>
        <v>0</v>
      </c>
      <c r="F92" s="123">
        <f>F14</f>
        <v>205.9</v>
      </c>
      <c r="G92" s="123">
        <v>0</v>
      </c>
      <c r="H92" s="123">
        <f>H14</f>
        <v>0</v>
      </c>
      <c r="I92" s="123">
        <f>I14</f>
        <v>0</v>
      </c>
      <c r="J92" s="123">
        <v>0</v>
      </c>
      <c r="K92" s="123">
        <f>K14</f>
        <v>0</v>
      </c>
      <c r="L92" s="123">
        <f>L14</f>
        <v>56.4</v>
      </c>
      <c r="M92" s="123">
        <v>0</v>
      </c>
      <c r="N92" s="123">
        <f>N14</f>
        <v>0</v>
      </c>
      <c r="O92" s="123">
        <f>O14</f>
        <v>149.5</v>
      </c>
      <c r="P92" s="123">
        <v>0</v>
      </c>
      <c r="Q92" s="123">
        <f t="shared" ref="Q92:AO92" si="156">Q14</f>
        <v>0</v>
      </c>
      <c r="R92" s="123">
        <f t="shared" ca="1" si="156"/>
        <v>0</v>
      </c>
      <c r="S92" s="123">
        <f t="shared" si="156"/>
        <v>0</v>
      </c>
      <c r="T92" s="123">
        <f t="shared" si="156"/>
        <v>0</v>
      </c>
      <c r="U92" s="123">
        <f t="shared" si="156"/>
        <v>0</v>
      </c>
      <c r="V92" s="123">
        <f t="shared" si="156"/>
        <v>0</v>
      </c>
      <c r="W92" s="123">
        <f t="shared" si="156"/>
        <v>0</v>
      </c>
      <c r="X92" s="123">
        <f t="shared" si="156"/>
        <v>0</v>
      </c>
      <c r="Y92" s="123">
        <f t="shared" si="156"/>
        <v>0</v>
      </c>
      <c r="Z92" s="123">
        <f t="shared" si="156"/>
        <v>0</v>
      </c>
      <c r="AA92" s="123">
        <f t="shared" si="156"/>
        <v>0</v>
      </c>
      <c r="AB92" s="123">
        <f t="shared" si="156"/>
        <v>0</v>
      </c>
      <c r="AC92" s="123">
        <f t="shared" si="156"/>
        <v>0</v>
      </c>
      <c r="AD92" s="123">
        <f t="shared" si="156"/>
        <v>0</v>
      </c>
      <c r="AE92" s="123">
        <f t="shared" si="156"/>
        <v>0</v>
      </c>
      <c r="AF92" s="123">
        <f t="shared" si="156"/>
        <v>0</v>
      </c>
      <c r="AG92" s="123">
        <f t="shared" si="156"/>
        <v>0</v>
      </c>
      <c r="AH92" s="123">
        <f t="shared" si="156"/>
        <v>0</v>
      </c>
      <c r="AI92" s="123">
        <f t="shared" si="156"/>
        <v>0</v>
      </c>
      <c r="AJ92" s="123">
        <f t="shared" si="156"/>
        <v>0</v>
      </c>
      <c r="AK92" s="123">
        <f t="shared" si="156"/>
        <v>0</v>
      </c>
      <c r="AL92" s="123">
        <f t="shared" si="156"/>
        <v>0</v>
      </c>
      <c r="AM92" s="123">
        <f t="shared" si="156"/>
        <v>0</v>
      </c>
      <c r="AN92" s="123">
        <f t="shared" si="156"/>
        <v>0</v>
      </c>
      <c r="AO92" s="123">
        <f t="shared" si="156"/>
        <v>0</v>
      </c>
      <c r="AP92" s="123">
        <v>0</v>
      </c>
      <c r="AQ92" s="228">
        <v>0</v>
      </c>
      <c r="AR92" s="459"/>
      <c r="AS92" s="495"/>
      <c r="AT92" s="233"/>
      <c r="AU92" s="233"/>
      <c r="AV92" s="234"/>
    </row>
    <row r="93" spans="1:50" s="235" customFormat="1" ht="24">
      <c r="A93" s="494"/>
      <c r="B93" s="494"/>
      <c r="C93" s="494"/>
      <c r="D93" s="218" t="s">
        <v>462</v>
      </c>
      <c r="E93" s="149">
        <f>H93+K93+N93+Q93+T93+W93+Z93+AC93+AF93+AI93+AL93+AO93</f>
        <v>0</v>
      </c>
      <c r="F93" s="149">
        <f>I93+L93+O93+R93+U93+X93+AA93+AD93+AG93+AJ93+AM93+AP93</f>
        <v>0</v>
      </c>
      <c r="G93" s="149">
        <v>0</v>
      </c>
      <c r="H93" s="149">
        <v>0</v>
      </c>
      <c r="I93" s="149">
        <v>0</v>
      </c>
      <c r="J93" s="149">
        <v>0</v>
      </c>
      <c r="K93" s="252">
        <v>0</v>
      </c>
      <c r="L93" s="149">
        <v>0</v>
      </c>
      <c r="M93" s="149">
        <v>0</v>
      </c>
      <c r="N93" s="149">
        <v>0</v>
      </c>
      <c r="O93" s="149">
        <v>0</v>
      </c>
      <c r="P93" s="149">
        <v>0</v>
      </c>
      <c r="Q93" s="149">
        <v>0</v>
      </c>
      <c r="R93" s="149">
        <v>0</v>
      </c>
      <c r="S93" s="149">
        <v>0</v>
      </c>
      <c r="T93" s="226">
        <v>0</v>
      </c>
      <c r="U93" s="226">
        <v>0</v>
      </c>
      <c r="V93" s="149">
        <v>0</v>
      </c>
      <c r="W93" s="226">
        <v>0</v>
      </c>
      <c r="X93" s="226">
        <v>0</v>
      </c>
      <c r="Y93" s="226">
        <v>0</v>
      </c>
      <c r="Z93" s="226">
        <v>0</v>
      </c>
      <c r="AA93" s="226">
        <v>0</v>
      </c>
      <c r="AB93" s="226">
        <v>0</v>
      </c>
      <c r="AC93" s="226">
        <v>0</v>
      </c>
      <c r="AD93" s="226">
        <v>0</v>
      </c>
      <c r="AE93" s="226">
        <v>0</v>
      </c>
      <c r="AF93" s="226">
        <v>0</v>
      </c>
      <c r="AG93" s="226">
        <v>0</v>
      </c>
      <c r="AH93" s="149">
        <v>0</v>
      </c>
      <c r="AI93" s="149">
        <v>0</v>
      </c>
      <c r="AJ93" s="149">
        <v>0</v>
      </c>
      <c r="AK93" s="149">
        <v>0</v>
      </c>
      <c r="AL93" s="226">
        <v>0</v>
      </c>
      <c r="AM93" s="226">
        <v>0</v>
      </c>
      <c r="AN93" s="226">
        <v>0</v>
      </c>
      <c r="AO93" s="149">
        <v>0</v>
      </c>
      <c r="AP93" s="149">
        <v>0</v>
      </c>
      <c r="AQ93" s="149">
        <v>0</v>
      </c>
      <c r="AR93" s="459"/>
      <c r="AS93" s="495"/>
      <c r="AT93" s="233"/>
      <c r="AU93" s="233"/>
      <c r="AV93" s="234"/>
    </row>
    <row r="94" spans="1:50" s="244" customFormat="1" ht="12.75">
      <c r="A94" s="494" t="s">
        <v>477</v>
      </c>
      <c r="B94" s="494"/>
      <c r="C94" s="494"/>
      <c r="D94" s="218" t="s">
        <v>444</v>
      </c>
      <c r="E94" s="149">
        <f>E95+E96+E97</f>
        <v>0</v>
      </c>
      <c r="F94" s="149">
        <f>F95+F96+F97</f>
        <v>0</v>
      </c>
      <c r="G94" s="149">
        <v>0</v>
      </c>
      <c r="H94" s="149">
        <f t="shared" ref="H94:I94" si="157">H95+H96+H97</f>
        <v>0</v>
      </c>
      <c r="I94" s="149">
        <f t="shared" si="157"/>
        <v>0</v>
      </c>
      <c r="J94" s="149">
        <v>0</v>
      </c>
      <c r="K94" s="149">
        <f t="shared" ref="K94:L94" si="158">K95+K96+K97</f>
        <v>0</v>
      </c>
      <c r="L94" s="149">
        <f t="shared" si="158"/>
        <v>0</v>
      </c>
      <c r="M94" s="149">
        <v>0</v>
      </c>
      <c r="N94" s="149">
        <f t="shared" ref="N94:O94" si="159">N95+N96+N97</f>
        <v>0</v>
      </c>
      <c r="O94" s="149">
        <f t="shared" si="159"/>
        <v>0</v>
      </c>
      <c r="P94" s="149">
        <v>0</v>
      </c>
      <c r="Q94" s="149">
        <f t="shared" ref="Q94:R94" si="160">Q95+Q96+Q97</f>
        <v>0</v>
      </c>
      <c r="R94" s="149">
        <f t="shared" si="160"/>
        <v>0</v>
      </c>
      <c r="S94" s="149">
        <v>0</v>
      </c>
      <c r="T94" s="149">
        <f t="shared" ref="T94:U94" si="161">T95+T96+T97</f>
        <v>0</v>
      </c>
      <c r="U94" s="149">
        <f t="shared" si="161"/>
        <v>0</v>
      </c>
      <c r="V94" s="149">
        <v>0</v>
      </c>
      <c r="W94" s="149">
        <f t="shared" ref="W94:X94" si="162">W95+W96+W97</f>
        <v>0</v>
      </c>
      <c r="X94" s="149">
        <f t="shared" si="162"/>
        <v>0</v>
      </c>
      <c r="Y94" s="149">
        <v>0</v>
      </c>
      <c r="Z94" s="149">
        <f t="shared" ref="Z94:AA94" si="163">Z95+Z96+Z97</f>
        <v>0</v>
      </c>
      <c r="AA94" s="149">
        <f t="shared" si="163"/>
        <v>0</v>
      </c>
      <c r="AB94" s="149">
        <v>0</v>
      </c>
      <c r="AC94" s="149">
        <f t="shared" ref="AC94:AD94" si="164">AC95+AC96+AC97</f>
        <v>0</v>
      </c>
      <c r="AD94" s="149">
        <f t="shared" si="164"/>
        <v>0</v>
      </c>
      <c r="AE94" s="149">
        <v>0</v>
      </c>
      <c r="AF94" s="149">
        <f t="shared" ref="AF94:AG94" si="165">AF95+AF96+AF97</f>
        <v>0</v>
      </c>
      <c r="AG94" s="149">
        <f t="shared" si="165"/>
        <v>0</v>
      </c>
      <c r="AH94" s="149">
        <v>0</v>
      </c>
      <c r="AI94" s="149">
        <f t="shared" ref="AI94:AJ94" si="166">AI95+AI96+AI97</f>
        <v>0</v>
      </c>
      <c r="AJ94" s="149">
        <f t="shared" si="166"/>
        <v>0</v>
      </c>
      <c r="AK94" s="149">
        <v>0</v>
      </c>
      <c r="AL94" s="149">
        <f t="shared" ref="AL94:AM94" si="167">AL95+AL96+AL97</f>
        <v>0</v>
      </c>
      <c r="AM94" s="149">
        <f t="shared" si="167"/>
        <v>0</v>
      </c>
      <c r="AN94" s="149">
        <v>0</v>
      </c>
      <c r="AO94" s="149">
        <f t="shared" ref="AO94:AP94" si="168">AO95+AO96+AO97</f>
        <v>0</v>
      </c>
      <c r="AP94" s="149">
        <f t="shared" si="168"/>
        <v>0</v>
      </c>
      <c r="AQ94" s="149">
        <v>0</v>
      </c>
      <c r="AR94" s="459"/>
      <c r="AS94" s="495"/>
      <c r="AT94" s="233"/>
      <c r="AU94" s="233"/>
      <c r="AV94" s="234"/>
    </row>
    <row r="95" spans="1:50" s="244" customFormat="1" ht="48">
      <c r="A95" s="494"/>
      <c r="B95" s="494"/>
      <c r="C95" s="494"/>
      <c r="D95" s="217" t="s">
        <v>442</v>
      </c>
      <c r="E95" s="149">
        <f>H95+K95+N95+Q95+T95+W95+Z95+AC95+AF95+AI95+AL95+AO95</f>
        <v>0</v>
      </c>
      <c r="F95" s="149">
        <f>I95+L95+O95+R95+U95+X95+AA95+AD95+AG95+AJ95+AM95+AP95</f>
        <v>0</v>
      </c>
      <c r="G95" s="149">
        <v>0</v>
      </c>
      <c r="H95" s="149">
        <v>0</v>
      </c>
      <c r="I95" s="149">
        <v>0</v>
      </c>
      <c r="J95" s="149">
        <v>0</v>
      </c>
      <c r="K95" s="149">
        <v>0</v>
      </c>
      <c r="L95" s="149">
        <v>0</v>
      </c>
      <c r="M95" s="149">
        <v>0</v>
      </c>
      <c r="N95" s="149">
        <v>0</v>
      </c>
      <c r="O95" s="149">
        <v>0</v>
      </c>
      <c r="P95" s="149">
        <v>0</v>
      </c>
      <c r="Q95" s="149">
        <v>0</v>
      </c>
      <c r="R95" s="149">
        <v>0</v>
      </c>
      <c r="S95" s="149">
        <v>0</v>
      </c>
      <c r="T95" s="149">
        <v>0</v>
      </c>
      <c r="U95" s="149">
        <v>0</v>
      </c>
      <c r="V95" s="149">
        <v>0</v>
      </c>
      <c r="W95" s="149">
        <v>0</v>
      </c>
      <c r="X95" s="149">
        <v>0</v>
      </c>
      <c r="Y95" s="149">
        <v>0</v>
      </c>
      <c r="Z95" s="149">
        <v>0</v>
      </c>
      <c r="AA95" s="149">
        <v>0</v>
      </c>
      <c r="AB95" s="149">
        <v>0</v>
      </c>
      <c r="AC95" s="149">
        <v>0</v>
      </c>
      <c r="AD95" s="149">
        <v>0</v>
      </c>
      <c r="AE95" s="149">
        <v>0</v>
      </c>
      <c r="AF95" s="149">
        <v>0</v>
      </c>
      <c r="AG95" s="149">
        <v>0</v>
      </c>
      <c r="AH95" s="149">
        <v>0</v>
      </c>
      <c r="AI95" s="149">
        <v>0</v>
      </c>
      <c r="AJ95" s="149">
        <v>0</v>
      </c>
      <c r="AK95" s="149">
        <v>0</v>
      </c>
      <c r="AL95" s="149">
        <v>0</v>
      </c>
      <c r="AM95" s="149">
        <v>0</v>
      </c>
      <c r="AN95" s="149">
        <v>0</v>
      </c>
      <c r="AO95" s="149">
        <v>0</v>
      </c>
      <c r="AP95" s="149">
        <v>0</v>
      </c>
      <c r="AQ95" s="149">
        <v>0</v>
      </c>
      <c r="AR95" s="459"/>
      <c r="AS95" s="495"/>
      <c r="AT95" s="233"/>
      <c r="AU95" s="233"/>
      <c r="AV95" s="234"/>
    </row>
    <row r="96" spans="1:50" s="244" customFormat="1" ht="12.75">
      <c r="A96" s="494"/>
      <c r="B96" s="494"/>
      <c r="C96" s="494"/>
      <c r="D96" s="217" t="s">
        <v>457</v>
      </c>
      <c r="E96" s="149">
        <f t="shared" ref="E96:F97" si="169">H96+K96+N96+Q96+T96+W96+Z96+AC96+AF96+AI96+AL96+AO96</f>
        <v>0</v>
      </c>
      <c r="F96" s="149">
        <f t="shared" si="169"/>
        <v>0</v>
      </c>
      <c r="G96" s="149">
        <v>0</v>
      </c>
      <c r="H96" s="149">
        <v>0</v>
      </c>
      <c r="I96" s="149">
        <v>0</v>
      </c>
      <c r="J96" s="149">
        <v>0</v>
      </c>
      <c r="K96" s="149">
        <v>0</v>
      </c>
      <c r="L96" s="149">
        <v>0</v>
      </c>
      <c r="M96" s="149">
        <v>0</v>
      </c>
      <c r="N96" s="149">
        <v>0</v>
      </c>
      <c r="O96" s="149">
        <v>0</v>
      </c>
      <c r="P96" s="149">
        <v>0</v>
      </c>
      <c r="Q96" s="149">
        <v>0</v>
      </c>
      <c r="R96" s="149">
        <v>0</v>
      </c>
      <c r="S96" s="149">
        <v>0</v>
      </c>
      <c r="T96" s="149">
        <v>0</v>
      </c>
      <c r="U96" s="149">
        <v>0</v>
      </c>
      <c r="V96" s="149">
        <v>0</v>
      </c>
      <c r="W96" s="149">
        <v>0</v>
      </c>
      <c r="X96" s="149">
        <v>0</v>
      </c>
      <c r="Y96" s="149">
        <v>0</v>
      </c>
      <c r="Z96" s="149">
        <v>0</v>
      </c>
      <c r="AA96" s="149">
        <v>0</v>
      </c>
      <c r="AB96" s="149">
        <v>0</v>
      </c>
      <c r="AC96" s="149">
        <v>0</v>
      </c>
      <c r="AD96" s="149">
        <v>0</v>
      </c>
      <c r="AE96" s="149">
        <v>0</v>
      </c>
      <c r="AF96" s="149">
        <v>0</v>
      </c>
      <c r="AG96" s="149">
        <v>0</v>
      </c>
      <c r="AH96" s="149">
        <v>0</v>
      </c>
      <c r="AI96" s="149">
        <v>0</v>
      </c>
      <c r="AJ96" s="149">
        <v>0</v>
      </c>
      <c r="AK96" s="149">
        <v>0</v>
      </c>
      <c r="AL96" s="149">
        <v>0</v>
      </c>
      <c r="AM96" s="149">
        <v>0</v>
      </c>
      <c r="AN96" s="149">
        <v>0</v>
      </c>
      <c r="AO96" s="149">
        <v>0</v>
      </c>
      <c r="AP96" s="149">
        <v>0</v>
      </c>
      <c r="AQ96" s="149">
        <v>0</v>
      </c>
      <c r="AR96" s="459"/>
      <c r="AS96" s="495"/>
      <c r="AT96" s="233"/>
      <c r="AU96" s="233"/>
      <c r="AV96" s="234"/>
    </row>
    <row r="97" spans="1:50" s="244" customFormat="1" ht="24">
      <c r="A97" s="494"/>
      <c r="B97" s="494"/>
      <c r="C97" s="494"/>
      <c r="D97" s="218" t="s">
        <v>257</v>
      </c>
      <c r="E97" s="149">
        <f t="shared" si="169"/>
        <v>0</v>
      </c>
      <c r="F97" s="149">
        <f t="shared" si="169"/>
        <v>0</v>
      </c>
      <c r="G97" s="149">
        <v>0</v>
      </c>
      <c r="H97" s="149">
        <v>0</v>
      </c>
      <c r="I97" s="149">
        <v>0</v>
      </c>
      <c r="J97" s="149">
        <v>0</v>
      </c>
      <c r="K97" s="149">
        <v>0</v>
      </c>
      <c r="L97" s="149">
        <v>0</v>
      </c>
      <c r="M97" s="149">
        <v>0</v>
      </c>
      <c r="N97" s="149">
        <v>0</v>
      </c>
      <c r="O97" s="149">
        <v>0</v>
      </c>
      <c r="P97" s="149">
        <v>0</v>
      </c>
      <c r="Q97" s="149">
        <v>0</v>
      </c>
      <c r="R97" s="149">
        <v>0</v>
      </c>
      <c r="S97" s="149">
        <v>0</v>
      </c>
      <c r="T97" s="149">
        <v>0</v>
      </c>
      <c r="U97" s="149">
        <v>0</v>
      </c>
      <c r="V97" s="149">
        <v>0</v>
      </c>
      <c r="W97" s="149">
        <v>0</v>
      </c>
      <c r="X97" s="149">
        <v>0</v>
      </c>
      <c r="Y97" s="149">
        <v>0</v>
      </c>
      <c r="Z97" s="149">
        <v>0</v>
      </c>
      <c r="AA97" s="149">
        <v>0</v>
      </c>
      <c r="AB97" s="149">
        <v>0</v>
      </c>
      <c r="AC97" s="149">
        <v>0</v>
      </c>
      <c r="AD97" s="149">
        <v>0</v>
      </c>
      <c r="AE97" s="149">
        <v>0</v>
      </c>
      <c r="AF97" s="149">
        <v>0</v>
      </c>
      <c r="AG97" s="149">
        <v>0</v>
      </c>
      <c r="AH97" s="149">
        <v>0</v>
      </c>
      <c r="AI97" s="149">
        <v>0</v>
      </c>
      <c r="AJ97" s="149">
        <v>0</v>
      </c>
      <c r="AK97" s="149">
        <v>0</v>
      </c>
      <c r="AL97" s="149">
        <v>0</v>
      </c>
      <c r="AM97" s="149">
        <v>0</v>
      </c>
      <c r="AN97" s="149">
        <v>0</v>
      </c>
      <c r="AO97" s="149">
        <v>0</v>
      </c>
      <c r="AP97" s="149">
        <v>0</v>
      </c>
      <c r="AQ97" s="149">
        <v>0</v>
      </c>
      <c r="AR97" s="459"/>
      <c r="AS97" s="495"/>
      <c r="AT97" s="233"/>
      <c r="AU97" s="233"/>
      <c r="AV97" s="234"/>
    </row>
    <row r="98" spans="1:50" s="235" customFormat="1" ht="24">
      <c r="A98" s="494"/>
      <c r="B98" s="494"/>
      <c r="C98" s="494"/>
      <c r="D98" s="218" t="s">
        <v>462</v>
      </c>
      <c r="E98" s="149">
        <f>H98+K98+N98+Q98+T98+W98+Z98+AC98+AF98+AI98+AL98+AO98</f>
        <v>0</v>
      </c>
      <c r="F98" s="149">
        <f>I98+L98+O98+R98+U98+X98+AA98+AD98+AG98+AJ98+AM98+AP98</f>
        <v>0</v>
      </c>
      <c r="G98" s="149">
        <v>0</v>
      </c>
      <c r="H98" s="149">
        <v>0</v>
      </c>
      <c r="I98" s="149">
        <v>0</v>
      </c>
      <c r="J98" s="149">
        <v>0</v>
      </c>
      <c r="K98" s="149">
        <v>0</v>
      </c>
      <c r="L98" s="149">
        <v>0</v>
      </c>
      <c r="M98" s="149">
        <v>0</v>
      </c>
      <c r="N98" s="149">
        <v>0</v>
      </c>
      <c r="O98" s="149">
        <v>0</v>
      </c>
      <c r="P98" s="149">
        <v>0</v>
      </c>
      <c r="Q98" s="149">
        <v>0</v>
      </c>
      <c r="R98" s="149">
        <v>0</v>
      </c>
      <c r="S98" s="149">
        <v>0</v>
      </c>
      <c r="T98" s="149">
        <v>0</v>
      </c>
      <c r="U98" s="149">
        <v>0</v>
      </c>
      <c r="V98" s="149">
        <v>0</v>
      </c>
      <c r="W98" s="149">
        <v>0</v>
      </c>
      <c r="X98" s="149">
        <v>0</v>
      </c>
      <c r="Y98" s="149">
        <v>0</v>
      </c>
      <c r="Z98" s="149">
        <v>0</v>
      </c>
      <c r="AA98" s="149">
        <v>0</v>
      </c>
      <c r="AB98" s="149">
        <v>0</v>
      </c>
      <c r="AC98" s="149">
        <v>0</v>
      </c>
      <c r="AD98" s="149">
        <v>0</v>
      </c>
      <c r="AE98" s="149">
        <v>0</v>
      </c>
      <c r="AF98" s="149">
        <v>0</v>
      </c>
      <c r="AG98" s="149">
        <v>0</v>
      </c>
      <c r="AH98" s="149">
        <v>0</v>
      </c>
      <c r="AI98" s="149">
        <v>0</v>
      </c>
      <c r="AJ98" s="149">
        <v>0</v>
      </c>
      <c r="AK98" s="149">
        <v>0</v>
      </c>
      <c r="AL98" s="149">
        <v>0</v>
      </c>
      <c r="AM98" s="149">
        <v>0</v>
      </c>
      <c r="AN98" s="149">
        <v>0</v>
      </c>
      <c r="AO98" s="149">
        <v>0</v>
      </c>
      <c r="AP98" s="149">
        <v>0</v>
      </c>
      <c r="AQ98" s="149">
        <v>0</v>
      </c>
      <c r="AR98" s="459"/>
      <c r="AS98" s="495"/>
      <c r="AT98" s="233"/>
      <c r="AU98" s="233"/>
      <c r="AV98" s="234"/>
    </row>
    <row r="99" spans="1:50" s="244" customFormat="1" ht="12.75">
      <c r="A99" s="494" t="s">
        <v>478</v>
      </c>
      <c r="B99" s="494"/>
      <c r="C99" s="494"/>
      <c r="D99" s="218" t="s">
        <v>444</v>
      </c>
      <c r="E99" s="149">
        <f>E100+E101+E103</f>
        <v>455936.80000000005</v>
      </c>
      <c r="F99" s="149">
        <f>F100+F101+F103</f>
        <v>85335.6</v>
      </c>
      <c r="G99" s="149">
        <f>F99/E99*100</f>
        <v>18.716541415389148</v>
      </c>
      <c r="H99" s="149">
        <f t="shared" ref="H99:I99" si="170">H100+H101+H103</f>
        <v>17862.100000000002</v>
      </c>
      <c r="I99" s="149">
        <f t="shared" si="170"/>
        <v>17654.599999999999</v>
      </c>
      <c r="J99" s="149">
        <f>I99/H99*100</f>
        <v>98.838322481679057</v>
      </c>
      <c r="K99" s="149">
        <f t="shared" ref="K99:L99" si="171">K100+K101+K103</f>
        <v>37855.800000000003</v>
      </c>
      <c r="L99" s="149">
        <f t="shared" si="171"/>
        <v>36847.599999999999</v>
      </c>
      <c r="M99" s="149">
        <f>L99/K99*100</f>
        <v>97.336735718172633</v>
      </c>
      <c r="N99" s="149">
        <f t="shared" ref="N99:O99" si="172">N100+N101+N103</f>
        <v>41496.399999999994</v>
      </c>
      <c r="O99" s="149">
        <f t="shared" si="172"/>
        <v>30833.400000000005</v>
      </c>
      <c r="P99" s="149">
        <f>O99/N99*100</f>
        <v>74.303795028002455</v>
      </c>
      <c r="Q99" s="149">
        <f t="shared" ref="Q99" si="173">Q100+Q101+Q103</f>
        <v>39349.199999999997</v>
      </c>
      <c r="R99" s="149">
        <f>R100+R101+R103</f>
        <v>0</v>
      </c>
      <c r="S99" s="149">
        <f>R99/Q99*100</f>
        <v>0</v>
      </c>
      <c r="T99" s="149">
        <f t="shared" ref="T99:U99" si="174">T100+T101+T103</f>
        <v>38889.800000000003</v>
      </c>
      <c r="U99" s="149">
        <f t="shared" si="174"/>
        <v>0</v>
      </c>
      <c r="V99" s="149">
        <f>U99/T99*100</f>
        <v>0</v>
      </c>
      <c r="W99" s="149">
        <f t="shared" ref="W99:X99" si="175">W100+W101+W103</f>
        <v>42107.999999999993</v>
      </c>
      <c r="X99" s="149">
        <f t="shared" si="175"/>
        <v>0</v>
      </c>
      <c r="Y99" s="149">
        <f>X99/W99*100</f>
        <v>0</v>
      </c>
      <c r="Z99" s="149">
        <f t="shared" ref="Z99:AA99" si="176">Z100+Z101+Z103</f>
        <v>45342.700000000004</v>
      </c>
      <c r="AA99" s="149">
        <f t="shared" si="176"/>
        <v>0</v>
      </c>
      <c r="AB99" s="149">
        <f>AA99/Z99*100</f>
        <v>0</v>
      </c>
      <c r="AC99" s="149">
        <f t="shared" ref="AC99:AD99" si="177">AC100+AC101+AC103</f>
        <v>38377.800000000003</v>
      </c>
      <c r="AD99" s="149">
        <f t="shared" si="177"/>
        <v>0</v>
      </c>
      <c r="AE99" s="149">
        <f>AD99/AC99*100</f>
        <v>0</v>
      </c>
      <c r="AF99" s="149">
        <f t="shared" ref="AF99:AG99" si="178">AF100+AF101+AF103</f>
        <v>35352.5</v>
      </c>
      <c r="AG99" s="149">
        <f t="shared" si="178"/>
        <v>0</v>
      </c>
      <c r="AH99" s="149">
        <f>AG99/AF99*100</f>
        <v>0</v>
      </c>
      <c r="AI99" s="149">
        <f t="shared" ref="AI99:AJ99" si="179">AI100+AI101+AI103</f>
        <v>32189.5</v>
      </c>
      <c r="AJ99" s="149">
        <f t="shared" si="179"/>
        <v>0</v>
      </c>
      <c r="AK99" s="149">
        <f>AJ99/AI99*100</f>
        <v>0</v>
      </c>
      <c r="AL99" s="149">
        <f t="shared" ref="AL99:AM99" si="180">AL100+AL101+AL103</f>
        <v>31413.899999999998</v>
      </c>
      <c r="AM99" s="149">
        <f t="shared" si="180"/>
        <v>0</v>
      </c>
      <c r="AN99" s="149">
        <f>AM99/AL99*100</f>
        <v>0</v>
      </c>
      <c r="AO99" s="149">
        <f t="shared" ref="AO99:AP99" si="181">AO100+AO101+AO103</f>
        <v>55699.1</v>
      </c>
      <c r="AP99" s="149">
        <f t="shared" si="181"/>
        <v>0</v>
      </c>
      <c r="AQ99" s="227">
        <f>AP99/AO99*100</f>
        <v>0</v>
      </c>
      <c r="AR99" s="459"/>
      <c r="AS99" s="495"/>
      <c r="AT99" s="233"/>
      <c r="AU99" s="233"/>
      <c r="AV99" s="234"/>
    </row>
    <row r="100" spans="1:50" s="244" customFormat="1" ht="48">
      <c r="A100" s="494"/>
      <c r="B100" s="494"/>
      <c r="C100" s="494"/>
      <c r="D100" s="217" t="s">
        <v>442</v>
      </c>
      <c r="E100" s="149">
        <f>H100+K100+N100+Q100+T100+W100+Z100+AC100+AF100+AI100+AL100+AO100</f>
        <v>96737.799999999988</v>
      </c>
      <c r="F100" s="149">
        <f>I100+L100+O100+R100+U100+X100+AA100+AD100+AG100+AJ100+AM100+AP100</f>
        <v>13847.300000000001</v>
      </c>
      <c r="G100" s="149">
        <f>F100/E100*100</f>
        <v>14.314259782628923</v>
      </c>
      <c r="H100" s="149">
        <f>H89-H95</f>
        <v>805.8</v>
      </c>
      <c r="I100" s="149">
        <f>I89-I95</f>
        <v>614.6</v>
      </c>
      <c r="J100" s="149">
        <f t="shared" ref="J100:J101" si="182">I100/H100*100</f>
        <v>76.272027798461167</v>
      </c>
      <c r="K100" s="149">
        <f>K89-K95</f>
        <v>6811.5</v>
      </c>
      <c r="L100" s="149">
        <f>L89-L95</f>
        <v>5873.3</v>
      </c>
      <c r="M100" s="149">
        <f t="shared" ref="M100:M103" si="183">L100/K100*100</f>
        <v>86.226235043676141</v>
      </c>
      <c r="N100" s="149">
        <f>N89-N95</f>
        <v>7924.7</v>
      </c>
      <c r="O100" s="149">
        <f>O89-O95</f>
        <v>7359.4000000000005</v>
      </c>
      <c r="P100" s="149">
        <f t="shared" ref="P100:P103" si="184">O100/N100*100</f>
        <v>92.866606937802075</v>
      </c>
      <c r="Q100" s="149">
        <f>Q89-Q95</f>
        <v>7824.7</v>
      </c>
      <c r="R100" s="149">
        <f>R89-R95</f>
        <v>0</v>
      </c>
      <c r="S100" s="149">
        <f t="shared" ref="S100:S103" si="185">R100/Q100*100</f>
        <v>0</v>
      </c>
      <c r="T100" s="149">
        <f>T89-T95</f>
        <v>8885.9</v>
      </c>
      <c r="U100" s="149">
        <f>U89-U95</f>
        <v>0</v>
      </c>
      <c r="V100" s="149">
        <f t="shared" ref="V100:V103" si="186">U100/T100*100</f>
        <v>0</v>
      </c>
      <c r="W100" s="149">
        <f>W89-W95</f>
        <v>7085.1</v>
      </c>
      <c r="X100" s="149">
        <f>X89-X95</f>
        <v>0</v>
      </c>
      <c r="Y100" s="149">
        <f t="shared" ref="Y100:Y103" si="187">X100/W100*100</f>
        <v>0</v>
      </c>
      <c r="Z100" s="149">
        <f>Z89-Z95</f>
        <v>9331.4</v>
      </c>
      <c r="AA100" s="149">
        <f>AA89-AA95</f>
        <v>0</v>
      </c>
      <c r="AB100" s="149">
        <f t="shared" ref="AB100:AB103" si="188">AA100/Z100*100</f>
        <v>0</v>
      </c>
      <c r="AC100" s="149">
        <f>AC89-AC95</f>
        <v>8376.5</v>
      </c>
      <c r="AD100" s="149">
        <f>AD89-AD95</f>
        <v>0</v>
      </c>
      <c r="AE100" s="149">
        <f t="shared" ref="AE100:AE103" si="189">AD100/AC100*100</f>
        <v>0</v>
      </c>
      <c r="AF100" s="149">
        <f>AF89-AF95</f>
        <v>7243.7999999999993</v>
      </c>
      <c r="AG100" s="149">
        <f>AG89-AG95</f>
        <v>0</v>
      </c>
      <c r="AH100" s="149">
        <f t="shared" ref="AH100:AH103" si="190">AG100/AF100*100</f>
        <v>0</v>
      </c>
      <c r="AI100" s="149">
        <f>AI89-AI95</f>
        <v>7665.8</v>
      </c>
      <c r="AJ100" s="149">
        <f>AJ89-AJ95</f>
        <v>0</v>
      </c>
      <c r="AK100" s="149">
        <f t="shared" ref="AK100:AK103" si="191">AJ100/AI100*100</f>
        <v>0</v>
      </c>
      <c r="AL100" s="149">
        <f>AL89-AL95</f>
        <v>7354.9</v>
      </c>
      <c r="AM100" s="149">
        <f>AM89-AM95</f>
        <v>0</v>
      </c>
      <c r="AN100" s="149">
        <f t="shared" ref="AN100:AN103" si="192">AM100/AL100*100</f>
        <v>0</v>
      </c>
      <c r="AO100" s="149">
        <f>AO89-AO95</f>
        <v>17427.7</v>
      </c>
      <c r="AP100" s="149">
        <f>AP89-AP95</f>
        <v>0</v>
      </c>
      <c r="AQ100" s="227">
        <f t="shared" ref="AQ100:AQ103" si="193">AP100/AO100*100</f>
        <v>0</v>
      </c>
      <c r="AR100" s="459"/>
      <c r="AS100" s="495"/>
      <c r="AT100" s="233"/>
      <c r="AU100" s="233"/>
      <c r="AV100" s="234"/>
    </row>
    <row r="101" spans="1:50" s="244" customFormat="1" ht="12.75">
      <c r="A101" s="494"/>
      <c r="B101" s="494"/>
      <c r="C101" s="494"/>
      <c r="D101" s="217" t="s">
        <v>457</v>
      </c>
      <c r="E101" s="149">
        <f t="shared" ref="E101:F103" si="194">H101+K101+N101+Q101+T101+W101+Z101+AC101+AF101+AI101+AL101+AO101</f>
        <v>353602.10000000003</v>
      </c>
      <c r="F101" s="149">
        <f t="shared" si="194"/>
        <v>70457.7</v>
      </c>
      <c r="G101" s="149">
        <f>F101/E101*100</f>
        <v>19.925701798716691</v>
      </c>
      <c r="H101" s="149">
        <f t="shared" ref="H101:I101" si="195">H90-H96</f>
        <v>17001.400000000001</v>
      </c>
      <c r="I101" s="149">
        <f t="shared" si="195"/>
        <v>16985.099999999999</v>
      </c>
      <c r="J101" s="149">
        <f t="shared" si="182"/>
        <v>99.904125542602358</v>
      </c>
      <c r="K101" s="149">
        <f t="shared" ref="K101:L101" si="196">K90-K96</f>
        <v>30591.600000000002</v>
      </c>
      <c r="L101" s="149">
        <f t="shared" si="196"/>
        <v>30521.600000000002</v>
      </c>
      <c r="M101" s="149">
        <f t="shared" si="183"/>
        <v>99.771179016462028</v>
      </c>
      <c r="N101" s="149">
        <f t="shared" ref="N101:O101" si="197">N90-N96</f>
        <v>33018.1</v>
      </c>
      <c r="O101" s="149">
        <f t="shared" si="197"/>
        <v>22951.000000000004</v>
      </c>
      <c r="P101" s="149">
        <f t="shared" si="184"/>
        <v>69.510359469503101</v>
      </c>
      <c r="Q101" s="149">
        <f t="shared" ref="Q101:R101" si="198">Q90-Q96</f>
        <v>31041.1</v>
      </c>
      <c r="R101" s="149">
        <f t="shared" si="198"/>
        <v>0</v>
      </c>
      <c r="S101" s="149">
        <f t="shared" si="185"/>
        <v>0</v>
      </c>
      <c r="T101" s="149">
        <f t="shared" ref="T101:U101" si="199">T90-T96</f>
        <v>29616</v>
      </c>
      <c r="U101" s="149">
        <f t="shared" si="199"/>
        <v>0</v>
      </c>
      <c r="V101" s="149">
        <f t="shared" si="186"/>
        <v>0</v>
      </c>
      <c r="W101" s="149">
        <f t="shared" ref="W101:X101" si="200">W90-W96</f>
        <v>34072.899999999994</v>
      </c>
      <c r="X101" s="149">
        <f t="shared" si="200"/>
        <v>0</v>
      </c>
      <c r="Y101" s="149">
        <f t="shared" si="187"/>
        <v>0</v>
      </c>
      <c r="Z101" s="149">
        <f t="shared" ref="Z101:AA101" si="201">Z90-Z96</f>
        <v>35489.5</v>
      </c>
      <c r="AA101" s="149">
        <f t="shared" si="201"/>
        <v>0</v>
      </c>
      <c r="AB101" s="149">
        <f t="shared" si="188"/>
        <v>0</v>
      </c>
      <c r="AC101" s="149">
        <f t="shared" ref="AC101:AD101" si="202">AC90-AC96</f>
        <v>29452</v>
      </c>
      <c r="AD101" s="149">
        <f t="shared" si="202"/>
        <v>0</v>
      </c>
      <c r="AE101" s="149">
        <f t="shared" si="189"/>
        <v>0</v>
      </c>
      <c r="AF101" s="149">
        <f t="shared" ref="AF101:AG101" si="203">AF90-AF96</f>
        <v>27747.8</v>
      </c>
      <c r="AG101" s="149">
        <f t="shared" si="203"/>
        <v>0</v>
      </c>
      <c r="AH101" s="149">
        <f t="shared" si="190"/>
        <v>0</v>
      </c>
      <c r="AI101" s="149">
        <f t="shared" ref="AI101:AJ101" si="204">AI90-AI96</f>
        <v>24194.5</v>
      </c>
      <c r="AJ101" s="149">
        <f t="shared" si="204"/>
        <v>0</v>
      </c>
      <c r="AK101" s="149">
        <f t="shared" si="191"/>
        <v>0</v>
      </c>
      <c r="AL101" s="149">
        <f t="shared" ref="AL101:AM101" si="205">AL90-AL96</f>
        <v>23680.699999999997</v>
      </c>
      <c r="AM101" s="149">
        <f t="shared" si="205"/>
        <v>0</v>
      </c>
      <c r="AN101" s="149">
        <f t="shared" si="192"/>
        <v>0</v>
      </c>
      <c r="AO101" s="149">
        <f t="shared" ref="AO101:AP101" si="206">AO90-AO96</f>
        <v>37696.5</v>
      </c>
      <c r="AP101" s="149">
        <f t="shared" si="206"/>
        <v>0</v>
      </c>
      <c r="AQ101" s="227">
        <f t="shared" si="193"/>
        <v>0</v>
      </c>
      <c r="AR101" s="459"/>
      <c r="AS101" s="495"/>
      <c r="AT101" s="233"/>
      <c r="AU101" s="233"/>
      <c r="AV101" s="234"/>
    </row>
    <row r="102" spans="1:50" s="236" customFormat="1" ht="36">
      <c r="A102" s="494"/>
      <c r="B102" s="494"/>
      <c r="C102" s="494"/>
      <c r="D102" s="224" t="s">
        <v>452</v>
      </c>
      <c r="E102" s="229">
        <f>E92</f>
        <v>0</v>
      </c>
      <c r="F102" s="229">
        <f>F92</f>
        <v>205.9</v>
      </c>
      <c r="G102" s="229">
        <v>0</v>
      </c>
      <c r="H102" s="229">
        <v>0</v>
      </c>
      <c r="I102" s="229">
        <v>0</v>
      </c>
      <c r="J102" s="229">
        <v>0</v>
      </c>
      <c r="K102" s="229">
        <v>0</v>
      </c>
      <c r="L102" s="229">
        <v>0</v>
      </c>
      <c r="M102" s="229">
        <v>0</v>
      </c>
      <c r="N102" s="229">
        <v>0</v>
      </c>
      <c r="O102" s="229">
        <v>165.8</v>
      </c>
      <c r="P102" s="229">
        <v>0</v>
      </c>
      <c r="Q102" s="229">
        <v>0</v>
      </c>
      <c r="R102" s="229">
        <f ca="1">R92</f>
        <v>0</v>
      </c>
      <c r="S102" s="229">
        <v>0</v>
      </c>
      <c r="T102" s="230">
        <v>0</v>
      </c>
      <c r="U102" s="230">
        <v>0</v>
      </c>
      <c r="V102" s="230">
        <v>0</v>
      </c>
      <c r="W102" s="230">
        <v>0</v>
      </c>
      <c r="X102" s="230">
        <v>0</v>
      </c>
      <c r="Y102" s="230">
        <v>0</v>
      </c>
      <c r="Z102" s="229">
        <v>0</v>
      </c>
      <c r="AA102" s="229">
        <v>0</v>
      </c>
      <c r="AB102" s="229">
        <v>0</v>
      </c>
      <c r="AC102" s="230">
        <v>0</v>
      </c>
      <c r="AD102" s="230">
        <v>0</v>
      </c>
      <c r="AE102" s="230">
        <v>0</v>
      </c>
      <c r="AF102" s="230">
        <v>0</v>
      </c>
      <c r="AG102" s="230">
        <v>0</v>
      </c>
      <c r="AH102" s="230">
        <v>0</v>
      </c>
      <c r="AI102" s="229">
        <v>0</v>
      </c>
      <c r="AJ102" s="229">
        <v>0</v>
      </c>
      <c r="AK102" s="229">
        <v>0</v>
      </c>
      <c r="AL102" s="230">
        <v>0</v>
      </c>
      <c r="AM102" s="230">
        <v>0</v>
      </c>
      <c r="AN102" s="230">
        <v>0</v>
      </c>
      <c r="AO102" s="230">
        <v>0</v>
      </c>
      <c r="AP102" s="229">
        <v>0</v>
      </c>
      <c r="AQ102" s="229">
        <v>0</v>
      </c>
      <c r="AR102" s="459"/>
      <c r="AS102" s="495"/>
      <c r="AT102" s="232"/>
      <c r="AU102" s="233"/>
      <c r="AV102" s="234"/>
      <c r="AW102" s="235"/>
      <c r="AX102" s="233"/>
    </row>
    <row r="103" spans="1:50" s="244" customFormat="1" ht="24">
      <c r="A103" s="494"/>
      <c r="B103" s="494"/>
      <c r="C103" s="494"/>
      <c r="D103" s="218" t="s">
        <v>257</v>
      </c>
      <c r="E103" s="149">
        <f>H103+K103+N103+Q103+T103+W103+Z103+AC103+AF103+AI103+AL103+AO103</f>
        <v>5596.9</v>
      </c>
      <c r="F103" s="149">
        <f t="shared" si="194"/>
        <v>1030.5999999999999</v>
      </c>
      <c r="G103" s="149">
        <f>F103/E103*100</f>
        <v>18.413764762636458</v>
      </c>
      <c r="H103" s="149">
        <f>H91-H97</f>
        <v>54.9</v>
      </c>
      <c r="I103" s="149">
        <f>I91-I97</f>
        <v>54.9</v>
      </c>
      <c r="J103" s="149">
        <v>0</v>
      </c>
      <c r="K103" s="149">
        <f>K91-K97</f>
        <v>452.7</v>
      </c>
      <c r="L103" s="149">
        <f>L91-L97</f>
        <v>452.7</v>
      </c>
      <c r="M103" s="149">
        <f t="shared" si="183"/>
        <v>100</v>
      </c>
      <c r="N103" s="149">
        <f>N91-N97</f>
        <v>553.60000000000014</v>
      </c>
      <c r="O103" s="149">
        <f>O91-O97</f>
        <v>523</v>
      </c>
      <c r="P103" s="149">
        <f t="shared" si="184"/>
        <v>94.472543352601136</v>
      </c>
      <c r="Q103" s="149">
        <f>Q91-Q97</f>
        <v>483.4</v>
      </c>
      <c r="R103" s="149">
        <f>R91-R97</f>
        <v>0</v>
      </c>
      <c r="S103" s="149">
        <f t="shared" si="185"/>
        <v>0</v>
      </c>
      <c r="T103" s="149">
        <f>T91-T97</f>
        <v>387.9</v>
      </c>
      <c r="U103" s="149">
        <f>U91-U97</f>
        <v>0</v>
      </c>
      <c r="V103" s="149">
        <f t="shared" si="186"/>
        <v>0</v>
      </c>
      <c r="W103" s="149">
        <f>W91-W97</f>
        <v>950</v>
      </c>
      <c r="X103" s="149">
        <f>X91-X97</f>
        <v>0</v>
      </c>
      <c r="Y103" s="149">
        <f t="shared" si="187"/>
        <v>0</v>
      </c>
      <c r="Z103" s="149">
        <f>Z91-Z97</f>
        <v>521.79999999999995</v>
      </c>
      <c r="AA103" s="149">
        <f>AA91-AA97</f>
        <v>0</v>
      </c>
      <c r="AB103" s="149">
        <f t="shared" si="188"/>
        <v>0</v>
      </c>
      <c r="AC103" s="149">
        <f>AC91-AC97</f>
        <v>549.29999999999995</v>
      </c>
      <c r="AD103" s="149">
        <f>AD91-AD97</f>
        <v>0</v>
      </c>
      <c r="AE103" s="149">
        <f t="shared" si="189"/>
        <v>0</v>
      </c>
      <c r="AF103" s="149">
        <f>AF91-AF97</f>
        <v>360.9</v>
      </c>
      <c r="AG103" s="149">
        <f>AG91-AG97</f>
        <v>0</v>
      </c>
      <c r="AH103" s="149">
        <f t="shared" si="190"/>
        <v>0</v>
      </c>
      <c r="AI103" s="149">
        <f>AI91-AI97</f>
        <v>329.2</v>
      </c>
      <c r="AJ103" s="149">
        <f>AJ91-AJ97</f>
        <v>0</v>
      </c>
      <c r="AK103" s="149">
        <f t="shared" si="191"/>
        <v>0</v>
      </c>
      <c r="AL103" s="149">
        <f>AL91-AL97</f>
        <v>378.3</v>
      </c>
      <c r="AM103" s="149">
        <f>AM91-AM97</f>
        <v>0</v>
      </c>
      <c r="AN103" s="149">
        <f t="shared" si="192"/>
        <v>0</v>
      </c>
      <c r="AO103" s="149">
        <f>AO91-AO97</f>
        <v>574.9</v>
      </c>
      <c r="AP103" s="149">
        <f>AP91-AP97</f>
        <v>0</v>
      </c>
      <c r="AQ103" s="227">
        <f t="shared" si="193"/>
        <v>0</v>
      </c>
      <c r="AR103" s="459"/>
      <c r="AS103" s="495"/>
      <c r="AT103" s="233"/>
      <c r="AU103" s="233"/>
      <c r="AV103" s="234"/>
    </row>
    <row r="104" spans="1:50" s="235" customFormat="1" ht="24">
      <c r="A104" s="494"/>
      <c r="B104" s="494"/>
      <c r="C104" s="494"/>
      <c r="D104" s="218" t="s">
        <v>462</v>
      </c>
      <c r="E104" s="149">
        <f>H104+K104+N104+Q104+T104+W104+Z104+AC104+AF104+AI104+AL104+AO104</f>
        <v>0</v>
      </c>
      <c r="F104" s="149">
        <f>I104+L104+O104+R104+U104+X104+AA104+AD104+AG104+AJ104+AM104+AP104</f>
        <v>0</v>
      </c>
      <c r="G104" s="149">
        <v>0</v>
      </c>
      <c r="H104" s="149">
        <v>0</v>
      </c>
      <c r="I104" s="149">
        <v>0</v>
      </c>
      <c r="J104" s="149">
        <v>0</v>
      </c>
      <c r="K104" s="252">
        <v>0</v>
      </c>
      <c r="L104" s="149">
        <v>0</v>
      </c>
      <c r="M104" s="149">
        <v>0</v>
      </c>
      <c r="N104" s="149">
        <v>0</v>
      </c>
      <c r="O104" s="149">
        <v>0</v>
      </c>
      <c r="P104" s="149">
        <v>0</v>
      </c>
      <c r="Q104" s="149">
        <v>0</v>
      </c>
      <c r="R104" s="149">
        <v>0</v>
      </c>
      <c r="S104" s="149">
        <v>0</v>
      </c>
      <c r="T104" s="226">
        <v>0</v>
      </c>
      <c r="U104" s="226">
        <v>0</v>
      </c>
      <c r="V104" s="149">
        <v>0</v>
      </c>
      <c r="W104" s="226">
        <v>0</v>
      </c>
      <c r="X104" s="226">
        <v>0</v>
      </c>
      <c r="Y104" s="226">
        <v>0</v>
      </c>
      <c r="Z104" s="226">
        <v>0</v>
      </c>
      <c r="AA104" s="226">
        <v>0</v>
      </c>
      <c r="AB104" s="226">
        <v>0</v>
      </c>
      <c r="AC104" s="226">
        <v>0</v>
      </c>
      <c r="AD104" s="226">
        <v>0</v>
      </c>
      <c r="AE104" s="226">
        <v>0</v>
      </c>
      <c r="AF104" s="226">
        <v>0</v>
      </c>
      <c r="AG104" s="226">
        <v>0</v>
      </c>
      <c r="AH104" s="149">
        <v>0</v>
      </c>
      <c r="AI104" s="149">
        <v>0</v>
      </c>
      <c r="AJ104" s="149">
        <v>0</v>
      </c>
      <c r="AK104" s="149">
        <v>0</v>
      </c>
      <c r="AL104" s="226">
        <v>0</v>
      </c>
      <c r="AM104" s="226">
        <v>0</v>
      </c>
      <c r="AN104" s="226">
        <v>0</v>
      </c>
      <c r="AO104" s="149">
        <v>0</v>
      </c>
      <c r="AP104" s="149">
        <v>0</v>
      </c>
      <c r="AQ104" s="149">
        <v>0</v>
      </c>
      <c r="AR104" s="459"/>
      <c r="AS104" s="495"/>
      <c r="AT104" s="233"/>
      <c r="AU104" s="233"/>
      <c r="AV104" s="234"/>
    </row>
    <row r="105" spans="1:50">
      <c r="A105" s="507" t="s">
        <v>37</v>
      </c>
      <c r="B105" s="507"/>
      <c r="C105" s="507"/>
      <c r="AR105" s="257"/>
    </row>
    <row r="106" spans="1:50" s="235" customFormat="1" ht="12.75" customHeight="1">
      <c r="A106" s="498" t="s">
        <v>502</v>
      </c>
      <c r="B106" s="499"/>
      <c r="C106" s="500"/>
      <c r="D106" s="143" t="s">
        <v>444</v>
      </c>
      <c r="E106" s="123">
        <f>E107+E108+E109</f>
        <v>241218.6</v>
      </c>
      <c r="F106" s="123">
        <f>F107+F108+F109</f>
        <v>50642.299999999996</v>
      </c>
      <c r="G106" s="123">
        <f>F106/E106*100</f>
        <v>20.994359473108624</v>
      </c>
      <c r="H106" s="123">
        <f t="shared" ref="H106:I106" si="207">H107+H108+H109</f>
        <v>15583.300000000001</v>
      </c>
      <c r="I106" s="123">
        <f t="shared" si="207"/>
        <v>15469.399999999998</v>
      </c>
      <c r="J106" s="123">
        <f>I106/H106*100</f>
        <v>99.269089345645639</v>
      </c>
      <c r="K106" s="123">
        <f t="shared" ref="K106:L106" si="208">K107+K108+K109</f>
        <v>18996.000000000004</v>
      </c>
      <c r="L106" s="123">
        <f t="shared" si="208"/>
        <v>18449.800000000003</v>
      </c>
      <c r="M106" s="123">
        <f>L106/K106*100</f>
        <v>97.124657822699518</v>
      </c>
      <c r="N106" s="123">
        <f t="shared" ref="N106:O106" si="209">N107+N108+N109</f>
        <v>21961.699999999997</v>
      </c>
      <c r="O106" s="123">
        <f t="shared" si="209"/>
        <v>16723.100000000002</v>
      </c>
      <c r="P106" s="123">
        <f>O106/N106*100</f>
        <v>76.146655313568644</v>
      </c>
      <c r="Q106" s="123">
        <f t="shared" ref="Q106:R106" si="210">Q107+Q108+Q109</f>
        <v>21229.600000000002</v>
      </c>
      <c r="R106" s="123">
        <f t="shared" si="210"/>
        <v>0</v>
      </c>
      <c r="S106" s="123">
        <f>R106/Q106*100</f>
        <v>0</v>
      </c>
      <c r="T106" s="123">
        <f t="shared" ref="T106:U106" si="211">T107+T108+T109</f>
        <v>19697.500000000004</v>
      </c>
      <c r="U106" s="123">
        <f t="shared" si="211"/>
        <v>0</v>
      </c>
      <c r="V106" s="123">
        <f>U106/T106*100</f>
        <v>0</v>
      </c>
      <c r="W106" s="123">
        <f t="shared" ref="W106:X106" si="212">W107+W108+W109</f>
        <v>20375.299999999996</v>
      </c>
      <c r="X106" s="123">
        <f t="shared" si="212"/>
        <v>0</v>
      </c>
      <c r="Y106" s="123">
        <f>X106/W106*100</f>
        <v>0</v>
      </c>
      <c r="Z106" s="123">
        <f t="shared" ref="Z106:AA106" si="213">Z107+Z108+Z109</f>
        <v>25057.100000000002</v>
      </c>
      <c r="AA106" s="123">
        <f t="shared" si="213"/>
        <v>0</v>
      </c>
      <c r="AB106" s="123">
        <f>AA106/Z106*100</f>
        <v>0</v>
      </c>
      <c r="AC106" s="123">
        <f t="shared" ref="AC106:AD106" si="214">AC107+AC108+AC109</f>
        <v>21197.500000000004</v>
      </c>
      <c r="AD106" s="123">
        <f t="shared" si="214"/>
        <v>0</v>
      </c>
      <c r="AE106" s="123">
        <f>AD106/AC106*100</f>
        <v>0</v>
      </c>
      <c r="AF106" s="123">
        <f t="shared" ref="AF106:AG106" si="215">AF107+AF108+AF109</f>
        <v>16160.000000000002</v>
      </c>
      <c r="AG106" s="123">
        <f t="shared" si="215"/>
        <v>0</v>
      </c>
      <c r="AH106" s="123">
        <f>AG106/AF106*100</f>
        <v>0</v>
      </c>
      <c r="AI106" s="123">
        <f t="shared" ref="AI106:AJ106" si="216">AI107+AI108+AI109</f>
        <v>15338.8</v>
      </c>
      <c r="AJ106" s="123">
        <f t="shared" si="216"/>
        <v>0</v>
      </c>
      <c r="AK106" s="123">
        <f>AJ106/AI106*100</f>
        <v>0</v>
      </c>
      <c r="AL106" s="123">
        <f t="shared" ref="AL106:AM106" si="217">AL107+AL108+AL109</f>
        <v>15292.899999999996</v>
      </c>
      <c r="AM106" s="123">
        <f t="shared" si="217"/>
        <v>0</v>
      </c>
      <c r="AN106" s="123">
        <f>AM106/AL106*100</f>
        <v>0</v>
      </c>
      <c r="AO106" s="123">
        <f t="shared" ref="AO106:AP106" si="218">AO107+AO108+AO109</f>
        <v>30328.9</v>
      </c>
      <c r="AP106" s="123">
        <f t="shared" si="218"/>
        <v>0</v>
      </c>
      <c r="AQ106" s="228">
        <f>AP106/AO106*100</f>
        <v>0</v>
      </c>
      <c r="AR106" s="459"/>
      <c r="AS106" s="495"/>
      <c r="AT106" s="233"/>
      <c r="AU106" s="233"/>
      <c r="AV106" s="234"/>
    </row>
    <row r="107" spans="1:50" s="235" customFormat="1" ht="48">
      <c r="A107" s="501"/>
      <c r="B107" s="502"/>
      <c r="C107" s="503"/>
      <c r="D107" s="220" t="s">
        <v>442</v>
      </c>
      <c r="E107" s="123">
        <f>H107+K107+N107+Q107+T107+W107+Z107+AC107+AF107+AI107+AL107+AO107</f>
        <v>21391.999999999996</v>
      </c>
      <c r="F107" s="123">
        <f>I107+L107+O107+R107+U107+X107+AA107+AD107+AG107+AJ107+AM107+AP107</f>
        <v>3374.5000000000005</v>
      </c>
      <c r="G107" s="123">
        <f>F107/E107*100</f>
        <v>15.774588631264027</v>
      </c>
      <c r="H107" s="123">
        <f>H100-H112-H118-H123-H128-H133-H138-H143</f>
        <v>805.8</v>
      </c>
      <c r="I107" s="123">
        <f>I100-I112-I118-I123-I128-I133-I138-I143</f>
        <v>614.6</v>
      </c>
      <c r="J107" s="123">
        <f t="shared" ref="J107:J108" si="219">I107/H107*100</f>
        <v>76.272027798461167</v>
      </c>
      <c r="K107" s="123">
        <f t="shared" ref="K107:L107" si="220">K100-K112-K118-K123-K128-K133-K138-K143</f>
        <v>1810.6000000000004</v>
      </c>
      <c r="L107" s="123">
        <f t="shared" si="220"/>
        <v>985.5</v>
      </c>
      <c r="M107" s="123">
        <f t="shared" ref="M107:M109" si="221">L107/K107*100</f>
        <v>54.429470893626409</v>
      </c>
      <c r="N107" s="123">
        <f t="shared" ref="N107:O107" si="222">N100-N112-N118-N123-N128-N133-N138-N143</f>
        <v>2085.3999999999996</v>
      </c>
      <c r="O107" s="123">
        <f t="shared" si="222"/>
        <v>1774.4000000000005</v>
      </c>
      <c r="P107" s="123">
        <f t="shared" ref="P107:P109" si="223">O107/N107*100</f>
        <v>85.0867939004508</v>
      </c>
      <c r="Q107" s="123">
        <f t="shared" ref="Q107:R107" si="224">Q100-Q112-Q118-Q123-Q128-Q133-Q138-Q143</f>
        <v>1844.4999999999995</v>
      </c>
      <c r="R107" s="123">
        <f t="shared" si="224"/>
        <v>0</v>
      </c>
      <c r="S107" s="123">
        <f t="shared" ref="S107:S109" si="225">R107/Q107*100</f>
        <v>0</v>
      </c>
      <c r="T107" s="123">
        <f t="shared" ref="T107:U107" si="226">T100-T112-T118-T123-T128-T133-T138-T143</f>
        <v>2422</v>
      </c>
      <c r="U107" s="123">
        <f t="shared" si="226"/>
        <v>0</v>
      </c>
      <c r="V107" s="123">
        <f t="shared" ref="V107:V109" si="227">U107/T107*100</f>
        <v>0</v>
      </c>
      <c r="W107" s="123">
        <f t="shared" ref="W107:X107" si="228">W100-W112-W118-W123-W128-W133-W138-W143</f>
        <v>1160.5000000000007</v>
      </c>
      <c r="X107" s="123">
        <f t="shared" si="228"/>
        <v>0</v>
      </c>
      <c r="Y107" s="123">
        <f t="shared" ref="Y107:Y109" si="229">X107/W107*100</f>
        <v>0</v>
      </c>
      <c r="Z107" s="123">
        <f t="shared" ref="Z107:AA107" si="230">Z100-Z112-Z118-Z123-Z128-Z133-Z138-Z143</f>
        <v>2103.7999999999993</v>
      </c>
      <c r="AA107" s="123">
        <f t="shared" si="230"/>
        <v>0</v>
      </c>
      <c r="AB107" s="123">
        <f t="shared" ref="AB107:AB109" si="231">AA107/Z107*100</f>
        <v>0</v>
      </c>
      <c r="AC107" s="123">
        <f t="shared" ref="AC107:AD107" si="232">AC100-AC112-AC118-AC123-AC128-AC133-AC138-AC143</f>
        <v>2428.1000000000004</v>
      </c>
      <c r="AD107" s="123">
        <f t="shared" si="232"/>
        <v>0</v>
      </c>
      <c r="AE107" s="123">
        <f t="shared" ref="AE107:AE109" si="233">AD107/AC107*100</f>
        <v>0</v>
      </c>
      <c r="AF107" s="123">
        <f t="shared" ref="AF107:AG107" si="234">AF100-AF112-AF118-AF123-AF128-AF133-AF138-AF143</f>
        <v>522.59999999999911</v>
      </c>
      <c r="AG107" s="123">
        <f t="shared" si="234"/>
        <v>0</v>
      </c>
      <c r="AH107" s="123">
        <f t="shared" ref="AH107:AH109" si="235">AG107/AF107*100</f>
        <v>0</v>
      </c>
      <c r="AI107" s="123">
        <f t="shared" ref="AI107:AJ107" si="236">AI100-AI112-AI118-AI123-AI128-AI133-AI138-AI143</f>
        <v>1639.1000000000006</v>
      </c>
      <c r="AJ107" s="123">
        <f t="shared" si="236"/>
        <v>0</v>
      </c>
      <c r="AK107" s="123">
        <f t="shared" ref="AK107:AK109" si="237">AJ107/AI107*100</f>
        <v>0</v>
      </c>
      <c r="AL107" s="123">
        <f t="shared" ref="AL107:AM107" si="238">AL100-AL112-AL118-AL123-AL128-AL133-AL138-AL143</f>
        <v>1347.9999999999998</v>
      </c>
      <c r="AM107" s="123">
        <f t="shared" si="238"/>
        <v>0</v>
      </c>
      <c r="AN107" s="123">
        <f t="shared" ref="AN107:AN109" si="239">AM107/AL107*100</f>
        <v>0</v>
      </c>
      <c r="AO107" s="123">
        <f t="shared" ref="AO107:AP107" si="240">AO100-AO112-AO118-AO123-AO128-AO133-AO138-AO143</f>
        <v>3221.6</v>
      </c>
      <c r="AP107" s="123">
        <f t="shared" si="240"/>
        <v>0</v>
      </c>
      <c r="AQ107" s="228">
        <f t="shared" ref="AQ107:AQ109" si="241">AP107/AO107*100</f>
        <v>0</v>
      </c>
      <c r="AR107" s="459"/>
      <c r="AS107" s="495"/>
      <c r="AT107" s="233"/>
      <c r="AU107" s="233"/>
      <c r="AV107" s="234"/>
    </row>
    <row r="108" spans="1:50" s="235" customFormat="1" ht="12.75">
      <c r="A108" s="501"/>
      <c r="B108" s="502"/>
      <c r="C108" s="503"/>
      <c r="D108" s="220" t="s">
        <v>457</v>
      </c>
      <c r="E108" s="123">
        <f t="shared" ref="E108:F109" si="242">H108+K108+N108+Q108+T108+W108+Z108+AC108+AF108+AI108+AL108+AO108</f>
        <v>214229.7</v>
      </c>
      <c r="F108" s="123">
        <f t="shared" si="242"/>
        <v>46237.2</v>
      </c>
      <c r="G108" s="123">
        <f>F108/E108*100</f>
        <v>21.583001796669645</v>
      </c>
      <c r="H108" s="123">
        <f>H101-H113-H119-H124-H129-H134-H139-H144</f>
        <v>14722.600000000002</v>
      </c>
      <c r="I108" s="123">
        <f>I101-I113-I119-I124-I129-I134-I139-I144</f>
        <v>14799.899999999998</v>
      </c>
      <c r="J108" s="123">
        <f t="shared" si="219"/>
        <v>100.52504313096868</v>
      </c>
      <c r="K108" s="123">
        <f t="shared" ref="K108:L108" si="243">K101-K113-K119-K124-K129-K134-K139-K144</f>
        <v>16732.7</v>
      </c>
      <c r="L108" s="123">
        <f t="shared" si="243"/>
        <v>17011.600000000002</v>
      </c>
      <c r="M108" s="123">
        <f t="shared" si="221"/>
        <v>101.6667961536393</v>
      </c>
      <c r="N108" s="123">
        <f t="shared" ref="N108:O108" si="244">N101-N113-N119-N124-N129-N134-N139-N144</f>
        <v>19322.699999999997</v>
      </c>
      <c r="O108" s="123">
        <f t="shared" si="244"/>
        <v>14425.7</v>
      </c>
      <c r="P108" s="123">
        <f t="shared" si="223"/>
        <v>74.656750868149913</v>
      </c>
      <c r="Q108" s="123">
        <f t="shared" ref="Q108:R108" si="245">Q101-Q113-Q119-Q124-Q129-Q134-Q139-Q144</f>
        <v>18901.7</v>
      </c>
      <c r="R108" s="123">
        <f t="shared" si="245"/>
        <v>0</v>
      </c>
      <c r="S108" s="123">
        <f t="shared" si="225"/>
        <v>0</v>
      </c>
      <c r="T108" s="123">
        <f t="shared" ref="T108:U108" si="246">T101-T113-T119-T124-T129-T134-T139-T144</f>
        <v>16887.600000000002</v>
      </c>
      <c r="U108" s="123">
        <f t="shared" si="246"/>
        <v>0</v>
      </c>
      <c r="V108" s="123">
        <f t="shared" si="227"/>
        <v>0</v>
      </c>
      <c r="W108" s="123">
        <f t="shared" ref="W108:X108" si="247">W101-W113-W119-W124-W129-W134-W139-W144</f>
        <v>18264.799999999996</v>
      </c>
      <c r="X108" s="123">
        <f t="shared" si="247"/>
        <v>0</v>
      </c>
      <c r="Y108" s="123">
        <f t="shared" si="229"/>
        <v>0</v>
      </c>
      <c r="Z108" s="123">
        <f t="shared" ref="Z108:AA108" si="248">Z101-Z113-Z119-Z124-Z129-Z134-Z139-Z144</f>
        <v>22431.500000000004</v>
      </c>
      <c r="AA108" s="123">
        <f t="shared" si="248"/>
        <v>0</v>
      </c>
      <c r="AB108" s="123">
        <f t="shared" si="231"/>
        <v>0</v>
      </c>
      <c r="AC108" s="123">
        <f t="shared" ref="AC108:AD108" si="249">AC101-AC113-AC119-AC124-AC129-AC134-AC139-AC144</f>
        <v>18220.100000000002</v>
      </c>
      <c r="AD108" s="123">
        <f t="shared" si="249"/>
        <v>0</v>
      </c>
      <c r="AE108" s="123">
        <f t="shared" si="233"/>
        <v>0</v>
      </c>
      <c r="AF108" s="123">
        <f t="shared" ref="AF108:AG108" si="250">AF101-AF113-AF119-AF124-AF129-AF134-AF139-AF144</f>
        <v>15276.500000000004</v>
      </c>
      <c r="AG108" s="123">
        <f t="shared" si="250"/>
        <v>0</v>
      </c>
      <c r="AH108" s="123">
        <f t="shared" si="235"/>
        <v>0</v>
      </c>
      <c r="AI108" s="123">
        <f t="shared" ref="AI108:AJ108" si="251">AI101-AI113-AI119-AI124-AI129-AI134-AI139-AI144</f>
        <v>13370.499999999998</v>
      </c>
      <c r="AJ108" s="123">
        <f t="shared" si="251"/>
        <v>0</v>
      </c>
      <c r="AK108" s="123">
        <f t="shared" si="237"/>
        <v>0</v>
      </c>
      <c r="AL108" s="123">
        <f t="shared" ref="AL108:AM108" si="252">AL101-AL113-AL119-AL124-AL129-AL134-AL139-AL144</f>
        <v>13566.599999999997</v>
      </c>
      <c r="AM108" s="123">
        <f t="shared" si="252"/>
        <v>0</v>
      </c>
      <c r="AN108" s="123">
        <f t="shared" si="239"/>
        <v>0</v>
      </c>
      <c r="AO108" s="123">
        <f t="shared" ref="AO108:AP108" si="253">AO101-AO113-AO119-AO124-AO129-AO134-AO139-AO144</f>
        <v>26532.400000000001</v>
      </c>
      <c r="AP108" s="123">
        <f t="shared" si="253"/>
        <v>0</v>
      </c>
      <c r="AQ108" s="228">
        <f t="shared" si="241"/>
        <v>0</v>
      </c>
      <c r="AR108" s="459"/>
      <c r="AS108" s="495"/>
      <c r="AT108" s="233"/>
      <c r="AU108" s="233"/>
      <c r="AV108" s="234"/>
    </row>
    <row r="109" spans="1:50" s="235" customFormat="1" ht="24">
      <c r="A109" s="501"/>
      <c r="B109" s="502"/>
      <c r="C109" s="503"/>
      <c r="D109" s="143" t="s">
        <v>257</v>
      </c>
      <c r="E109" s="123">
        <f t="shared" si="242"/>
        <v>5596.9</v>
      </c>
      <c r="F109" s="123">
        <f t="shared" si="242"/>
        <v>1030.5999999999999</v>
      </c>
      <c r="G109" s="123">
        <f>F109/E109*100</f>
        <v>18.413764762636458</v>
      </c>
      <c r="H109" s="123">
        <f>H103-H115-H125-H130-H135-H140-H145</f>
        <v>54.9</v>
      </c>
      <c r="I109" s="123">
        <f>I103-I115-I125-I130-I135-I140-I145</f>
        <v>54.9</v>
      </c>
      <c r="J109" s="123">
        <v>0</v>
      </c>
      <c r="K109" s="123">
        <f t="shared" ref="K109:L109" si="254">K103-K115-K125-K130-K135-K140-K145</f>
        <v>452.7</v>
      </c>
      <c r="L109" s="123">
        <f t="shared" si="254"/>
        <v>452.7</v>
      </c>
      <c r="M109" s="123">
        <f t="shared" si="221"/>
        <v>100</v>
      </c>
      <c r="N109" s="123">
        <f t="shared" ref="N109:O109" si="255">N103-N115-N125-N130-N135-N140-N145</f>
        <v>553.60000000000014</v>
      </c>
      <c r="O109" s="123">
        <f t="shared" si="255"/>
        <v>523</v>
      </c>
      <c r="P109" s="123">
        <f t="shared" si="223"/>
        <v>94.472543352601136</v>
      </c>
      <c r="Q109" s="123">
        <f t="shared" ref="Q109:R109" si="256">Q103-Q115-Q125-Q130-Q135-Q140-Q145</f>
        <v>483.4</v>
      </c>
      <c r="R109" s="123">
        <f t="shared" si="256"/>
        <v>0</v>
      </c>
      <c r="S109" s="123">
        <f t="shared" si="225"/>
        <v>0</v>
      </c>
      <c r="T109" s="123">
        <f t="shared" ref="T109:U109" si="257">T103-T115-T125-T130-T135-T140-T145</f>
        <v>387.9</v>
      </c>
      <c r="U109" s="123">
        <f t="shared" si="257"/>
        <v>0</v>
      </c>
      <c r="V109" s="123">
        <f t="shared" si="227"/>
        <v>0</v>
      </c>
      <c r="W109" s="123">
        <f t="shared" ref="W109:X109" si="258">W103-W115-W125-W130-W135-W140-W145</f>
        <v>950</v>
      </c>
      <c r="X109" s="123">
        <f t="shared" si="258"/>
        <v>0</v>
      </c>
      <c r="Y109" s="123">
        <f t="shared" si="229"/>
        <v>0</v>
      </c>
      <c r="Z109" s="123">
        <f t="shared" ref="Z109:AA109" si="259">Z103-Z115-Z125-Z130-Z135-Z140-Z145</f>
        <v>521.79999999999995</v>
      </c>
      <c r="AA109" s="123">
        <f t="shared" si="259"/>
        <v>0</v>
      </c>
      <c r="AB109" s="123">
        <f t="shared" si="231"/>
        <v>0</v>
      </c>
      <c r="AC109" s="123">
        <f t="shared" ref="AC109:AD109" si="260">AC103-AC115-AC125-AC130-AC135-AC140-AC145</f>
        <v>549.29999999999995</v>
      </c>
      <c r="AD109" s="123">
        <f t="shared" si="260"/>
        <v>0</v>
      </c>
      <c r="AE109" s="123">
        <f t="shared" si="233"/>
        <v>0</v>
      </c>
      <c r="AF109" s="123">
        <f t="shared" ref="AF109:AG109" si="261">AF103-AF115-AF125-AF130-AF135-AF140-AF145</f>
        <v>360.9</v>
      </c>
      <c r="AG109" s="123">
        <f t="shared" si="261"/>
        <v>0</v>
      </c>
      <c r="AH109" s="123">
        <f t="shared" si="235"/>
        <v>0</v>
      </c>
      <c r="AI109" s="123">
        <f t="shared" ref="AI109:AJ109" si="262">AI103-AI115-AI125-AI130-AI135-AI140-AI145</f>
        <v>329.2</v>
      </c>
      <c r="AJ109" s="123">
        <f t="shared" si="262"/>
        <v>0</v>
      </c>
      <c r="AK109" s="123">
        <f t="shared" si="237"/>
        <v>0</v>
      </c>
      <c r="AL109" s="123">
        <f t="shared" ref="AL109:AM109" si="263">AL103-AL115-AL125-AL130-AL135-AL140-AL145</f>
        <v>378.3</v>
      </c>
      <c r="AM109" s="123">
        <f t="shared" si="263"/>
        <v>0</v>
      </c>
      <c r="AN109" s="123">
        <f t="shared" si="239"/>
        <v>0</v>
      </c>
      <c r="AO109" s="123">
        <f t="shared" ref="AO109:AP109" si="264">AO103-AO115-AO125-AO130-AO135-AO140-AO145</f>
        <v>574.9</v>
      </c>
      <c r="AP109" s="123">
        <f t="shared" si="264"/>
        <v>0</v>
      </c>
      <c r="AQ109" s="228">
        <f t="shared" si="241"/>
        <v>0</v>
      </c>
      <c r="AR109" s="459"/>
      <c r="AS109" s="495"/>
      <c r="AT109" s="233"/>
      <c r="AU109" s="233"/>
      <c r="AV109" s="234"/>
    </row>
    <row r="110" spans="1:50" s="235" customFormat="1" ht="24">
      <c r="A110" s="504"/>
      <c r="B110" s="505"/>
      <c r="C110" s="506"/>
      <c r="D110" s="143" t="s">
        <v>462</v>
      </c>
      <c r="E110" s="123">
        <f>H110+K110+N110+Q110+T110+W110+Z110+AC110+AF110+AI110+AL110+AO110</f>
        <v>0</v>
      </c>
      <c r="F110" s="123">
        <f>I110+L110+O110+R110+U110+X110+AA110+AD110+AG110+AJ110+AM110+AP110</f>
        <v>0</v>
      </c>
      <c r="G110" s="123">
        <v>0</v>
      </c>
      <c r="H110" s="123">
        <v>0</v>
      </c>
      <c r="I110" s="123">
        <v>0</v>
      </c>
      <c r="J110" s="123">
        <v>0</v>
      </c>
      <c r="K110" s="132">
        <v>0</v>
      </c>
      <c r="L110" s="123">
        <v>0</v>
      </c>
      <c r="M110" s="123">
        <v>0</v>
      </c>
      <c r="N110" s="123">
        <v>0</v>
      </c>
      <c r="O110" s="123">
        <v>0</v>
      </c>
      <c r="P110" s="123">
        <v>0</v>
      </c>
      <c r="Q110" s="123">
        <v>0</v>
      </c>
      <c r="R110" s="123">
        <v>0</v>
      </c>
      <c r="S110" s="123">
        <v>0</v>
      </c>
      <c r="T110" s="117">
        <v>0</v>
      </c>
      <c r="U110" s="117">
        <v>0</v>
      </c>
      <c r="V110" s="123">
        <v>0</v>
      </c>
      <c r="W110" s="117">
        <v>0</v>
      </c>
      <c r="X110" s="117">
        <v>0</v>
      </c>
      <c r="Y110" s="117">
        <v>0</v>
      </c>
      <c r="Z110" s="117">
        <v>0</v>
      </c>
      <c r="AA110" s="117">
        <v>0</v>
      </c>
      <c r="AB110" s="117">
        <v>0</v>
      </c>
      <c r="AC110" s="117">
        <v>0</v>
      </c>
      <c r="AD110" s="117">
        <v>0</v>
      </c>
      <c r="AE110" s="117">
        <v>0</v>
      </c>
      <c r="AF110" s="117">
        <v>0</v>
      </c>
      <c r="AG110" s="117">
        <v>0</v>
      </c>
      <c r="AH110" s="123">
        <v>0</v>
      </c>
      <c r="AI110" s="123">
        <v>0</v>
      </c>
      <c r="AJ110" s="123">
        <v>0</v>
      </c>
      <c r="AK110" s="123">
        <v>0</v>
      </c>
      <c r="AL110" s="117">
        <v>0</v>
      </c>
      <c r="AM110" s="117">
        <v>0</v>
      </c>
      <c r="AN110" s="117">
        <v>0</v>
      </c>
      <c r="AO110" s="123">
        <v>0</v>
      </c>
      <c r="AP110" s="123">
        <v>0</v>
      </c>
      <c r="AQ110" s="123">
        <v>0</v>
      </c>
      <c r="AR110" s="459"/>
      <c r="AS110" s="495"/>
      <c r="AT110" s="233"/>
      <c r="AU110" s="233"/>
      <c r="AV110" s="234"/>
    </row>
    <row r="111" spans="1:50" s="235" customFormat="1" ht="12.75" customHeight="1">
      <c r="A111" s="498" t="s">
        <v>479</v>
      </c>
      <c r="B111" s="499"/>
      <c r="C111" s="500"/>
      <c r="D111" s="143" t="s">
        <v>444</v>
      </c>
      <c r="E111" s="123">
        <f>E112+E113+E115</f>
        <v>90794.6</v>
      </c>
      <c r="F111" s="123">
        <f>F112+F113+F115</f>
        <v>18104.600000000002</v>
      </c>
      <c r="G111" s="123">
        <f>F111/E111*100</f>
        <v>19.940172653439745</v>
      </c>
      <c r="H111" s="123">
        <f t="shared" ref="H111:I111" si="265">H112+H113+H115</f>
        <v>1539.8</v>
      </c>
      <c r="I111" s="123">
        <f t="shared" si="265"/>
        <v>1446.2</v>
      </c>
      <c r="J111" s="123">
        <f>I111/H111*100</f>
        <v>93.921288479023261</v>
      </c>
      <c r="K111" s="123">
        <f t="shared" ref="K111:L111" si="266">K112+K113+K115</f>
        <v>11048.800000000001</v>
      </c>
      <c r="L111" s="123">
        <f t="shared" si="266"/>
        <v>10663.3</v>
      </c>
      <c r="M111" s="123">
        <f>L111/K111*100</f>
        <v>96.510933314025038</v>
      </c>
      <c r="N111" s="123">
        <f t="shared" ref="N111:O111" si="267">N112+N113+N115</f>
        <v>8661.5</v>
      </c>
      <c r="O111" s="123">
        <f t="shared" si="267"/>
        <v>5995.1</v>
      </c>
      <c r="P111" s="123">
        <f>O111/N111*100</f>
        <v>69.215493852104146</v>
      </c>
      <c r="Q111" s="123">
        <f t="shared" ref="Q111:R111" si="268">Q112+Q113+Q115</f>
        <v>8662.0999999999985</v>
      </c>
      <c r="R111" s="123">
        <f t="shared" si="268"/>
        <v>0</v>
      </c>
      <c r="S111" s="123">
        <f>R111/Q111*100</f>
        <v>0</v>
      </c>
      <c r="T111" s="123">
        <f t="shared" ref="T111:U111" si="269">T112+T113+T115</f>
        <v>8492.1999999999989</v>
      </c>
      <c r="U111" s="123">
        <f t="shared" si="269"/>
        <v>0</v>
      </c>
      <c r="V111" s="123">
        <f>U111/T111*100</f>
        <v>0</v>
      </c>
      <c r="W111" s="123">
        <f t="shared" ref="W111:X111" si="270">W112+W113+W115</f>
        <v>8992.4</v>
      </c>
      <c r="X111" s="123">
        <f t="shared" si="270"/>
        <v>0</v>
      </c>
      <c r="Y111" s="123">
        <f>X111/W111*100</f>
        <v>0</v>
      </c>
      <c r="Z111" s="123">
        <f t="shared" ref="Z111:AA111" si="271">Z112+Z113+Z115</f>
        <v>7490.2</v>
      </c>
      <c r="AA111" s="123">
        <f t="shared" si="271"/>
        <v>0</v>
      </c>
      <c r="AB111" s="123">
        <f>AA111/Z111*100</f>
        <v>0</v>
      </c>
      <c r="AC111" s="123">
        <f t="shared" ref="AC111:AD111" si="272">AC112+AC113+AC115</f>
        <v>7179.6999999999989</v>
      </c>
      <c r="AD111" s="123">
        <f t="shared" si="272"/>
        <v>0</v>
      </c>
      <c r="AE111" s="123">
        <f>AD111/AC111*100</f>
        <v>0</v>
      </c>
      <c r="AF111" s="123">
        <f t="shared" ref="AF111:AG111" si="273">AF112+AF113+AF115</f>
        <v>7127.4</v>
      </c>
      <c r="AG111" s="123">
        <f t="shared" si="273"/>
        <v>0</v>
      </c>
      <c r="AH111" s="123">
        <f>AG111/AF111*100</f>
        <v>0</v>
      </c>
      <c r="AI111" s="123">
        <f t="shared" ref="AI111:AJ111" si="274">AI112+AI113+AI115</f>
        <v>7748.7999999999993</v>
      </c>
      <c r="AJ111" s="123">
        <f t="shared" si="274"/>
        <v>0</v>
      </c>
      <c r="AK111" s="123">
        <f>AJ111/AI111*100</f>
        <v>0</v>
      </c>
      <c r="AL111" s="123">
        <f t="shared" ref="AL111:AM111" si="275">AL112+AL113+AL115</f>
        <v>7148.2</v>
      </c>
      <c r="AM111" s="123">
        <f t="shared" si="275"/>
        <v>0</v>
      </c>
      <c r="AN111" s="123">
        <f>AM111/AL111*100</f>
        <v>0</v>
      </c>
      <c r="AO111" s="123">
        <f t="shared" ref="AO111:AP111" si="276">AO112+AO113+AO115</f>
        <v>6703.5</v>
      </c>
      <c r="AP111" s="123">
        <f t="shared" si="276"/>
        <v>0</v>
      </c>
      <c r="AQ111" s="228">
        <f>AP111/AO111*100</f>
        <v>0</v>
      </c>
      <c r="AR111" s="459"/>
      <c r="AS111" s="495"/>
      <c r="AT111" s="233"/>
      <c r="AU111" s="233"/>
      <c r="AV111" s="234"/>
    </row>
    <row r="112" spans="1:50" s="235" customFormat="1" ht="48">
      <c r="A112" s="501"/>
      <c r="B112" s="502"/>
      <c r="C112" s="503"/>
      <c r="D112" s="220" t="s">
        <v>442</v>
      </c>
      <c r="E112" s="123">
        <f>H112+K112+N112+Q112+T112+W112+Z112+AC112+AF112+AI112+AL112+AO112</f>
        <v>2547.0999999999995</v>
      </c>
      <c r="F112" s="123">
        <f>I112+L112+O112+R112+U112+X112+AA112+AD112+AG112+AJ112+AM112+AP112</f>
        <v>317.8</v>
      </c>
      <c r="G112" s="123">
        <f>F112/E112*100</f>
        <v>12.476934553021087</v>
      </c>
      <c r="H112" s="123">
        <f>H24</f>
        <v>0</v>
      </c>
      <c r="I112" s="123">
        <f>I24</f>
        <v>0</v>
      </c>
      <c r="J112" s="123">
        <v>0</v>
      </c>
      <c r="K112" s="123">
        <f>112+88.9</f>
        <v>200.9</v>
      </c>
      <c r="L112" s="123">
        <f>47.9+88.9</f>
        <v>136.80000000000001</v>
      </c>
      <c r="M112" s="123">
        <f>L112/K112*100</f>
        <v>68.093578894972623</v>
      </c>
      <c r="N112" s="123">
        <f>112+222</f>
        <v>334</v>
      </c>
      <c r="O112" s="123">
        <f>92.9+88.1</f>
        <v>181</v>
      </c>
      <c r="P112" s="123">
        <f>O112/N112*100</f>
        <v>54.191616766467064</v>
      </c>
      <c r="Q112" s="123">
        <f>119+126.8</f>
        <v>245.8</v>
      </c>
      <c r="R112" s="123">
        <v>0</v>
      </c>
      <c r="S112" s="123">
        <f>R112/Q112*100</f>
        <v>0</v>
      </c>
      <c r="T112" s="123">
        <f>132+125.9</f>
        <v>257.89999999999998</v>
      </c>
      <c r="U112" s="123">
        <v>0</v>
      </c>
      <c r="V112" s="123">
        <f>U112/T112*100</f>
        <v>0</v>
      </c>
      <c r="W112" s="123">
        <f>132+124.9</f>
        <v>256.89999999999998</v>
      </c>
      <c r="X112" s="123">
        <v>0</v>
      </c>
      <c r="Y112" s="123">
        <f>X112/W112*100</f>
        <v>0</v>
      </c>
      <c r="Z112" s="123">
        <f>128.2+78.4</f>
        <v>206.6</v>
      </c>
      <c r="AA112" s="123">
        <v>0</v>
      </c>
      <c r="AB112" s="123">
        <f t="shared" ref="AB112" si="277">AA112/Z112*100</f>
        <v>0</v>
      </c>
      <c r="AC112" s="123">
        <f>111.5+78.4</f>
        <v>189.9</v>
      </c>
      <c r="AD112" s="123">
        <v>0</v>
      </c>
      <c r="AE112" s="123">
        <f t="shared" ref="AE112" si="278">AD112/AC112*100</f>
        <v>0</v>
      </c>
      <c r="AF112" s="123">
        <f>105+78.3</f>
        <v>183.3</v>
      </c>
      <c r="AG112" s="123">
        <v>0</v>
      </c>
      <c r="AH112" s="123">
        <f t="shared" ref="AH112" si="279">AG112/AF112*100</f>
        <v>0</v>
      </c>
      <c r="AI112" s="123">
        <f>98+126.9</f>
        <v>224.9</v>
      </c>
      <c r="AJ112" s="123">
        <v>0</v>
      </c>
      <c r="AK112" s="123">
        <f>AJ112/AI112*100</f>
        <v>0</v>
      </c>
      <c r="AL112" s="123">
        <f>81.8+133.4</f>
        <v>215.2</v>
      </c>
      <c r="AM112" s="123">
        <v>0</v>
      </c>
      <c r="AN112" s="123">
        <f>AM112/AL112*100</f>
        <v>0</v>
      </c>
      <c r="AO112" s="123">
        <f>0+231.7</f>
        <v>231.7</v>
      </c>
      <c r="AP112" s="123">
        <v>0</v>
      </c>
      <c r="AQ112" s="228">
        <f>AP112/AO112*100</f>
        <v>0</v>
      </c>
      <c r="AR112" s="459"/>
      <c r="AS112" s="495"/>
      <c r="AT112" s="233"/>
      <c r="AU112" s="233"/>
      <c r="AV112" s="234"/>
    </row>
    <row r="113" spans="1:50" s="235" customFormat="1" ht="12.75">
      <c r="A113" s="501"/>
      <c r="B113" s="502"/>
      <c r="C113" s="503"/>
      <c r="D113" s="220" t="s">
        <v>457</v>
      </c>
      <c r="E113" s="123">
        <f>H113+K113+N113+Q113+T113+W113+Z113+AC113+AF113+AI113+AL113+AO113</f>
        <v>88247.5</v>
      </c>
      <c r="F113" s="123">
        <f t="shared" ref="E113:F115" si="280">I113+L113+O113+R113+U113+X113+AA113+AD113+AG113+AJ113+AM113+AP113</f>
        <v>17786.800000000003</v>
      </c>
      <c r="G113" s="123">
        <f>F113/E113*100</f>
        <v>20.155585144055078</v>
      </c>
      <c r="H113" s="123">
        <f>1436.8+103</f>
        <v>1539.8</v>
      </c>
      <c r="I113" s="123">
        <f>1436.8+9.4</f>
        <v>1446.2</v>
      </c>
      <c r="J113" s="123">
        <f t="shared" ref="J113" si="281">I113/H113*100</f>
        <v>93.921288479023261</v>
      </c>
      <c r="K113" s="123">
        <f>10372.2+475.7</f>
        <v>10847.900000000001</v>
      </c>
      <c r="L113" s="123">
        <f>10372.2+154.3</f>
        <v>10526.5</v>
      </c>
      <c r="M113" s="123">
        <f t="shared" ref="M113" si="282">L113/K113*100</f>
        <v>97.037214576093049</v>
      </c>
      <c r="N113" s="123">
        <f>7853.8+473.7</f>
        <v>8327.5</v>
      </c>
      <c r="O113" s="123">
        <f>5557.6+256.5</f>
        <v>5814.1</v>
      </c>
      <c r="P113" s="123">
        <f t="shared" ref="P113" si="283">O113/N113*100</f>
        <v>69.818072650855598</v>
      </c>
      <c r="Q113" s="123">
        <f>8205+211.3</f>
        <v>8416.2999999999993</v>
      </c>
      <c r="R113" s="123">
        <v>0</v>
      </c>
      <c r="S113" s="123">
        <f t="shared" ref="S113" si="284">R113/Q113*100</f>
        <v>0</v>
      </c>
      <c r="T113" s="123">
        <f>7958.9+275.4</f>
        <v>8234.2999999999993</v>
      </c>
      <c r="U113" s="123">
        <v>0</v>
      </c>
      <c r="V113" s="123">
        <f t="shared" ref="V113" si="285">U113/T113*100</f>
        <v>0</v>
      </c>
      <c r="W113" s="123">
        <f>8423.9+311.6</f>
        <v>8735.5</v>
      </c>
      <c r="X113" s="123">
        <v>0</v>
      </c>
      <c r="Y113" s="123">
        <f t="shared" ref="Y113" si="286">X113/W113*100</f>
        <v>0</v>
      </c>
      <c r="Z113" s="123">
        <f>7008.2+275.4</f>
        <v>7283.5999999999995</v>
      </c>
      <c r="AA113" s="123">
        <v>0</v>
      </c>
      <c r="AB113" s="123">
        <f>AB25</f>
        <v>0</v>
      </c>
      <c r="AC113" s="123">
        <f>6714.4+275.4</f>
        <v>6989.7999999999993</v>
      </c>
      <c r="AD113" s="123">
        <v>0</v>
      </c>
      <c r="AE113" s="123">
        <f t="shared" ref="AE113:AK113" si="287">AE25</f>
        <v>0</v>
      </c>
      <c r="AF113" s="123">
        <f>6668.7+275.4</f>
        <v>6944.0999999999995</v>
      </c>
      <c r="AG113" s="123">
        <v>0</v>
      </c>
      <c r="AH113" s="123">
        <f t="shared" si="287"/>
        <v>0</v>
      </c>
      <c r="AI113" s="123">
        <f>7248.5+275.4</f>
        <v>7523.9</v>
      </c>
      <c r="AJ113" s="123">
        <v>0</v>
      </c>
      <c r="AK113" s="123">
        <f t="shared" si="287"/>
        <v>0</v>
      </c>
      <c r="AL113" s="123">
        <f>6846+87</f>
        <v>6933</v>
      </c>
      <c r="AM113" s="123">
        <v>0</v>
      </c>
      <c r="AN113" s="123">
        <f>AM113/AL113*100</f>
        <v>0</v>
      </c>
      <c r="AO113" s="123">
        <v>6471.8</v>
      </c>
      <c r="AP113" s="123">
        <v>0</v>
      </c>
      <c r="AQ113" s="228">
        <f>AP113/AO113*100</f>
        <v>0</v>
      </c>
      <c r="AR113" s="459"/>
      <c r="AS113" s="495"/>
      <c r="AT113" s="233"/>
      <c r="AU113" s="233"/>
      <c r="AV113" s="234"/>
    </row>
    <row r="114" spans="1:50" s="236" customFormat="1" ht="36">
      <c r="A114" s="501"/>
      <c r="B114" s="502"/>
      <c r="C114" s="503"/>
      <c r="D114" s="224" t="s">
        <v>452</v>
      </c>
      <c r="E114" s="229">
        <f t="shared" si="280"/>
        <v>0</v>
      </c>
      <c r="F114" s="229">
        <f t="shared" si="280"/>
        <v>0</v>
      </c>
      <c r="G114" s="229">
        <v>0</v>
      </c>
      <c r="H114" s="229">
        <v>0</v>
      </c>
      <c r="I114" s="229">
        <v>0</v>
      </c>
      <c r="J114" s="229">
        <v>0</v>
      </c>
      <c r="K114" s="229">
        <v>0</v>
      </c>
      <c r="L114" s="229">
        <v>0</v>
      </c>
      <c r="M114" s="229">
        <v>0</v>
      </c>
      <c r="N114" s="229">
        <v>0</v>
      </c>
      <c r="O114" s="229">
        <v>0</v>
      </c>
      <c r="P114" s="229">
        <v>0</v>
      </c>
      <c r="Q114" s="229">
        <v>0</v>
      </c>
      <c r="R114" s="229">
        <v>0</v>
      </c>
      <c r="S114" s="229">
        <v>0</v>
      </c>
      <c r="T114" s="230">
        <v>0</v>
      </c>
      <c r="U114" s="230">
        <v>0</v>
      </c>
      <c r="V114" s="230">
        <v>0</v>
      </c>
      <c r="W114" s="230">
        <v>0</v>
      </c>
      <c r="X114" s="230">
        <v>0</v>
      </c>
      <c r="Y114" s="230">
        <v>0</v>
      </c>
      <c r="Z114" s="229">
        <v>0</v>
      </c>
      <c r="AA114" s="229">
        <v>0</v>
      </c>
      <c r="AB114" s="229">
        <v>0</v>
      </c>
      <c r="AC114" s="230">
        <v>0</v>
      </c>
      <c r="AD114" s="230">
        <v>0</v>
      </c>
      <c r="AE114" s="230">
        <v>0</v>
      </c>
      <c r="AF114" s="230">
        <v>0</v>
      </c>
      <c r="AG114" s="230">
        <v>0</v>
      </c>
      <c r="AH114" s="230">
        <v>0</v>
      </c>
      <c r="AI114" s="229">
        <v>0</v>
      </c>
      <c r="AJ114" s="229">
        <v>0</v>
      </c>
      <c r="AK114" s="229">
        <v>0</v>
      </c>
      <c r="AL114" s="230">
        <v>0</v>
      </c>
      <c r="AM114" s="230">
        <v>0</v>
      </c>
      <c r="AN114" s="230">
        <v>0</v>
      </c>
      <c r="AO114" s="230">
        <v>0</v>
      </c>
      <c r="AP114" s="229"/>
      <c r="AQ114" s="229"/>
      <c r="AR114" s="459"/>
      <c r="AS114" s="495"/>
      <c r="AT114" s="232"/>
      <c r="AU114" s="233"/>
      <c r="AV114" s="234"/>
      <c r="AW114" s="235"/>
      <c r="AX114" s="233"/>
    </row>
    <row r="115" spans="1:50" s="235" customFormat="1" ht="24">
      <c r="A115" s="501"/>
      <c r="B115" s="502"/>
      <c r="C115" s="503"/>
      <c r="D115" s="143" t="s">
        <v>257</v>
      </c>
      <c r="E115" s="123">
        <f t="shared" si="280"/>
        <v>0</v>
      </c>
      <c r="F115" s="123">
        <f t="shared" si="280"/>
        <v>0</v>
      </c>
      <c r="G115" s="123">
        <v>0</v>
      </c>
      <c r="H115" s="123">
        <f t="shared" ref="H115:I115" si="288">H26</f>
        <v>0</v>
      </c>
      <c r="I115" s="123">
        <f t="shared" si="288"/>
        <v>0</v>
      </c>
      <c r="J115" s="123">
        <v>0</v>
      </c>
      <c r="K115" s="123">
        <f t="shared" ref="K115:L115" si="289">K26</f>
        <v>0</v>
      </c>
      <c r="L115" s="123">
        <f t="shared" si="289"/>
        <v>0</v>
      </c>
      <c r="M115" s="123">
        <v>0</v>
      </c>
      <c r="N115" s="123">
        <f t="shared" ref="N115:O115" si="290">N26</f>
        <v>0</v>
      </c>
      <c r="O115" s="123">
        <f t="shared" si="290"/>
        <v>0</v>
      </c>
      <c r="P115" s="123">
        <v>0</v>
      </c>
      <c r="Q115" s="123">
        <f t="shared" ref="Q115:R115" si="291">Q26</f>
        <v>0</v>
      </c>
      <c r="R115" s="123">
        <f t="shared" si="291"/>
        <v>0</v>
      </c>
      <c r="S115" s="123">
        <v>0</v>
      </c>
      <c r="T115" s="123">
        <f t="shared" ref="T115:U115" si="292">T26</f>
        <v>0</v>
      </c>
      <c r="U115" s="123">
        <f t="shared" si="292"/>
        <v>0</v>
      </c>
      <c r="V115" s="123">
        <v>0</v>
      </c>
      <c r="W115" s="123">
        <f t="shared" ref="W115:X115" si="293">W26</f>
        <v>0</v>
      </c>
      <c r="X115" s="123">
        <f t="shared" si="293"/>
        <v>0</v>
      </c>
      <c r="Y115" s="123">
        <v>0</v>
      </c>
      <c r="Z115" s="123">
        <f t="shared" ref="Z115:AA115" si="294">Z26</f>
        <v>0</v>
      </c>
      <c r="AA115" s="123">
        <f t="shared" si="294"/>
        <v>0</v>
      </c>
      <c r="AB115" s="123">
        <v>0</v>
      </c>
      <c r="AC115" s="123">
        <f t="shared" ref="AC115:AD115" si="295">AC26</f>
        <v>0</v>
      </c>
      <c r="AD115" s="123">
        <f t="shared" si="295"/>
        <v>0</v>
      </c>
      <c r="AE115" s="123">
        <v>0</v>
      </c>
      <c r="AF115" s="123">
        <f t="shared" ref="AF115:AG115" si="296">AF26</f>
        <v>0</v>
      </c>
      <c r="AG115" s="123">
        <f t="shared" si="296"/>
        <v>0</v>
      </c>
      <c r="AH115" s="123">
        <v>0</v>
      </c>
      <c r="AI115" s="123">
        <f t="shared" ref="AI115:AJ115" si="297">AI26</f>
        <v>0</v>
      </c>
      <c r="AJ115" s="123">
        <f t="shared" si="297"/>
        <v>0</v>
      </c>
      <c r="AK115" s="123">
        <v>0</v>
      </c>
      <c r="AL115" s="123">
        <f t="shared" ref="AL115:AM115" si="298">AL26</f>
        <v>0</v>
      </c>
      <c r="AM115" s="123">
        <f t="shared" si="298"/>
        <v>0</v>
      </c>
      <c r="AN115" s="123">
        <v>0</v>
      </c>
      <c r="AO115" s="123">
        <f t="shared" ref="AO115:AP115" si="299">AO26</f>
        <v>0</v>
      </c>
      <c r="AP115" s="123">
        <f t="shared" si="299"/>
        <v>0</v>
      </c>
      <c r="AQ115" s="228">
        <v>0</v>
      </c>
      <c r="AR115" s="459"/>
      <c r="AS115" s="495"/>
      <c r="AT115" s="233"/>
      <c r="AU115" s="233"/>
      <c r="AV115" s="234"/>
    </row>
    <row r="116" spans="1:50" s="235" customFormat="1" ht="24">
      <c r="A116" s="504"/>
      <c r="B116" s="505"/>
      <c r="C116" s="506"/>
      <c r="D116" s="143" t="s">
        <v>462</v>
      </c>
      <c r="E116" s="123">
        <f>H116+K116+N116+Q116+T116+W116+Z116+AC116+AF116+AI116+AL116+AO116</f>
        <v>0</v>
      </c>
      <c r="F116" s="123">
        <f>I116+L116+O116+R116+U116+X116+AA116+AD116+AG116+AJ116+AM116+AP116</f>
        <v>0</v>
      </c>
      <c r="G116" s="123">
        <v>0</v>
      </c>
      <c r="H116" s="123">
        <v>0</v>
      </c>
      <c r="I116" s="123">
        <v>0</v>
      </c>
      <c r="J116" s="123">
        <v>0</v>
      </c>
      <c r="K116" s="132">
        <v>0</v>
      </c>
      <c r="L116" s="123">
        <v>0</v>
      </c>
      <c r="M116" s="123">
        <v>0</v>
      </c>
      <c r="N116" s="123">
        <v>0</v>
      </c>
      <c r="O116" s="123">
        <v>0</v>
      </c>
      <c r="P116" s="123">
        <v>0</v>
      </c>
      <c r="Q116" s="123">
        <v>0</v>
      </c>
      <c r="R116" s="123">
        <v>0</v>
      </c>
      <c r="S116" s="123">
        <v>0</v>
      </c>
      <c r="T116" s="117">
        <v>0</v>
      </c>
      <c r="U116" s="117">
        <v>0</v>
      </c>
      <c r="V116" s="123">
        <v>0</v>
      </c>
      <c r="W116" s="117">
        <v>0</v>
      </c>
      <c r="X116" s="117">
        <v>0</v>
      </c>
      <c r="Y116" s="117">
        <v>0</v>
      </c>
      <c r="Z116" s="117">
        <v>0</v>
      </c>
      <c r="AA116" s="117">
        <v>0</v>
      </c>
      <c r="AB116" s="117">
        <v>0</v>
      </c>
      <c r="AC116" s="117">
        <v>0</v>
      </c>
      <c r="AD116" s="117">
        <v>0</v>
      </c>
      <c r="AE116" s="117">
        <v>0</v>
      </c>
      <c r="AF116" s="117">
        <v>0</v>
      </c>
      <c r="AG116" s="117">
        <v>0</v>
      </c>
      <c r="AH116" s="123">
        <v>0</v>
      </c>
      <c r="AI116" s="123">
        <v>0</v>
      </c>
      <c r="AJ116" s="123">
        <v>0</v>
      </c>
      <c r="AK116" s="123">
        <v>0</v>
      </c>
      <c r="AL116" s="117">
        <v>0</v>
      </c>
      <c r="AM116" s="117">
        <v>0</v>
      </c>
      <c r="AN116" s="117">
        <v>0</v>
      </c>
      <c r="AO116" s="123">
        <v>0</v>
      </c>
      <c r="AP116" s="123">
        <v>0</v>
      </c>
      <c r="AQ116" s="123">
        <v>0</v>
      </c>
      <c r="AR116" s="459"/>
      <c r="AS116" s="495"/>
      <c r="AT116" s="233"/>
      <c r="AU116" s="233"/>
      <c r="AV116" s="234"/>
    </row>
    <row r="117" spans="1:50" s="235" customFormat="1" ht="12.75" customHeight="1">
      <c r="A117" s="498" t="s">
        <v>513</v>
      </c>
      <c r="B117" s="499"/>
      <c r="C117" s="500"/>
      <c r="D117" s="143" t="s">
        <v>444</v>
      </c>
      <c r="E117" s="123">
        <f>E118+E119+E120</f>
        <v>87934.3</v>
      </c>
      <c r="F117" s="123">
        <f>F118+F119</f>
        <v>10374.799999999999</v>
      </c>
      <c r="G117" s="123">
        <f>F117/E117*100</f>
        <v>11.798353998382883</v>
      </c>
      <c r="H117" s="123">
        <f>H118+H119+H120</f>
        <v>0</v>
      </c>
      <c r="I117" s="123">
        <f>I118+I119+I120</f>
        <v>0</v>
      </c>
      <c r="J117" s="123">
        <v>0</v>
      </c>
      <c r="K117" s="123">
        <f>K118+K119+K120</f>
        <v>4862</v>
      </c>
      <c r="L117" s="123">
        <f>L118+L119+L120</f>
        <v>4786.3999999999996</v>
      </c>
      <c r="M117" s="123">
        <f>L117/K117*100</f>
        <v>98.445084327437257</v>
      </c>
      <c r="N117" s="123">
        <f>N118+N119+N120</f>
        <v>8137.2</v>
      </c>
      <c r="O117" s="123">
        <f>O118+O119+O120</f>
        <v>5588.4</v>
      </c>
      <c r="P117" s="123">
        <f>O117/N117*100</f>
        <v>68.677186255714489</v>
      </c>
      <c r="Q117" s="123">
        <f>Q118+Q119+Q120</f>
        <v>6639</v>
      </c>
      <c r="R117" s="123">
        <f>R118+R119</f>
        <v>0</v>
      </c>
      <c r="S117" s="123">
        <f>R117/Q117*100</f>
        <v>0</v>
      </c>
      <c r="T117" s="123">
        <f>T118+T119+T120</f>
        <v>6997.5</v>
      </c>
      <c r="U117" s="123">
        <f>U118+U119+U120</f>
        <v>0</v>
      </c>
      <c r="V117" s="123">
        <f>U117/T117*100</f>
        <v>0</v>
      </c>
      <c r="W117" s="123">
        <f>W118+W119+W120</f>
        <v>9809.2000000000007</v>
      </c>
      <c r="X117" s="123">
        <f>X118+X119+X120</f>
        <v>0</v>
      </c>
      <c r="Y117" s="123">
        <f>X117/W117*100</f>
        <v>0</v>
      </c>
      <c r="Z117" s="123">
        <f>Z118+Z119+Z120</f>
        <v>8152.5</v>
      </c>
      <c r="AA117" s="123">
        <f>AA118+AA119+AA120</f>
        <v>0</v>
      </c>
      <c r="AB117" s="123">
        <f>AA117/Z117*100</f>
        <v>0</v>
      </c>
      <c r="AC117" s="123">
        <f>AC118+AC119+AC120</f>
        <v>6788.6</v>
      </c>
      <c r="AD117" s="123">
        <f>AD118+AD119+AD120</f>
        <v>0</v>
      </c>
      <c r="AE117" s="123">
        <f>AD117/AC117*100</f>
        <v>0</v>
      </c>
      <c r="AF117" s="123">
        <f>AF118+AF119+AF120</f>
        <v>8631</v>
      </c>
      <c r="AG117" s="123">
        <f>AG118+AG119+AG120</f>
        <v>0</v>
      </c>
      <c r="AH117" s="123">
        <f>AG117/AF117*100</f>
        <v>0</v>
      </c>
      <c r="AI117" s="123">
        <f>AI118+AI119+AI120</f>
        <v>6579</v>
      </c>
      <c r="AJ117" s="123">
        <f>AJ118+AJ119+AJ120</f>
        <v>0</v>
      </c>
      <c r="AK117" s="123">
        <f>AJ117/AI117*100</f>
        <v>0</v>
      </c>
      <c r="AL117" s="123">
        <f>AL118+AL119+AL120</f>
        <v>6567</v>
      </c>
      <c r="AM117" s="123">
        <f>AM118+AM119+AM120</f>
        <v>0</v>
      </c>
      <c r="AN117" s="123">
        <f>AM117/AL117*100</f>
        <v>0</v>
      </c>
      <c r="AO117" s="123">
        <f>AO118+AO119+AO120</f>
        <v>14771.3</v>
      </c>
      <c r="AP117" s="123">
        <f>AP118+AP119+AP120</f>
        <v>0</v>
      </c>
      <c r="AQ117" s="228">
        <f>AP117/AO117*100</f>
        <v>0</v>
      </c>
      <c r="AR117" s="459"/>
      <c r="AS117" s="495"/>
      <c r="AT117" s="233"/>
      <c r="AU117" s="233"/>
      <c r="AV117" s="234"/>
    </row>
    <row r="118" spans="1:50" s="235" customFormat="1" ht="48">
      <c r="A118" s="501"/>
      <c r="B118" s="502"/>
      <c r="C118" s="503"/>
      <c r="D118" s="220" t="s">
        <v>442</v>
      </c>
      <c r="E118" s="123">
        <f>H118+K118+N118+Q118+T118+W118+Z118+AC118+AF118+AI118+AL118+AO118</f>
        <v>71063</v>
      </c>
      <c r="F118" s="123">
        <f>I118+L118+O118+R118+U118+X118+AA118+AD118+AG118+AJ118+AM118+AP118</f>
        <v>10155</v>
      </c>
      <c r="G118" s="123">
        <f>F118/E118*100</f>
        <v>14.290136920760451</v>
      </c>
      <c r="H118" s="123">
        <f>H39+H57+H69+H74</f>
        <v>0</v>
      </c>
      <c r="I118" s="123">
        <f>I39+I57+I69+I74</f>
        <v>0</v>
      </c>
      <c r="J118" s="123">
        <v>0</v>
      </c>
      <c r="K118" s="123">
        <f>K39+K57+K69+K74+4800</f>
        <v>4800</v>
      </c>
      <c r="L118" s="123">
        <f>L39+L57+L69+L74+4751</f>
        <v>4751</v>
      </c>
      <c r="M118" s="123">
        <f t="shared" ref="M118:M119" si="300">L118/K118*100</f>
        <v>98.979166666666657</v>
      </c>
      <c r="N118" s="123">
        <f>N39+N57+N69+N74+5500</f>
        <v>5500</v>
      </c>
      <c r="O118" s="123">
        <f>O39+O57+O69+O74+5404</f>
        <v>5404</v>
      </c>
      <c r="P118" s="123">
        <f t="shared" ref="P118:P119" si="301">O118/N118*100</f>
        <v>98.25454545454545</v>
      </c>
      <c r="Q118" s="123">
        <f>Q39+Q57+Q69+Q74+5550</f>
        <v>5550</v>
      </c>
      <c r="R118" s="123">
        <f>R39+R57+R69+R74</f>
        <v>0</v>
      </c>
      <c r="S118" s="123">
        <f t="shared" ref="S118:S119" si="302">R118/Q118*100</f>
        <v>0</v>
      </c>
      <c r="T118" s="123">
        <f>T39+T57+T69+T74+6112.5</f>
        <v>6112.5</v>
      </c>
      <c r="U118" s="123">
        <f>U39+U57+U69+U74</f>
        <v>0</v>
      </c>
      <c r="V118" s="123">
        <f t="shared" ref="V118:V119" si="303">U118/T118*100</f>
        <v>0</v>
      </c>
      <c r="W118" s="123">
        <f>W39+W57+W69+W74+5600</f>
        <v>5600</v>
      </c>
      <c r="X118" s="123">
        <f>X39+X57+X69+X74</f>
        <v>0</v>
      </c>
      <c r="Y118" s="123">
        <f t="shared" ref="Y118:Y119" si="304">X118/W118*100</f>
        <v>0</v>
      </c>
      <c r="Z118" s="123">
        <f>Z39+Z57+Z69+Z74+6912.5</f>
        <v>6912.5</v>
      </c>
      <c r="AA118" s="123">
        <f>AA39+AA57+AA69+AA74</f>
        <v>0</v>
      </c>
      <c r="AB118" s="123">
        <f t="shared" ref="AB118:AB119" si="305">AA118/Z118*100</f>
        <v>0</v>
      </c>
      <c r="AC118" s="123">
        <f>AC39+AC57+AC69+AC74+5650</f>
        <v>5650</v>
      </c>
      <c r="AD118" s="123">
        <f>AD39+AD57+AD69+AD74</f>
        <v>0</v>
      </c>
      <c r="AE118" s="123">
        <f t="shared" ref="AE118:AE119" si="306">AD118/AC118*100</f>
        <v>0</v>
      </c>
      <c r="AF118" s="123">
        <f>AF39+AF57+AF69+AF74+5650</f>
        <v>5650</v>
      </c>
      <c r="AG118" s="123">
        <f>AG39+AG57+AG69+AG74</f>
        <v>0</v>
      </c>
      <c r="AH118" s="123">
        <f t="shared" ref="AH118:AH119" si="307">AG118/AF118*100</f>
        <v>0</v>
      </c>
      <c r="AI118" s="123">
        <f>AI39+AI57+AI69+AI74+5700</f>
        <v>5700</v>
      </c>
      <c r="AJ118" s="123">
        <f>AJ39+AJ57+AJ69+AJ74</f>
        <v>0</v>
      </c>
      <c r="AK118" s="123">
        <f t="shared" ref="AK118" si="308">AJ118/AI118*100</f>
        <v>0</v>
      </c>
      <c r="AL118" s="123">
        <f>AL39+AL57+AL69+AL74+5700</f>
        <v>5700</v>
      </c>
      <c r="AM118" s="123">
        <f>AM39+AM57+AM69+AM74</f>
        <v>0</v>
      </c>
      <c r="AN118" s="123">
        <f t="shared" ref="AN118" si="309">AM118/AL118*100</f>
        <v>0</v>
      </c>
      <c r="AO118" s="123">
        <f>AO39+AO57+AO69+AO74+13888</f>
        <v>13888</v>
      </c>
      <c r="AP118" s="123">
        <f>AP39+AP57+AP69+AP74</f>
        <v>0</v>
      </c>
      <c r="AQ118" s="228">
        <f t="shared" ref="AQ118:AQ119" si="310">AP118/AO118*100</f>
        <v>0</v>
      </c>
      <c r="AR118" s="459"/>
      <c r="AS118" s="495"/>
      <c r="AT118" s="233"/>
      <c r="AU118" s="233"/>
      <c r="AV118" s="234"/>
    </row>
    <row r="119" spans="1:50" s="235" customFormat="1" ht="19.5" customHeight="1">
      <c r="A119" s="501"/>
      <c r="B119" s="502"/>
      <c r="C119" s="503"/>
      <c r="D119" s="220" t="s">
        <v>457</v>
      </c>
      <c r="E119" s="123">
        <f t="shared" ref="E119:E120" si="311">H119+K119+N119+Q119+T119+W119+Z119+AC119+AF119+AI119+AL119+AO119</f>
        <v>16871.3</v>
      </c>
      <c r="F119" s="123">
        <f>I119+L119+O119+R119+U119+X119+AA119+AD119+AG119+AJ119+AM119+AP119</f>
        <v>219.8</v>
      </c>
      <c r="G119" s="123">
        <f>F119/E119*100</f>
        <v>1.3028041703958795</v>
      </c>
      <c r="H119" s="123">
        <f>H40+H58+H63+H75-H139</f>
        <v>0</v>
      </c>
      <c r="I119" s="123">
        <f>I40+I58+I63+I75-I139</f>
        <v>0</v>
      </c>
      <c r="J119" s="123">
        <v>0</v>
      </c>
      <c r="K119" s="123">
        <f t="shared" ref="K119:L119" si="312">K40+K58+K63+K75-K139</f>
        <v>62</v>
      </c>
      <c r="L119" s="123">
        <f t="shared" si="312"/>
        <v>35.4</v>
      </c>
      <c r="M119" s="123">
        <f t="shared" si="300"/>
        <v>57.096774193548384</v>
      </c>
      <c r="N119" s="123">
        <f t="shared" ref="N119:O119" si="313">N40+N58+N63+N75-N139</f>
        <v>2637.2</v>
      </c>
      <c r="O119" s="123">
        <f t="shared" si="313"/>
        <v>184.4</v>
      </c>
      <c r="P119" s="123">
        <f t="shared" si="301"/>
        <v>6.9922645229789175</v>
      </c>
      <c r="Q119" s="123">
        <f>Q40+Q58+Q63+Q75-Q139</f>
        <v>1089</v>
      </c>
      <c r="R119" s="123">
        <f t="shared" ref="R119" si="314">R40+R58+R63+R75</f>
        <v>0</v>
      </c>
      <c r="S119" s="123">
        <f t="shared" si="302"/>
        <v>0</v>
      </c>
      <c r="T119" s="123">
        <f>T40+T58+T63+T75-T139</f>
        <v>885</v>
      </c>
      <c r="U119" s="123">
        <f t="shared" ref="U119" si="315">U40+U58+U63+U75</f>
        <v>0</v>
      </c>
      <c r="V119" s="123">
        <f t="shared" si="303"/>
        <v>0</v>
      </c>
      <c r="W119" s="123">
        <f>W40+W58+W63+W75-W139</f>
        <v>4209.2</v>
      </c>
      <c r="X119" s="123">
        <f t="shared" ref="X119" si="316">X40+X58+X63+X75</f>
        <v>0</v>
      </c>
      <c r="Y119" s="123">
        <f t="shared" si="304"/>
        <v>0</v>
      </c>
      <c r="Z119" s="123">
        <f>Z40+Z58+Z63+Z75-Z139-Z134</f>
        <v>1240</v>
      </c>
      <c r="AA119" s="123">
        <f t="shared" ref="AA119" si="317">AA40+AA58+AA63+AA75</f>
        <v>0</v>
      </c>
      <c r="AB119" s="123">
        <f t="shared" si="305"/>
        <v>0</v>
      </c>
      <c r="AC119" s="123">
        <f>AC40+AC58+AC63+AC75-AC139</f>
        <v>1138.5999999999999</v>
      </c>
      <c r="AD119" s="123">
        <f t="shared" ref="AD119" si="318">AD40+AD58+AD63+AD75</f>
        <v>0</v>
      </c>
      <c r="AE119" s="123">
        <f t="shared" si="306"/>
        <v>0</v>
      </c>
      <c r="AF119" s="123">
        <f>AF40+AF58+AF63+AF75-AF139</f>
        <v>2981</v>
      </c>
      <c r="AG119" s="123">
        <f t="shared" ref="AG119" si="319">AG40+AG58+AG63+AG75</f>
        <v>0</v>
      </c>
      <c r="AH119" s="123">
        <f t="shared" si="307"/>
        <v>0</v>
      </c>
      <c r="AI119" s="123">
        <f>AI40+AI58+AI63+AI75-AI139</f>
        <v>879</v>
      </c>
      <c r="AJ119" s="123">
        <f t="shared" ref="AJ119" si="320">AJ40+AJ58+AJ63+AJ75</f>
        <v>0</v>
      </c>
      <c r="AK119" s="123">
        <f t="shared" ref="AK119:AN119" si="321">AK70+AK58+AK40-AK139</f>
        <v>0</v>
      </c>
      <c r="AL119" s="123">
        <f>AL40+AL58+AL63+AL75-AL139</f>
        <v>867</v>
      </c>
      <c r="AM119" s="123">
        <f t="shared" ref="AM119" si="322">AM40+AM58+AM63+AM75</f>
        <v>0</v>
      </c>
      <c r="AN119" s="123">
        <f t="shared" si="321"/>
        <v>0</v>
      </c>
      <c r="AO119" s="123">
        <f>AO40+AO58+AO63+AO75-AO139</f>
        <v>883.3</v>
      </c>
      <c r="AP119" s="123">
        <f t="shared" ref="AP119" si="323">AP40+AP58+AP63+AP75</f>
        <v>0</v>
      </c>
      <c r="AQ119" s="228">
        <f t="shared" si="310"/>
        <v>0</v>
      </c>
      <c r="AR119" s="459"/>
      <c r="AS119" s="495"/>
      <c r="AT119" s="233"/>
      <c r="AU119" s="233"/>
      <c r="AV119" s="234"/>
    </row>
    <row r="120" spans="1:50" s="235" customFormat="1" ht="54" customHeight="1">
      <c r="A120" s="501"/>
      <c r="B120" s="502"/>
      <c r="C120" s="503"/>
      <c r="D120" s="224" t="s">
        <v>441</v>
      </c>
      <c r="E120" s="123">
        <f t="shared" si="311"/>
        <v>0</v>
      </c>
      <c r="F120" s="123">
        <f>I120+L120+O120+R120+U120+X120+AA120+AD120+AG120+AJ120+AM120+AP120</f>
        <v>0</v>
      </c>
      <c r="G120" s="123">
        <v>0</v>
      </c>
      <c r="H120" s="123">
        <v>0</v>
      </c>
      <c r="I120" s="123">
        <f>I69+I53</f>
        <v>0</v>
      </c>
      <c r="J120" s="123">
        <v>0</v>
      </c>
      <c r="K120" s="123">
        <v>0</v>
      </c>
      <c r="L120" s="123">
        <f>L69+L53</f>
        <v>0</v>
      </c>
      <c r="M120" s="123">
        <v>0</v>
      </c>
      <c r="N120" s="123">
        <v>0</v>
      </c>
      <c r="O120" s="123">
        <f>O69+O53</f>
        <v>0</v>
      </c>
      <c r="P120" s="123">
        <v>0</v>
      </c>
      <c r="Q120" s="123">
        <v>0</v>
      </c>
      <c r="R120" s="123">
        <f>R41</f>
        <v>0</v>
      </c>
      <c r="S120" s="123">
        <v>0</v>
      </c>
      <c r="T120" s="117">
        <v>0</v>
      </c>
      <c r="U120" s="117">
        <v>0</v>
      </c>
      <c r="V120" s="117">
        <v>0</v>
      </c>
      <c r="W120" s="117">
        <v>0</v>
      </c>
      <c r="X120" s="117">
        <v>0</v>
      </c>
      <c r="Y120" s="117">
        <v>0</v>
      </c>
      <c r="Z120" s="123">
        <v>0</v>
      </c>
      <c r="AA120" s="123">
        <v>0</v>
      </c>
      <c r="AB120" s="123">
        <v>0</v>
      </c>
      <c r="AC120" s="117">
        <v>0</v>
      </c>
      <c r="AD120" s="117">
        <v>0</v>
      </c>
      <c r="AE120" s="117">
        <v>0</v>
      </c>
      <c r="AF120" s="117">
        <v>0</v>
      </c>
      <c r="AG120" s="117">
        <v>0</v>
      </c>
      <c r="AH120" s="117">
        <v>0</v>
      </c>
      <c r="AI120" s="123">
        <v>0</v>
      </c>
      <c r="AJ120" s="123">
        <v>0</v>
      </c>
      <c r="AK120" s="123">
        <v>0</v>
      </c>
      <c r="AL120" s="117">
        <v>0</v>
      </c>
      <c r="AM120" s="117">
        <v>0</v>
      </c>
      <c r="AN120" s="117">
        <v>0</v>
      </c>
      <c r="AO120" s="117">
        <v>0</v>
      </c>
      <c r="AP120" s="123">
        <v>0</v>
      </c>
      <c r="AQ120" s="228">
        <v>0</v>
      </c>
      <c r="AR120" s="459"/>
      <c r="AS120" s="495"/>
      <c r="AT120" s="233"/>
      <c r="AU120" s="233"/>
      <c r="AV120" s="234"/>
    </row>
    <row r="121" spans="1:50" s="235" customFormat="1" ht="35.25" customHeight="1">
      <c r="A121" s="504"/>
      <c r="B121" s="505"/>
      <c r="C121" s="506"/>
      <c r="D121" s="143" t="s">
        <v>462</v>
      </c>
      <c r="E121" s="123">
        <f>H121+K121+N121+Q121+T121+W121+Z121+AC121+AF121+AI121+AL121+AO121</f>
        <v>0</v>
      </c>
      <c r="F121" s="123">
        <f>I121+L121+O121+R121+U121+X121+AA121+AD121+AG121+AJ121+AM121+AP121</f>
        <v>0</v>
      </c>
      <c r="G121" s="123">
        <v>0</v>
      </c>
      <c r="H121" s="123">
        <v>0</v>
      </c>
      <c r="I121" s="123">
        <v>0</v>
      </c>
      <c r="J121" s="123">
        <v>0</v>
      </c>
      <c r="K121" s="132">
        <v>0</v>
      </c>
      <c r="L121" s="123">
        <v>0</v>
      </c>
      <c r="M121" s="123">
        <v>0</v>
      </c>
      <c r="N121" s="123">
        <v>0</v>
      </c>
      <c r="O121" s="123">
        <v>0</v>
      </c>
      <c r="P121" s="123">
        <v>0</v>
      </c>
      <c r="Q121" s="123">
        <v>0</v>
      </c>
      <c r="R121" s="123">
        <v>0</v>
      </c>
      <c r="S121" s="123">
        <v>0</v>
      </c>
      <c r="T121" s="117">
        <v>0</v>
      </c>
      <c r="U121" s="117">
        <v>0</v>
      </c>
      <c r="V121" s="123">
        <v>0</v>
      </c>
      <c r="W121" s="117">
        <v>0</v>
      </c>
      <c r="X121" s="117">
        <v>0</v>
      </c>
      <c r="Y121" s="117">
        <v>0</v>
      </c>
      <c r="Z121" s="117">
        <v>0</v>
      </c>
      <c r="AA121" s="117">
        <v>0</v>
      </c>
      <c r="AB121" s="117">
        <v>0</v>
      </c>
      <c r="AC121" s="117">
        <v>0</v>
      </c>
      <c r="AD121" s="117">
        <v>0</v>
      </c>
      <c r="AE121" s="117">
        <v>0</v>
      </c>
      <c r="AF121" s="117">
        <v>0</v>
      </c>
      <c r="AG121" s="117">
        <v>0</v>
      </c>
      <c r="AH121" s="123">
        <v>0</v>
      </c>
      <c r="AI121" s="123">
        <v>0</v>
      </c>
      <c r="AJ121" s="123">
        <v>0</v>
      </c>
      <c r="AK121" s="123">
        <v>0</v>
      </c>
      <c r="AL121" s="123">
        <v>0</v>
      </c>
      <c r="AM121" s="123">
        <v>0</v>
      </c>
      <c r="AN121" s="123">
        <v>0</v>
      </c>
      <c r="AO121" s="123">
        <v>0</v>
      </c>
      <c r="AP121" s="123">
        <v>0</v>
      </c>
      <c r="AQ121" s="123">
        <v>0</v>
      </c>
      <c r="AR121" s="459"/>
      <c r="AS121" s="495"/>
      <c r="AT121" s="233"/>
      <c r="AU121" s="233"/>
      <c r="AV121" s="234"/>
    </row>
    <row r="122" spans="1:50" s="235" customFormat="1" ht="12.75" customHeight="1">
      <c r="A122" s="498" t="s">
        <v>480</v>
      </c>
      <c r="B122" s="499"/>
      <c r="C122" s="500"/>
      <c r="D122" s="143" t="s">
        <v>444</v>
      </c>
      <c r="E122" s="123">
        <f>E123+E124+E125</f>
        <v>802.5</v>
      </c>
      <c r="F122" s="123">
        <f>F123+F124+F125</f>
        <v>0</v>
      </c>
      <c r="G122" s="123">
        <f>F122/E122*100</f>
        <v>0</v>
      </c>
      <c r="H122" s="123">
        <f t="shared" ref="H122:I122" si="324">H123+H124+H125</f>
        <v>0</v>
      </c>
      <c r="I122" s="123">
        <f t="shared" si="324"/>
        <v>0</v>
      </c>
      <c r="J122" s="123">
        <v>0</v>
      </c>
      <c r="K122" s="123">
        <f t="shared" ref="K122:L122" si="325">K123+K124+K125</f>
        <v>0</v>
      </c>
      <c r="L122" s="123">
        <f t="shared" si="325"/>
        <v>0</v>
      </c>
      <c r="M122" s="123">
        <v>0</v>
      </c>
      <c r="N122" s="123">
        <f t="shared" ref="N122:O122" si="326">N123+N124+N125</f>
        <v>0</v>
      </c>
      <c r="O122" s="123">
        <f t="shared" si="326"/>
        <v>0</v>
      </c>
      <c r="P122" s="123">
        <v>0</v>
      </c>
      <c r="Q122" s="123">
        <f t="shared" ref="Q122:R122" si="327">Q123+Q124+Q125</f>
        <v>60</v>
      </c>
      <c r="R122" s="123">
        <f t="shared" si="327"/>
        <v>0</v>
      </c>
      <c r="S122" s="123">
        <f>R122/Q122*100</f>
        <v>0</v>
      </c>
      <c r="T122" s="123">
        <f t="shared" ref="T122:U122" si="328">T123+T124+T125</f>
        <v>90</v>
      </c>
      <c r="U122" s="123">
        <f t="shared" si="328"/>
        <v>0</v>
      </c>
      <c r="V122" s="123">
        <f>U122/T122*100</f>
        <v>0</v>
      </c>
      <c r="W122" s="123">
        <f t="shared" ref="W122:X122" si="329">W123+W124+W125</f>
        <v>64</v>
      </c>
      <c r="X122" s="123">
        <f t="shared" si="329"/>
        <v>0</v>
      </c>
      <c r="Y122" s="123">
        <v>0</v>
      </c>
      <c r="Z122" s="123">
        <f t="shared" ref="Z122:AA122" si="330">Z123+Z124+Z125</f>
        <v>105</v>
      </c>
      <c r="AA122" s="123">
        <f t="shared" si="330"/>
        <v>0</v>
      </c>
      <c r="AB122" s="123">
        <f>AA122/Z122*100</f>
        <v>0</v>
      </c>
      <c r="AC122" s="123">
        <f t="shared" ref="AC122:AD122" si="331">AC123+AC124+AC125</f>
        <v>105</v>
      </c>
      <c r="AD122" s="123">
        <f t="shared" si="331"/>
        <v>0</v>
      </c>
      <c r="AE122" s="123">
        <v>0</v>
      </c>
      <c r="AF122" s="123">
        <f t="shared" ref="AF122:AG122" si="332">AF123+AF124+AF125</f>
        <v>104</v>
      </c>
      <c r="AG122" s="123">
        <f t="shared" si="332"/>
        <v>0</v>
      </c>
      <c r="AH122" s="123">
        <f>AG122/AF122*100</f>
        <v>0</v>
      </c>
      <c r="AI122" s="123">
        <f t="shared" ref="AI122:AJ122" si="333">AI123+AI124+AI125</f>
        <v>100</v>
      </c>
      <c r="AJ122" s="123">
        <f t="shared" si="333"/>
        <v>0</v>
      </c>
      <c r="AK122" s="123">
        <f>AJ122/AI122*100</f>
        <v>0</v>
      </c>
      <c r="AL122" s="123">
        <f t="shared" ref="AL122:AM122" si="334">AL123+AL124+AL125</f>
        <v>90</v>
      </c>
      <c r="AM122" s="123">
        <f t="shared" si="334"/>
        <v>0</v>
      </c>
      <c r="AN122" s="123">
        <f>AM122/AL122*100</f>
        <v>0</v>
      </c>
      <c r="AO122" s="123">
        <f t="shared" ref="AO122:AP122" si="335">AO123+AO124+AO125</f>
        <v>84.5</v>
      </c>
      <c r="AP122" s="123">
        <f t="shared" si="335"/>
        <v>0</v>
      </c>
      <c r="AQ122" s="228">
        <f>AP122/AO122*100</f>
        <v>0</v>
      </c>
      <c r="AR122" s="459"/>
      <c r="AS122" s="495"/>
      <c r="AT122" s="233"/>
      <c r="AU122" s="233"/>
      <c r="AV122" s="234"/>
    </row>
    <row r="123" spans="1:50" s="235" customFormat="1" ht="48">
      <c r="A123" s="501"/>
      <c r="B123" s="502"/>
      <c r="C123" s="503"/>
      <c r="D123" s="220" t="s">
        <v>442</v>
      </c>
      <c r="E123" s="123">
        <f>H123+K123+N123+Q123+T123+W123+Z123+AC123+AF123+AI123+AL123+AO123</f>
        <v>802.5</v>
      </c>
      <c r="F123" s="123">
        <f>I123+L123+O123+R123+U123+X123+AA123+AD123+AG123+AJ123+AM123+AP123</f>
        <v>0</v>
      </c>
      <c r="G123" s="123">
        <f>F123/E123*100</f>
        <v>0</v>
      </c>
      <c r="H123" s="123">
        <v>0</v>
      </c>
      <c r="I123" s="123">
        <v>0</v>
      </c>
      <c r="J123" s="123">
        <v>0</v>
      </c>
      <c r="K123" s="123">
        <v>0</v>
      </c>
      <c r="L123" s="123">
        <v>0</v>
      </c>
      <c r="M123" s="123">
        <v>0</v>
      </c>
      <c r="N123" s="123">
        <v>0</v>
      </c>
      <c r="O123" s="123">
        <v>0</v>
      </c>
      <c r="P123" s="123">
        <v>0</v>
      </c>
      <c r="Q123" s="123">
        <v>60</v>
      </c>
      <c r="R123" s="123">
        <v>0</v>
      </c>
      <c r="S123" s="123">
        <f>R123/Q123*100</f>
        <v>0</v>
      </c>
      <c r="T123" s="123">
        <v>90</v>
      </c>
      <c r="U123" s="123">
        <v>0</v>
      </c>
      <c r="V123" s="123">
        <f>U123/T123*100</f>
        <v>0</v>
      </c>
      <c r="W123" s="123">
        <v>64</v>
      </c>
      <c r="X123" s="123">
        <v>0</v>
      </c>
      <c r="Y123" s="123">
        <v>0</v>
      </c>
      <c r="Z123" s="123">
        <v>105</v>
      </c>
      <c r="AA123" s="123">
        <v>0</v>
      </c>
      <c r="AB123" s="123">
        <f>AA123/Z123*100</f>
        <v>0</v>
      </c>
      <c r="AC123" s="123">
        <v>105</v>
      </c>
      <c r="AD123" s="123">
        <v>0</v>
      </c>
      <c r="AE123" s="123">
        <v>0</v>
      </c>
      <c r="AF123" s="123">
        <v>104</v>
      </c>
      <c r="AG123" s="123">
        <v>0</v>
      </c>
      <c r="AH123" s="123">
        <f>AG123/AF123*100</f>
        <v>0</v>
      </c>
      <c r="AI123" s="123">
        <v>100</v>
      </c>
      <c r="AJ123" s="123">
        <v>0</v>
      </c>
      <c r="AK123" s="123">
        <f>AJ123/AI123*100</f>
        <v>0</v>
      </c>
      <c r="AL123" s="123">
        <v>90</v>
      </c>
      <c r="AM123" s="123">
        <v>0</v>
      </c>
      <c r="AN123" s="123">
        <f>AM123/AL123*100</f>
        <v>0</v>
      </c>
      <c r="AO123" s="123">
        <v>84.5</v>
      </c>
      <c r="AP123" s="123">
        <v>0</v>
      </c>
      <c r="AQ123" s="228">
        <f>AP123/AO123*100</f>
        <v>0</v>
      </c>
      <c r="AR123" s="459"/>
      <c r="AS123" s="495"/>
      <c r="AT123" s="233"/>
      <c r="AU123" s="233"/>
      <c r="AV123" s="234"/>
    </row>
    <row r="124" spans="1:50" s="235" customFormat="1" ht="12.75">
      <c r="A124" s="501"/>
      <c r="B124" s="502"/>
      <c r="C124" s="503"/>
      <c r="D124" s="220" t="s">
        <v>457</v>
      </c>
      <c r="E124" s="123">
        <f t="shared" ref="E124:F125" si="336">H124+K124+N124+Q124+T124+W124+Z124+AC124+AF124+AI124+AL124+AO124</f>
        <v>0</v>
      </c>
      <c r="F124" s="123">
        <f>I124+L124+O124+R124+U124+X124+AA124+AD124+AG124+AJ124+AM124+AP124</f>
        <v>0</v>
      </c>
      <c r="G124" s="123">
        <v>0</v>
      </c>
      <c r="H124" s="123">
        <v>0</v>
      </c>
      <c r="I124" s="123">
        <v>0</v>
      </c>
      <c r="J124" s="123">
        <v>0</v>
      </c>
      <c r="K124" s="123">
        <v>0</v>
      </c>
      <c r="L124" s="123">
        <v>0</v>
      </c>
      <c r="M124" s="123">
        <v>0</v>
      </c>
      <c r="N124" s="123">
        <v>0</v>
      </c>
      <c r="O124" s="123">
        <v>0</v>
      </c>
      <c r="P124" s="123">
        <v>0</v>
      </c>
      <c r="Q124" s="123">
        <v>0</v>
      </c>
      <c r="R124" s="123">
        <v>0</v>
      </c>
      <c r="S124" s="123">
        <v>0</v>
      </c>
      <c r="T124" s="123">
        <v>0</v>
      </c>
      <c r="U124" s="123">
        <v>0</v>
      </c>
      <c r="V124" s="123">
        <v>0</v>
      </c>
      <c r="W124" s="123">
        <v>0</v>
      </c>
      <c r="X124" s="123">
        <v>0</v>
      </c>
      <c r="Y124" s="123">
        <v>0</v>
      </c>
      <c r="Z124" s="123">
        <v>0</v>
      </c>
      <c r="AA124" s="123">
        <v>0</v>
      </c>
      <c r="AB124" s="123">
        <v>0</v>
      </c>
      <c r="AC124" s="123">
        <v>0</v>
      </c>
      <c r="AD124" s="123">
        <v>0</v>
      </c>
      <c r="AE124" s="123">
        <v>0</v>
      </c>
      <c r="AF124" s="123">
        <v>0</v>
      </c>
      <c r="AG124" s="123">
        <v>0</v>
      </c>
      <c r="AH124" s="123">
        <v>0</v>
      </c>
      <c r="AI124" s="123">
        <v>0</v>
      </c>
      <c r="AJ124" s="123">
        <v>0</v>
      </c>
      <c r="AK124" s="123">
        <v>0</v>
      </c>
      <c r="AL124" s="123">
        <v>0</v>
      </c>
      <c r="AM124" s="123">
        <v>0</v>
      </c>
      <c r="AN124" s="123">
        <v>0</v>
      </c>
      <c r="AO124" s="123">
        <v>0</v>
      </c>
      <c r="AP124" s="123">
        <v>0</v>
      </c>
      <c r="AQ124" s="228">
        <v>0</v>
      </c>
      <c r="AR124" s="459"/>
      <c r="AS124" s="495"/>
      <c r="AT124" s="233"/>
      <c r="AU124" s="233"/>
      <c r="AV124" s="234"/>
    </row>
    <row r="125" spans="1:50" s="235" customFormat="1" ht="24">
      <c r="A125" s="501"/>
      <c r="B125" s="502"/>
      <c r="C125" s="503"/>
      <c r="D125" s="143" t="s">
        <v>257</v>
      </c>
      <c r="E125" s="123">
        <f t="shared" si="336"/>
        <v>0</v>
      </c>
      <c r="F125" s="123">
        <f t="shared" si="336"/>
        <v>0</v>
      </c>
      <c r="G125" s="123">
        <v>0</v>
      </c>
      <c r="H125" s="123">
        <v>0</v>
      </c>
      <c r="I125" s="123">
        <v>0</v>
      </c>
      <c r="J125" s="123">
        <v>0</v>
      </c>
      <c r="K125" s="123">
        <v>0</v>
      </c>
      <c r="L125" s="123">
        <v>0</v>
      </c>
      <c r="M125" s="123">
        <v>0</v>
      </c>
      <c r="N125" s="123">
        <v>0</v>
      </c>
      <c r="O125" s="123">
        <v>0</v>
      </c>
      <c r="P125" s="123">
        <v>0</v>
      </c>
      <c r="Q125" s="123">
        <v>0</v>
      </c>
      <c r="R125" s="123">
        <v>0</v>
      </c>
      <c r="S125" s="123">
        <v>0</v>
      </c>
      <c r="T125" s="123">
        <v>0</v>
      </c>
      <c r="U125" s="123">
        <v>0</v>
      </c>
      <c r="V125" s="123">
        <v>0</v>
      </c>
      <c r="W125" s="123">
        <v>0</v>
      </c>
      <c r="X125" s="123">
        <v>0</v>
      </c>
      <c r="Y125" s="123">
        <v>0</v>
      </c>
      <c r="Z125" s="123">
        <v>0</v>
      </c>
      <c r="AA125" s="123">
        <v>0</v>
      </c>
      <c r="AB125" s="123">
        <v>0</v>
      </c>
      <c r="AC125" s="123">
        <v>0</v>
      </c>
      <c r="AD125" s="123">
        <v>0</v>
      </c>
      <c r="AE125" s="123">
        <v>0</v>
      </c>
      <c r="AF125" s="123">
        <v>0</v>
      </c>
      <c r="AG125" s="123">
        <v>0</v>
      </c>
      <c r="AH125" s="123">
        <v>0</v>
      </c>
      <c r="AI125" s="123">
        <v>0</v>
      </c>
      <c r="AJ125" s="123">
        <v>0</v>
      </c>
      <c r="AK125" s="123">
        <v>0</v>
      </c>
      <c r="AL125" s="123">
        <v>0</v>
      </c>
      <c r="AM125" s="123">
        <v>0</v>
      </c>
      <c r="AN125" s="123">
        <v>0</v>
      </c>
      <c r="AO125" s="123">
        <v>0</v>
      </c>
      <c r="AP125" s="123">
        <v>0</v>
      </c>
      <c r="AQ125" s="228">
        <v>0</v>
      </c>
      <c r="AR125" s="459"/>
      <c r="AS125" s="495"/>
      <c r="AT125" s="233"/>
      <c r="AU125" s="233"/>
      <c r="AV125" s="234"/>
    </row>
    <row r="126" spans="1:50" s="235" customFormat="1" ht="24">
      <c r="A126" s="504"/>
      <c r="B126" s="505"/>
      <c r="C126" s="506"/>
      <c r="D126" s="143" t="s">
        <v>462</v>
      </c>
      <c r="E126" s="123">
        <f>H126+K126+N126+Q126+T126+W126+Z126+AC126+AF126+AI126+AL126+AO126</f>
        <v>0</v>
      </c>
      <c r="F126" s="123">
        <f>I126+L126+O126+R126+U126+X126+AA126+AD126+AG126+AJ126+AM126+AP126</f>
        <v>0</v>
      </c>
      <c r="G126" s="123">
        <v>0</v>
      </c>
      <c r="H126" s="123">
        <v>0</v>
      </c>
      <c r="I126" s="123">
        <v>0</v>
      </c>
      <c r="J126" s="123">
        <v>0</v>
      </c>
      <c r="K126" s="132">
        <v>0</v>
      </c>
      <c r="L126" s="123">
        <v>0</v>
      </c>
      <c r="M126" s="123">
        <v>0</v>
      </c>
      <c r="N126" s="123">
        <v>0</v>
      </c>
      <c r="O126" s="123">
        <v>0</v>
      </c>
      <c r="P126" s="123">
        <v>0</v>
      </c>
      <c r="Q126" s="123">
        <v>0</v>
      </c>
      <c r="R126" s="123">
        <v>0</v>
      </c>
      <c r="S126" s="123">
        <v>0</v>
      </c>
      <c r="T126" s="117">
        <v>0</v>
      </c>
      <c r="U126" s="117">
        <v>0</v>
      </c>
      <c r="V126" s="123">
        <v>0</v>
      </c>
      <c r="W126" s="117">
        <v>0</v>
      </c>
      <c r="X126" s="117">
        <v>0</v>
      </c>
      <c r="Y126" s="117">
        <v>0</v>
      </c>
      <c r="Z126" s="117">
        <v>0</v>
      </c>
      <c r="AA126" s="117">
        <v>0</v>
      </c>
      <c r="AB126" s="117">
        <v>0</v>
      </c>
      <c r="AC126" s="117">
        <v>0</v>
      </c>
      <c r="AD126" s="117">
        <v>0</v>
      </c>
      <c r="AE126" s="117">
        <v>0</v>
      </c>
      <c r="AF126" s="117">
        <v>0</v>
      </c>
      <c r="AG126" s="117">
        <v>0</v>
      </c>
      <c r="AH126" s="123">
        <v>0</v>
      </c>
      <c r="AI126" s="123">
        <v>0</v>
      </c>
      <c r="AJ126" s="123">
        <v>0</v>
      </c>
      <c r="AK126" s="123">
        <v>0</v>
      </c>
      <c r="AL126" s="117">
        <v>0</v>
      </c>
      <c r="AM126" s="117">
        <v>0</v>
      </c>
      <c r="AN126" s="117">
        <v>0</v>
      </c>
      <c r="AO126" s="123">
        <v>0</v>
      </c>
      <c r="AP126" s="123">
        <v>0</v>
      </c>
      <c r="AQ126" s="123">
        <v>0</v>
      </c>
      <c r="AR126" s="459"/>
      <c r="AS126" s="495"/>
      <c r="AT126" s="233"/>
      <c r="AU126" s="233"/>
      <c r="AV126" s="234"/>
    </row>
    <row r="127" spans="1:50" s="235" customFormat="1" ht="12.75" customHeight="1">
      <c r="A127" s="498" t="s">
        <v>481</v>
      </c>
      <c r="B127" s="499"/>
      <c r="C127" s="500"/>
      <c r="D127" s="143" t="s">
        <v>444</v>
      </c>
      <c r="E127" s="123">
        <f>E128+E129+E130</f>
        <v>195.7</v>
      </c>
      <c r="F127" s="123">
        <f>F128+F129+F130</f>
        <v>0</v>
      </c>
      <c r="G127" s="123">
        <f>F127/E127*100</f>
        <v>0</v>
      </c>
      <c r="H127" s="123">
        <f t="shared" ref="H127:I127" si="337">H128+H129+H130</f>
        <v>0</v>
      </c>
      <c r="I127" s="123">
        <f t="shared" si="337"/>
        <v>0</v>
      </c>
      <c r="J127" s="123">
        <v>0</v>
      </c>
      <c r="K127" s="123">
        <f t="shared" ref="K127:L127" si="338">K128+K129+K130</f>
        <v>0</v>
      </c>
      <c r="L127" s="123">
        <f t="shared" si="338"/>
        <v>0</v>
      </c>
      <c r="M127" s="123">
        <v>0</v>
      </c>
      <c r="N127" s="123">
        <f t="shared" ref="N127:O127" si="339">N128+N129+N130</f>
        <v>32.6</v>
      </c>
      <c r="O127" s="123">
        <f t="shared" si="339"/>
        <v>0</v>
      </c>
      <c r="P127" s="123">
        <v>0</v>
      </c>
      <c r="Q127" s="123">
        <f t="shared" ref="Q127:R127" si="340">Q128+Q129+Q130</f>
        <v>21.6</v>
      </c>
      <c r="R127" s="123">
        <f t="shared" si="340"/>
        <v>0</v>
      </c>
      <c r="S127" s="123">
        <v>0</v>
      </c>
      <c r="T127" s="123">
        <f t="shared" ref="T127:U127" si="341">T128+T129+T130</f>
        <v>21.6</v>
      </c>
      <c r="U127" s="123">
        <f t="shared" si="341"/>
        <v>0</v>
      </c>
      <c r="V127" s="123">
        <v>0</v>
      </c>
      <c r="W127" s="123">
        <f t="shared" ref="W127:X127" si="342">W128+W129+W130</f>
        <v>22</v>
      </c>
      <c r="X127" s="123">
        <f t="shared" si="342"/>
        <v>0</v>
      </c>
      <c r="Y127" s="123">
        <v>0</v>
      </c>
      <c r="Z127" s="123">
        <f t="shared" ref="Z127:AA127" si="343">Z128+Z129+Z130</f>
        <v>21.6</v>
      </c>
      <c r="AA127" s="123">
        <f t="shared" si="343"/>
        <v>0</v>
      </c>
      <c r="AB127" s="123">
        <v>0</v>
      </c>
      <c r="AC127" s="123">
        <f t="shared" ref="AC127:AD127" si="344">AC128+AC129+AC130</f>
        <v>21.6</v>
      </c>
      <c r="AD127" s="123">
        <f t="shared" si="344"/>
        <v>0</v>
      </c>
      <c r="AE127" s="123">
        <v>0</v>
      </c>
      <c r="AF127" s="123">
        <f t="shared" ref="AF127:AG127" si="345">AF128+AF129+AF130</f>
        <v>22</v>
      </c>
      <c r="AG127" s="123">
        <f t="shared" si="345"/>
        <v>0</v>
      </c>
      <c r="AH127" s="123">
        <v>0</v>
      </c>
      <c r="AI127" s="123">
        <f t="shared" ref="AI127:AJ127" si="346">AI128+AI129+AI130</f>
        <v>10.9</v>
      </c>
      <c r="AJ127" s="123">
        <f t="shared" si="346"/>
        <v>0</v>
      </c>
      <c r="AK127" s="123">
        <v>0</v>
      </c>
      <c r="AL127" s="123">
        <f t="shared" ref="AL127" si="347">AL128+AL129+AL130</f>
        <v>10.799999999999999</v>
      </c>
      <c r="AM127" s="123">
        <v>0</v>
      </c>
      <c r="AN127" s="123">
        <v>0</v>
      </c>
      <c r="AO127" s="123">
        <f t="shared" ref="AO127" si="348">AO128+AO129+AO130</f>
        <v>11</v>
      </c>
      <c r="AP127" s="123">
        <v>0</v>
      </c>
      <c r="AQ127" s="228">
        <v>0</v>
      </c>
      <c r="AR127" s="459"/>
      <c r="AS127" s="495"/>
      <c r="AT127" s="233"/>
      <c r="AU127" s="233"/>
      <c r="AV127" s="234"/>
    </row>
    <row r="128" spans="1:50" s="235" customFormat="1" ht="48">
      <c r="A128" s="501"/>
      <c r="B128" s="502"/>
      <c r="C128" s="503"/>
      <c r="D128" s="220" t="s">
        <v>442</v>
      </c>
      <c r="E128" s="123">
        <f>H128+K128+N128+Q128+T128+W128+Z128+AC128+AF128+AI128+AL128+AO128</f>
        <v>32.1</v>
      </c>
      <c r="F128" s="123">
        <f>I128+L128+O128+R128+U128+X128+AA128+AD128+AG128+AJ128+AM128+AP128</f>
        <v>0</v>
      </c>
      <c r="G128" s="123">
        <f>F128/E128*100</f>
        <v>0</v>
      </c>
      <c r="H128" s="123">
        <v>0</v>
      </c>
      <c r="I128" s="123">
        <v>0</v>
      </c>
      <c r="J128" s="123">
        <v>0</v>
      </c>
      <c r="K128" s="123">
        <v>0</v>
      </c>
      <c r="L128" s="123">
        <v>0</v>
      </c>
      <c r="M128" s="123">
        <v>0</v>
      </c>
      <c r="N128" s="123">
        <v>5.3</v>
      </c>
      <c r="O128" s="123">
        <v>0</v>
      </c>
      <c r="P128" s="123">
        <v>0</v>
      </c>
      <c r="Q128" s="123">
        <v>3.5</v>
      </c>
      <c r="R128" s="123">
        <v>0</v>
      </c>
      <c r="S128" s="123">
        <v>0</v>
      </c>
      <c r="T128" s="123">
        <v>3.5</v>
      </c>
      <c r="U128" s="123">
        <v>0</v>
      </c>
      <c r="V128" s="123">
        <v>0</v>
      </c>
      <c r="W128" s="123">
        <v>3.7</v>
      </c>
      <c r="X128" s="123">
        <v>0</v>
      </c>
      <c r="Y128" s="123">
        <v>0</v>
      </c>
      <c r="Z128" s="123">
        <v>3.5</v>
      </c>
      <c r="AA128" s="123">
        <v>0</v>
      </c>
      <c r="AB128" s="123">
        <v>0</v>
      </c>
      <c r="AC128" s="123">
        <v>3.5</v>
      </c>
      <c r="AD128" s="123">
        <v>0</v>
      </c>
      <c r="AE128" s="123">
        <v>0</v>
      </c>
      <c r="AF128" s="123">
        <v>3.7</v>
      </c>
      <c r="AG128" s="123">
        <v>0</v>
      </c>
      <c r="AH128" s="123">
        <v>0</v>
      </c>
      <c r="AI128" s="123">
        <v>1.8</v>
      </c>
      <c r="AJ128" s="123">
        <v>0</v>
      </c>
      <c r="AK128" s="123">
        <v>0</v>
      </c>
      <c r="AL128" s="123">
        <v>1.7</v>
      </c>
      <c r="AM128" s="123">
        <v>0</v>
      </c>
      <c r="AN128" s="123">
        <v>0</v>
      </c>
      <c r="AO128" s="123">
        <v>1.9</v>
      </c>
      <c r="AP128" s="123">
        <v>0</v>
      </c>
      <c r="AQ128" s="228">
        <v>0</v>
      </c>
      <c r="AR128" s="459"/>
      <c r="AS128" s="495"/>
      <c r="AT128" s="233"/>
      <c r="AU128" s="233"/>
      <c r="AV128" s="234"/>
    </row>
    <row r="129" spans="1:48" s="235" customFormat="1" ht="12.75">
      <c r="A129" s="501"/>
      <c r="B129" s="502"/>
      <c r="C129" s="503"/>
      <c r="D129" s="220" t="s">
        <v>457</v>
      </c>
      <c r="E129" s="123">
        <f t="shared" ref="E129:F130" si="349">H129+K129+N129+Q129+T129+W129+Z129+AC129+AF129+AI129+AL129+AO129</f>
        <v>163.6</v>
      </c>
      <c r="F129" s="123">
        <f>I129+L129+O129+R129+U129+X129+AA129+AD129+AG129+AJ129+AM129+AP129</f>
        <v>0</v>
      </c>
      <c r="G129" s="123">
        <f>F129/E129*100</f>
        <v>0</v>
      </c>
      <c r="H129" s="123">
        <v>0</v>
      </c>
      <c r="I129" s="123">
        <v>0</v>
      </c>
      <c r="J129" s="123">
        <v>0</v>
      </c>
      <c r="K129" s="123">
        <v>0</v>
      </c>
      <c r="L129" s="123">
        <v>0</v>
      </c>
      <c r="M129" s="123">
        <v>0</v>
      </c>
      <c r="N129" s="123">
        <v>27.3</v>
      </c>
      <c r="O129" s="123">
        <v>0</v>
      </c>
      <c r="P129" s="123">
        <v>0</v>
      </c>
      <c r="Q129" s="123">
        <v>18.100000000000001</v>
      </c>
      <c r="R129" s="123">
        <v>0</v>
      </c>
      <c r="S129" s="123">
        <v>0</v>
      </c>
      <c r="T129" s="123">
        <v>18.100000000000001</v>
      </c>
      <c r="U129" s="123">
        <v>0</v>
      </c>
      <c r="V129" s="123">
        <v>0</v>
      </c>
      <c r="W129" s="123">
        <v>18.3</v>
      </c>
      <c r="X129" s="123">
        <v>0</v>
      </c>
      <c r="Y129" s="123">
        <v>0</v>
      </c>
      <c r="Z129" s="123">
        <v>18.100000000000001</v>
      </c>
      <c r="AA129" s="123">
        <v>0</v>
      </c>
      <c r="AB129" s="123">
        <v>0</v>
      </c>
      <c r="AC129" s="123">
        <v>18.100000000000001</v>
      </c>
      <c r="AD129" s="123">
        <v>0</v>
      </c>
      <c r="AE129" s="123">
        <v>0</v>
      </c>
      <c r="AF129" s="123">
        <v>18.3</v>
      </c>
      <c r="AG129" s="123">
        <v>0</v>
      </c>
      <c r="AH129" s="123">
        <v>0</v>
      </c>
      <c r="AI129" s="123">
        <v>9.1</v>
      </c>
      <c r="AJ129" s="123">
        <v>0</v>
      </c>
      <c r="AK129" s="123">
        <v>0</v>
      </c>
      <c r="AL129" s="123">
        <v>9.1</v>
      </c>
      <c r="AM129" s="123">
        <v>0</v>
      </c>
      <c r="AN129" s="123">
        <v>0</v>
      </c>
      <c r="AO129" s="123">
        <v>9.1</v>
      </c>
      <c r="AP129" s="123">
        <v>0</v>
      </c>
      <c r="AQ129" s="228">
        <v>0</v>
      </c>
      <c r="AR129" s="459"/>
      <c r="AS129" s="495"/>
      <c r="AT129" s="233"/>
      <c r="AU129" s="233"/>
      <c r="AV129" s="234"/>
    </row>
    <row r="130" spans="1:48" s="235" customFormat="1" ht="24">
      <c r="A130" s="501"/>
      <c r="B130" s="502"/>
      <c r="C130" s="503"/>
      <c r="D130" s="143" t="s">
        <v>257</v>
      </c>
      <c r="E130" s="123">
        <f t="shared" si="349"/>
        <v>0</v>
      </c>
      <c r="F130" s="123">
        <f t="shared" si="349"/>
        <v>0</v>
      </c>
      <c r="G130" s="123">
        <v>0</v>
      </c>
      <c r="H130" s="123">
        <v>0</v>
      </c>
      <c r="I130" s="123">
        <v>0</v>
      </c>
      <c r="J130" s="123">
        <v>0</v>
      </c>
      <c r="K130" s="123">
        <v>0</v>
      </c>
      <c r="L130" s="123">
        <v>0</v>
      </c>
      <c r="M130" s="123">
        <v>0</v>
      </c>
      <c r="N130" s="123">
        <v>0</v>
      </c>
      <c r="O130" s="123">
        <v>0</v>
      </c>
      <c r="P130" s="123">
        <v>0</v>
      </c>
      <c r="Q130" s="123">
        <v>0</v>
      </c>
      <c r="R130" s="123">
        <v>0</v>
      </c>
      <c r="S130" s="123">
        <v>0</v>
      </c>
      <c r="T130" s="123">
        <v>0</v>
      </c>
      <c r="U130" s="123">
        <v>0</v>
      </c>
      <c r="V130" s="123">
        <v>0</v>
      </c>
      <c r="W130" s="123">
        <v>0</v>
      </c>
      <c r="X130" s="123">
        <v>0</v>
      </c>
      <c r="Y130" s="123">
        <v>0</v>
      </c>
      <c r="Z130" s="123">
        <v>0</v>
      </c>
      <c r="AA130" s="123">
        <v>0</v>
      </c>
      <c r="AB130" s="123">
        <v>0</v>
      </c>
      <c r="AC130" s="123">
        <v>0</v>
      </c>
      <c r="AD130" s="123">
        <v>0</v>
      </c>
      <c r="AE130" s="123">
        <v>0</v>
      </c>
      <c r="AF130" s="123">
        <v>0</v>
      </c>
      <c r="AG130" s="123">
        <v>0</v>
      </c>
      <c r="AH130" s="123">
        <v>0</v>
      </c>
      <c r="AI130" s="123">
        <v>0</v>
      </c>
      <c r="AJ130" s="123">
        <v>0</v>
      </c>
      <c r="AK130" s="123">
        <v>0</v>
      </c>
      <c r="AL130" s="123">
        <v>0</v>
      </c>
      <c r="AM130" s="123">
        <v>0</v>
      </c>
      <c r="AN130" s="123">
        <v>0</v>
      </c>
      <c r="AO130" s="123">
        <v>0</v>
      </c>
      <c r="AP130" s="123">
        <v>0</v>
      </c>
      <c r="AQ130" s="228">
        <v>0</v>
      </c>
      <c r="AR130" s="459"/>
      <c r="AS130" s="495"/>
      <c r="AT130" s="233"/>
      <c r="AU130" s="233"/>
      <c r="AV130" s="234"/>
    </row>
    <row r="131" spans="1:48" s="235" customFormat="1" ht="24">
      <c r="A131" s="504"/>
      <c r="B131" s="505"/>
      <c r="C131" s="506"/>
      <c r="D131" s="143" t="s">
        <v>462</v>
      </c>
      <c r="E131" s="123">
        <f>H131+K131+N131+Q131+T131+W131+Z131+AC131+AF131+AI131+AL131+AO131</f>
        <v>0</v>
      </c>
      <c r="F131" s="123">
        <f>I131+L131+O131+R131+U131+X131+AA131+AD131+AG131+AJ131+AM131+AP131</f>
        <v>0</v>
      </c>
      <c r="G131" s="123">
        <v>0</v>
      </c>
      <c r="H131" s="123">
        <v>0</v>
      </c>
      <c r="I131" s="123">
        <v>0</v>
      </c>
      <c r="J131" s="123">
        <v>0</v>
      </c>
      <c r="K131" s="132">
        <v>0</v>
      </c>
      <c r="L131" s="123">
        <v>0</v>
      </c>
      <c r="M131" s="123">
        <v>0</v>
      </c>
      <c r="N131" s="123">
        <v>0</v>
      </c>
      <c r="O131" s="123">
        <v>0</v>
      </c>
      <c r="P131" s="123">
        <v>0</v>
      </c>
      <c r="Q131" s="123">
        <v>0</v>
      </c>
      <c r="R131" s="123">
        <v>0</v>
      </c>
      <c r="S131" s="123">
        <v>0</v>
      </c>
      <c r="T131" s="117">
        <v>0</v>
      </c>
      <c r="U131" s="117">
        <v>0</v>
      </c>
      <c r="V131" s="123">
        <v>0</v>
      </c>
      <c r="W131" s="117">
        <v>0</v>
      </c>
      <c r="X131" s="117">
        <v>0</v>
      </c>
      <c r="Y131" s="117">
        <v>0</v>
      </c>
      <c r="Z131" s="117">
        <v>0</v>
      </c>
      <c r="AA131" s="117">
        <v>0</v>
      </c>
      <c r="AB131" s="117">
        <v>0</v>
      </c>
      <c r="AC131" s="117">
        <v>0</v>
      </c>
      <c r="AD131" s="117">
        <v>0</v>
      </c>
      <c r="AE131" s="117">
        <v>0</v>
      </c>
      <c r="AF131" s="117">
        <v>0</v>
      </c>
      <c r="AG131" s="117">
        <v>0</v>
      </c>
      <c r="AH131" s="123">
        <v>0</v>
      </c>
      <c r="AI131" s="123">
        <v>0</v>
      </c>
      <c r="AJ131" s="123">
        <v>0</v>
      </c>
      <c r="AK131" s="123">
        <v>0</v>
      </c>
      <c r="AL131" s="117">
        <v>0</v>
      </c>
      <c r="AM131" s="117">
        <v>0</v>
      </c>
      <c r="AN131" s="117">
        <v>0</v>
      </c>
      <c r="AO131" s="123">
        <v>0</v>
      </c>
      <c r="AP131" s="123">
        <v>0</v>
      </c>
      <c r="AQ131" s="123">
        <v>0</v>
      </c>
      <c r="AR131" s="459"/>
      <c r="AS131" s="495"/>
      <c r="AT131" s="233"/>
      <c r="AU131" s="233"/>
      <c r="AV131" s="234"/>
    </row>
    <row r="132" spans="1:48" s="235" customFormat="1" ht="12.75" customHeight="1">
      <c r="A132" s="498" t="s">
        <v>482</v>
      </c>
      <c r="B132" s="499"/>
      <c r="C132" s="500"/>
      <c r="D132" s="143" t="s">
        <v>444</v>
      </c>
      <c r="E132" s="123">
        <f>E133+E134+E135</f>
        <v>919</v>
      </c>
      <c r="F132" s="123">
        <f>F133+F134+F135</f>
        <v>0</v>
      </c>
      <c r="G132" s="123">
        <v>100</v>
      </c>
      <c r="H132" s="123">
        <f t="shared" ref="H132:I132" si="350">H133+H134+H135</f>
        <v>0</v>
      </c>
      <c r="I132" s="123">
        <f t="shared" si="350"/>
        <v>0</v>
      </c>
      <c r="J132" s="123">
        <v>0</v>
      </c>
      <c r="K132" s="123">
        <f t="shared" ref="K132:L132" si="351">K133+K134+K135</f>
        <v>0</v>
      </c>
      <c r="L132" s="123">
        <f t="shared" si="351"/>
        <v>0</v>
      </c>
      <c r="M132" s="123">
        <v>0</v>
      </c>
      <c r="N132" s="123">
        <f t="shared" ref="N132:O132" si="352">N133+N134+N135</f>
        <v>0</v>
      </c>
      <c r="O132" s="123">
        <f t="shared" si="352"/>
        <v>0</v>
      </c>
      <c r="P132" s="123">
        <v>0</v>
      </c>
      <c r="Q132" s="123">
        <f t="shared" ref="Q132:R132" si="353">Q133+Q134+Q135</f>
        <v>0</v>
      </c>
      <c r="R132" s="123">
        <f t="shared" si="353"/>
        <v>0</v>
      </c>
      <c r="S132" s="123">
        <v>0</v>
      </c>
      <c r="T132" s="123">
        <f t="shared" ref="T132:U132" si="354">T133+T134+T135</f>
        <v>0</v>
      </c>
      <c r="U132" s="123">
        <f t="shared" si="354"/>
        <v>0</v>
      </c>
      <c r="V132" s="123">
        <v>0</v>
      </c>
      <c r="W132" s="123">
        <f t="shared" ref="W132:X132" si="355">W133+W134+W135</f>
        <v>0</v>
      </c>
      <c r="X132" s="123">
        <f t="shared" si="355"/>
        <v>0</v>
      </c>
      <c r="Y132" s="123">
        <v>0</v>
      </c>
      <c r="Z132" s="123">
        <f t="shared" ref="Z132:AA132" si="356">Z133+Z134+Z135</f>
        <v>723.3</v>
      </c>
      <c r="AA132" s="123">
        <f t="shared" si="356"/>
        <v>0</v>
      </c>
      <c r="AB132" s="123">
        <v>0</v>
      </c>
      <c r="AC132" s="123">
        <f t="shared" ref="AC132:AD132" si="357">AC133+AC134+AC135</f>
        <v>0</v>
      </c>
      <c r="AD132" s="123">
        <f t="shared" si="357"/>
        <v>0</v>
      </c>
      <c r="AE132" s="123">
        <v>0</v>
      </c>
      <c r="AF132" s="123">
        <f t="shared" ref="AF132:AG132" si="358">AF133+AF134+AF135</f>
        <v>195.7</v>
      </c>
      <c r="AG132" s="123">
        <f t="shared" si="358"/>
        <v>0</v>
      </c>
      <c r="AH132" s="123">
        <v>0</v>
      </c>
      <c r="AI132" s="123">
        <f t="shared" ref="AI132:AJ132" si="359">AI133+AI134+AI135</f>
        <v>0</v>
      </c>
      <c r="AJ132" s="123">
        <f t="shared" si="359"/>
        <v>0</v>
      </c>
      <c r="AK132" s="123">
        <v>0</v>
      </c>
      <c r="AL132" s="123">
        <f t="shared" ref="AL132" si="360">AL133+AL134+AL135</f>
        <v>0</v>
      </c>
      <c r="AM132" s="123">
        <v>0</v>
      </c>
      <c r="AN132" s="123">
        <v>0</v>
      </c>
      <c r="AO132" s="123">
        <f t="shared" ref="AO132" si="361">AO133+AO134+AO135</f>
        <v>0</v>
      </c>
      <c r="AP132" s="123">
        <v>0</v>
      </c>
      <c r="AQ132" s="228">
        <v>0</v>
      </c>
      <c r="AR132" s="459"/>
      <c r="AS132" s="495"/>
      <c r="AT132" s="233"/>
      <c r="AU132" s="233"/>
      <c r="AV132" s="234"/>
    </row>
    <row r="133" spans="1:48" s="235" customFormat="1" ht="48">
      <c r="A133" s="501"/>
      <c r="B133" s="502"/>
      <c r="C133" s="503"/>
      <c r="D133" s="220" t="s">
        <v>442</v>
      </c>
      <c r="E133" s="123">
        <f>H133+K133+N133+Q133+T133+W133+Z133+AC133+AF133+AI133+AL133+AO133</f>
        <v>32.1</v>
      </c>
      <c r="F133" s="123">
        <f>I133+L133+O133+R133+U133+X133+AA133+AD133+AG133+AJ133+AM133+AP133</f>
        <v>0</v>
      </c>
      <c r="G133" s="123">
        <v>0</v>
      </c>
      <c r="H133" s="123">
        <v>0</v>
      </c>
      <c r="I133" s="123">
        <v>0</v>
      </c>
      <c r="J133" s="123">
        <v>0</v>
      </c>
      <c r="K133" s="123">
        <v>0</v>
      </c>
      <c r="L133" s="123">
        <v>0</v>
      </c>
      <c r="M133" s="123">
        <v>0</v>
      </c>
      <c r="N133" s="123">
        <v>0</v>
      </c>
      <c r="O133" s="123">
        <v>0</v>
      </c>
      <c r="P133" s="123">
        <v>0</v>
      </c>
      <c r="Q133" s="123">
        <v>0</v>
      </c>
      <c r="R133" s="123">
        <v>0</v>
      </c>
      <c r="S133" s="123">
        <v>0</v>
      </c>
      <c r="T133" s="123">
        <v>0</v>
      </c>
      <c r="U133" s="123">
        <v>0</v>
      </c>
      <c r="V133" s="123">
        <v>0</v>
      </c>
      <c r="W133" s="123">
        <v>0</v>
      </c>
      <c r="X133" s="123">
        <v>0</v>
      </c>
      <c r="Y133" s="123">
        <v>0</v>
      </c>
      <c r="Z133" s="123">
        <v>0</v>
      </c>
      <c r="AA133" s="123">
        <v>0</v>
      </c>
      <c r="AB133" s="123">
        <v>0</v>
      </c>
      <c r="AC133" s="123">
        <v>0</v>
      </c>
      <c r="AD133" s="123">
        <v>0</v>
      </c>
      <c r="AE133" s="123">
        <v>0</v>
      </c>
      <c r="AF133" s="123">
        <v>32.1</v>
      </c>
      <c r="AG133" s="123">
        <v>0</v>
      </c>
      <c r="AH133" s="123">
        <v>0</v>
      </c>
      <c r="AI133" s="123">
        <v>0</v>
      </c>
      <c r="AJ133" s="123">
        <v>0</v>
      </c>
      <c r="AK133" s="123">
        <v>0</v>
      </c>
      <c r="AL133" s="123">
        <v>0</v>
      </c>
      <c r="AM133" s="123">
        <v>0</v>
      </c>
      <c r="AN133" s="123">
        <v>0</v>
      </c>
      <c r="AO133" s="123">
        <v>0</v>
      </c>
      <c r="AP133" s="123">
        <v>0</v>
      </c>
      <c r="AQ133" s="228">
        <v>0</v>
      </c>
      <c r="AR133" s="459"/>
      <c r="AS133" s="495"/>
      <c r="AT133" s="233"/>
      <c r="AU133" s="233"/>
      <c r="AV133" s="234"/>
    </row>
    <row r="134" spans="1:48" s="235" customFormat="1" ht="12.75">
      <c r="A134" s="501"/>
      <c r="B134" s="502"/>
      <c r="C134" s="503"/>
      <c r="D134" s="220" t="s">
        <v>457</v>
      </c>
      <c r="E134" s="123">
        <f>H134+K134+N134+Q134+T134+W134+Z134+AC134+AF134+AI134+AL134+AO134</f>
        <v>886.9</v>
      </c>
      <c r="F134" s="123">
        <f>I134+L134+O134+R134+U134+X134+AA134+AD134+AG134+AJ134+AM134+AP134</f>
        <v>0</v>
      </c>
      <c r="G134" s="123">
        <v>0</v>
      </c>
      <c r="H134" s="123">
        <v>0</v>
      </c>
      <c r="I134" s="123">
        <v>0</v>
      </c>
      <c r="J134" s="123">
        <v>0</v>
      </c>
      <c r="K134" s="123">
        <v>0</v>
      </c>
      <c r="L134" s="123">
        <v>0</v>
      </c>
      <c r="M134" s="123">
        <v>0</v>
      </c>
      <c r="N134" s="123">
        <v>0</v>
      </c>
      <c r="O134" s="123">
        <v>0</v>
      </c>
      <c r="P134" s="123">
        <v>0</v>
      </c>
      <c r="Q134" s="123">
        <v>0</v>
      </c>
      <c r="R134" s="123">
        <v>0</v>
      </c>
      <c r="S134" s="123">
        <v>0</v>
      </c>
      <c r="T134" s="123">
        <v>0</v>
      </c>
      <c r="U134" s="123">
        <v>0</v>
      </c>
      <c r="V134" s="123">
        <v>0</v>
      </c>
      <c r="W134" s="123">
        <v>0</v>
      </c>
      <c r="X134" s="123">
        <v>0</v>
      </c>
      <c r="Y134" s="123">
        <v>0</v>
      </c>
      <c r="Z134" s="123">
        <v>723.3</v>
      </c>
      <c r="AA134" s="123">
        <v>0</v>
      </c>
      <c r="AB134" s="123">
        <v>0</v>
      </c>
      <c r="AC134" s="123">
        <v>0</v>
      </c>
      <c r="AD134" s="123">
        <v>0</v>
      </c>
      <c r="AE134" s="123">
        <v>0</v>
      </c>
      <c r="AF134" s="123">
        <v>163.6</v>
      </c>
      <c r="AG134" s="123">
        <v>0</v>
      </c>
      <c r="AH134" s="123">
        <v>0</v>
      </c>
      <c r="AI134" s="123">
        <v>0</v>
      </c>
      <c r="AJ134" s="123">
        <v>0</v>
      </c>
      <c r="AK134" s="123">
        <v>0</v>
      </c>
      <c r="AL134" s="123">
        <v>0</v>
      </c>
      <c r="AM134" s="123">
        <v>0</v>
      </c>
      <c r="AN134" s="123">
        <v>0</v>
      </c>
      <c r="AO134" s="123">
        <v>0</v>
      </c>
      <c r="AP134" s="123">
        <v>0</v>
      </c>
      <c r="AQ134" s="228">
        <v>0</v>
      </c>
      <c r="AR134" s="459"/>
      <c r="AS134" s="495"/>
      <c r="AT134" s="233"/>
      <c r="AU134" s="233"/>
      <c r="AV134" s="234"/>
    </row>
    <row r="135" spans="1:48" s="235" customFormat="1" ht="24">
      <c r="A135" s="501"/>
      <c r="B135" s="502"/>
      <c r="C135" s="503"/>
      <c r="D135" s="143" t="s">
        <v>257</v>
      </c>
      <c r="E135" s="123">
        <f t="shared" ref="E135:F135" si="362">H135+K135+N135+Q135+T135+W135+Z135+AC135+AF135+AI135+AL135+AO135</f>
        <v>0</v>
      </c>
      <c r="F135" s="123">
        <f t="shared" si="362"/>
        <v>0</v>
      </c>
      <c r="G135" s="123">
        <v>0</v>
      </c>
      <c r="H135" s="123">
        <v>0</v>
      </c>
      <c r="I135" s="123">
        <v>0</v>
      </c>
      <c r="J135" s="123">
        <v>0</v>
      </c>
      <c r="K135" s="123">
        <v>0</v>
      </c>
      <c r="L135" s="123">
        <v>0</v>
      </c>
      <c r="M135" s="123">
        <v>0</v>
      </c>
      <c r="N135" s="123">
        <v>0</v>
      </c>
      <c r="O135" s="123">
        <v>0</v>
      </c>
      <c r="P135" s="123">
        <v>0</v>
      </c>
      <c r="Q135" s="123">
        <v>0</v>
      </c>
      <c r="R135" s="123">
        <v>0</v>
      </c>
      <c r="S135" s="123">
        <v>0</v>
      </c>
      <c r="T135" s="123">
        <v>0</v>
      </c>
      <c r="U135" s="123">
        <v>0</v>
      </c>
      <c r="V135" s="123">
        <v>0</v>
      </c>
      <c r="W135" s="123">
        <v>0</v>
      </c>
      <c r="X135" s="123">
        <v>0</v>
      </c>
      <c r="Y135" s="123">
        <v>0</v>
      </c>
      <c r="Z135" s="123">
        <v>0</v>
      </c>
      <c r="AA135" s="123">
        <v>0</v>
      </c>
      <c r="AB135" s="123">
        <v>0</v>
      </c>
      <c r="AC135" s="123">
        <v>0</v>
      </c>
      <c r="AD135" s="123">
        <v>0</v>
      </c>
      <c r="AE135" s="123">
        <v>0</v>
      </c>
      <c r="AF135" s="123">
        <v>0</v>
      </c>
      <c r="AG135" s="123">
        <v>0</v>
      </c>
      <c r="AH135" s="123">
        <v>0</v>
      </c>
      <c r="AI135" s="123">
        <v>0</v>
      </c>
      <c r="AJ135" s="123">
        <v>0</v>
      </c>
      <c r="AK135" s="123">
        <v>0</v>
      </c>
      <c r="AL135" s="123">
        <v>0</v>
      </c>
      <c r="AM135" s="123">
        <v>0</v>
      </c>
      <c r="AN135" s="123">
        <v>0</v>
      </c>
      <c r="AO135" s="123">
        <v>0</v>
      </c>
      <c r="AP135" s="123">
        <v>0</v>
      </c>
      <c r="AQ135" s="228">
        <v>0</v>
      </c>
      <c r="AR135" s="459"/>
      <c r="AS135" s="495"/>
      <c r="AT135" s="233"/>
      <c r="AU135" s="233"/>
      <c r="AV135" s="234"/>
    </row>
    <row r="136" spans="1:48" s="235" customFormat="1" ht="24">
      <c r="A136" s="504"/>
      <c r="B136" s="505"/>
      <c r="C136" s="506"/>
      <c r="D136" s="143" t="s">
        <v>462</v>
      </c>
      <c r="E136" s="123">
        <f>H136+K136+N136+Q136+T136+W136+Z136+AC136+AF136+AI136+AL136+AO136</f>
        <v>0</v>
      </c>
      <c r="F136" s="123">
        <f>I136+L136+O136+R136+U136+X136+AA136+AD136+AG136+AJ136+AM136+AP136</f>
        <v>0</v>
      </c>
      <c r="G136" s="123">
        <v>0</v>
      </c>
      <c r="H136" s="123">
        <v>0</v>
      </c>
      <c r="I136" s="123">
        <v>0</v>
      </c>
      <c r="J136" s="123">
        <v>0</v>
      </c>
      <c r="K136" s="132">
        <v>0</v>
      </c>
      <c r="L136" s="123">
        <v>0</v>
      </c>
      <c r="M136" s="123">
        <v>0</v>
      </c>
      <c r="N136" s="123">
        <v>0</v>
      </c>
      <c r="O136" s="123">
        <v>0</v>
      </c>
      <c r="P136" s="123">
        <v>0</v>
      </c>
      <c r="Q136" s="123">
        <v>0</v>
      </c>
      <c r="R136" s="123">
        <v>0</v>
      </c>
      <c r="S136" s="123">
        <v>0</v>
      </c>
      <c r="T136" s="117">
        <v>0</v>
      </c>
      <c r="U136" s="117">
        <v>0</v>
      </c>
      <c r="V136" s="123">
        <v>0</v>
      </c>
      <c r="W136" s="117">
        <v>0</v>
      </c>
      <c r="X136" s="117">
        <v>0</v>
      </c>
      <c r="Y136" s="117">
        <v>0</v>
      </c>
      <c r="Z136" s="117">
        <v>0</v>
      </c>
      <c r="AA136" s="117">
        <v>0</v>
      </c>
      <c r="AB136" s="117">
        <v>0</v>
      </c>
      <c r="AC136" s="117">
        <v>0</v>
      </c>
      <c r="AD136" s="117">
        <v>0</v>
      </c>
      <c r="AE136" s="117">
        <v>0</v>
      </c>
      <c r="AF136" s="117">
        <v>0</v>
      </c>
      <c r="AG136" s="117">
        <v>0</v>
      </c>
      <c r="AH136" s="123">
        <v>0</v>
      </c>
      <c r="AI136" s="123">
        <v>0</v>
      </c>
      <c r="AJ136" s="123">
        <v>0</v>
      </c>
      <c r="AK136" s="123">
        <v>0</v>
      </c>
      <c r="AL136" s="117">
        <v>0</v>
      </c>
      <c r="AM136" s="117">
        <v>0</v>
      </c>
      <c r="AN136" s="117">
        <v>0</v>
      </c>
      <c r="AO136" s="123">
        <v>0</v>
      </c>
      <c r="AP136" s="123">
        <v>0</v>
      </c>
      <c r="AQ136" s="123">
        <v>0</v>
      </c>
      <c r="AR136" s="459"/>
      <c r="AS136" s="495"/>
      <c r="AT136" s="233"/>
      <c r="AU136" s="233"/>
      <c r="AV136" s="234"/>
    </row>
    <row r="137" spans="1:48" s="235" customFormat="1" ht="12.75" customHeight="1">
      <c r="A137" s="498" t="s">
        <v>483</v>
      </c>
      <c r="B137" s="499"/>
      <c r="C137" s="500"/>
      <c r="D137" s="143" t="s">
        <v>444</v>
      </c>
      <c r="E137" s="123">
        <f>E138+E139+E140</f>
        <v>1267.0999999999999</v>
      </c>
      <c r="F137" s="123">
        <f>F138+F139+F140</f>
        <v>57.1</v>
      </c>
      <c r="G137" s="123">
        <f>F137/E137*100</f>
        <v>4.5063530897324604</v>
      </c>
      <c r="H137" s="123">
        <f t="shared" ref="H137:I137" si="363">H138+H139+H140</f>
        <v>0</v>
      </c>
      <c r="I137" s="123">
        <f t="shared" si="363"/>
        <v>0</v>
      </c>
      <c r="J137" s="123">
        <v>0</v>
      </c>
      <c r="K137" s="123">
        <f t="shared" ref="K137:L137" si="364">K138+K139+K140</f>
        <v>38</v>
      </c>
      <c r="L137" s="123">
        <f t="shared" si="364"/>
        <v>37.1</v>
      </c>
      <c r="M137" s="123">
        <f>L137/K137*100</f>
        <v>97.631578947368425</v>
      </c>
      <c r="N137" s="123">
        <f t="shared" ref="N137:O137" si="365">N138+N139+N140</f>
        <v>34</v>
      </c>
      <c r="O137" s="123">
        <f t="shared" si="365"/>
        <v>20</v>
      </c>
      <c r="P137" s="123">
        <f>O137/N137*100</f>
        <v>58.82352941176471</v>
      </c>
      <c r="Q137" s="123">
        <f t="shared" ref="Q137:R137" si="366">Q138+Q139+Q140</f>
        <v>158.9</v>
      </c>
      <c r="R137" s="123">
        <f t="shared" si="366"/>
        <v>0</v>
      </c>
      <c r="S137" s="123">
        <f>R137/Q137*100</f>
        <v>0</v>
      </c>
      <c r="T137" s="123">
        <f>T138+T139+T140</f>
        <v>32</v>
      </c>
      <c r="U137" s="123">
        <f t="shared" ref="U137" si="367">U138+U139+U140</f>
        <v>0</v>
      </c>
      <c r="V137" s="123">
        <f>U137/T137*100</f>
        <v>0</v>
      </c>
      <c r="W137" s="123">
        <f t="shared" ref="W137:X137" si="368">W138+W139+W140</f>
        <v>23</v>
      </c>
      <c r="X137" s="123">
        <f t="shared" si="368"/>
        <v>0</v>
      </c>
      <c r="Y137" s="123">
        <f>X137/W137*100</f>
        <v>0</v>
      </c>
      <c r="Z137" s="123">
        <f t="shared" ref="Z137:AA137" si="369">Z138+Z139+Z140</f>
        <v>17</v>
      </c>
      <c r="AA137" s="123">
        <f t="shared" si="369"/>
        <v>0</v>
      </c>
      <c r="AB137" s="123">
        <f>AA137/Z137*100</f>
        <v>0</v>
      </c>
      <c r="AC137" s="123">
        <f t="shared" ref="AC137:AD137" si="370">AC138+AC139+AC140</f>
        <v>18.399999999999999</v>
      </c>
      <c r="AD137" s="123">
        <f t="shared" si="370"/>
        <v>0</v>
      </c>
      <c r="AE137" s="123">
        <f>AD137/AC137*100</f>
        <v>0</v>
      </c>
      <c r="AF137" s="123">
        <f t="shared" ref="AF137:AG137" si="371">AF138+AF139+AF140</f>
        <v>768.1</v>
      </c>
      <c r="AG137" s="123">
        <f t="shared" si="371"/>
        <v>0</v>
      </c>
      <c r="AH137" s="123">
        <f>AG137/AF137*100</f>
        <v>0</v>
      </c>
      <c r="AI137" s="123">
        <f t="shared" ref="AI137:AJ137" si="372">AI138+AI139+AI140</f>
        <v>28</v>
      </c>
      <c r="AJ137" s="123">
        <f t="shared" si="372"/>
        <v>0</v>
      </c>
      <c r="AK137" s="123">
        <v>0</v>
      </c>
      <c r="AL137" s="123">
        <f t="shared" ref="AL137:AM137" si="373">AL138+AL139+AL140</f>
        <v>40</v>
      </c>
      <c r="AM137" s="123">
        <f t="shared" si="373"/>
        <v>0</v>
      </c>
      <c r="AN137" s="123">
        <v>0</v>
      </c>
      <c r="AO137" s="123">
        <f t="shared" ref="AO137:AP137" si="374">AO138+AO139+AO140</f>
        <v>109.7</v>
      </c>
      <c r="AP137" s="123">
        <f t="shared" si="374"/>
        <v>0</v>
      </c>
      <c r="AQ137" s="228">
        <f>AP137/AO137*100</f>
        <v>0</v>
      </c>
      <c r="AR137" s="459"/>
      <c r="AS137" s="495"/>
      <c r="AT137" s="233"/>
      <c r="AU137" s="233"/>
      <c r="AV137" s="234"/>
    </row>
    <row r="138" spans="1:48" s="235" customFormat="1" ht="48">
      <c r="A138" s="501"/>
      <c r="B138" s="502"/>
      <c r="C138" s="503"/>
      <c r="D138" s="220" t="s">
        <v>442</v>
      </c>
      <c r="E138" s="123">
        <f>H138+K138+N138+Q138+T138+W138+Z138+AC138+AF138+AI138+AL138+AO138</f>
        <v>869</v>
      </c>
      <c r="F138" s="123">
        <f>I138+L138+O138+R138+U138+X138+AA138+AD138+AG138+AJ138+AM138+AP138</f>
        <v>0</v>
      </c>
      <c r="G138" s="123">
        <f>F138/E138*100</f>
        <v>0</v>
      </c>
      <c r="H138" s="123">
        <v>0</v>
      </c>
      <c r="I138" s="123">
        <v>0</v>
      </c>
      <c r="J138" s="123">
        <v>0</v>
      </c>
      <c r="K138" s="123">
        <v>0</v>
      </c>
      <c r="L138" s="123">
        <v>0</v>
      </c>
      <c r="M138" s="123">
        <v>0</v>
      </c>
      <c r="N138" s="123">
        <v>0</v>
      </c>
      <c r="O138" s="123">
        <v>0</v>
      </c>
      <c r="P138" s="123">
        <v>0</v>
      </c>
      <c r="Q138" s="123">
        <v>120.9</v>
      </c>
      <c r="R138" s="123">
        <v>0</v>
      </c>
      <c r="S138" s="123">
        <v>0</v>
      </c>
      <c r="T138" s="123">
        <v>0</v>
      </c>
      <c r="U138" s="123">
        <v>0</v>
      </c>
      <c r="V138" s="123">
        <v>0</v>
      </c>
      <c r="W138" s="123">
        <v>0</v>
      </c>
      <c r="X138" s="123">
        <v>0</v>
      </c>
      <c r="Y138" s="123">
        <v>0</v>
      </c>
      <c r="Z138" s="123">
        <v>0</v>
      </c>
      <c r="AA138" s="123">
        <v>0</v>
      </c>
      <c r="AB138" s="123">
        <v>0</v>
      </c>
      <c r="AC138" s="123">
        <v>0</v>
      </c>
      <c r="AD138" s="123">
        <v>0</v>
      </c>
      <c r="AE138" s="123">
        <v>0</v>
      </c>
      <c r="AF138" s="123">
        <v>748.1</v>
      </c>
      <c r="AG138" s="123">
        <v>0</v>
      </c>
      <c r="AH138" s="123">
        <v>0</v>
      </c>
      <c r="AI138" s="123">
        <v>0</v>
      </c>
      <c r="AJ138" s="123">
        <v>0</v>
      </c>
      <c r="AK138" s="123">
        <v>0</v>
      </c>
      <c r="AL138" s="123">
        <v>0</v>
      </c>
      <c r="AM138" s="123">
        <v>0</v>
      </c>
      <c r="AN138" s="123">
        <v>0</v>
      </c>
      <c r="AO138" s="123">
        <v>0</v>
      </c>
      <c r="AP138" s="123">
        <v>0</v>
      </c>
      <c r="AQ138" s="228">
        <v>0</v>
      </c>
      <c r="AR138" s="459"/>
      <c r="AS138" s="495"/>
      <c r="AT138" s="233"/>
      <c r="AU138" s="233"/>
      <c r="AV138" s="234"/>
    </row>
    <row r="139" spans="1:48" s="235" customFormat="1" ht="12.75">
      <c r="A139" s="501"/>
      <c r="B139" s="502"/>
      <c r="C139" s="503"/>
      <c r="D139" s="220" t="s">
        <v>457</v>
      </c>
      <c r="E139" s="123">
        <f>H139+K139+N139+Q139+T139+W139+Z139+AC139+AF139+AI139+AL139+AO139</f>
        <v>398.09999999999997</v>
      </c>
      <c r="F139" s="123">
        <f t="shared" ref="E139:F141" si="375">I139+L139+O139+R139+U139+X139+AA139+AD139+AG139+AJ139+AM139+AP139</f>
        <v>57.1</v>
      </c>
      <c r="G139" s="123">
        <f>F139/E139*100</f>
        <v>14.343129866867624</v>
      </c>
      <c r="H139" s="123">
        <v>0</v>
      </c>
      <c r="I139" s="123">
        <v>0</v>
      </c>
      <c r="J139" s="123">
        <v>0</v>
      </c>
      <c r="K139" s="123">
        <v>38</v>
      </c>
      <c r="L139" s="123">
        <v>37.1</v>
      </c>
      <c r="M139" s="123">
        <f t="shared" ref="M139" si="376">L139/K139*100</f>
        <v>97.631578947368425</v>
      </c>
      <c r="N139" s="123">
        <v>34</v>
      </c>
      <c r="O139" s="123">
        <v>20</v>
      </c>
      <c r="P139" s="123">
        <f t="shared" ref="P139" si="377">O139/N139*100</f>
        <v>58.82352941176471</v>
      </c>
      <c r="Q139" s="123">
        <v>38</v>
      </c>
      <c r="R139" s="123">
        <v>0</v>
      </c>
      <c r="S139" s="123">
        <f t="shared" ref="S139" si="378">R139/Q139*100</f>
        <v>0</v>
      </c>
      <c r="T139" s="123">
        <v>32</v>
      </c>
      <c r="U139" s="123">
        <v>0</v>
      </c>
      <c r="V139" s="123">
        <f t="shared" ref="V139" si="379">U139/T139*100</f>
        <v>0</v>
      </c>
      <c r="W139" s="123">
        <v>23</v>
      </c>
      <c r="X139" s="123">
        <v>0</v>
      </c>
      <c r="Y139" s="123">
        <f t="shared" ref="Y139" si="380">X139/W139*100</f>
        <v>0</v>
      </c>
      <c r="Z139" s="123">
        <v>17</v>
      </c>
      <c r="AA139" s="123">
        <v>0</v>
      </c>
      <c r="AB139" s="123">
        <f t="shared" ref="AB139" si="381">AA139/Z139*100</f>
        <v>0</v>
      </c>
      <c r="AC139" s="123">
        <v>18.399999999999999</v>
      </c>
      <c r="AD139" s="123">
        <v>0</v>
      </c>
      <c r="AE139" s="123">
        <f t="shared" ref="AE139" si="382">AD139/AC139*100</f>
        <v>0</v>
      </c>
      <c r="AF139" s="123">
        <v>20</v>
      </c>
      <c r="AG139" s="123">
        <v>0</v>
      </c>
      <c r="AH139" s="123">
        <f t="shared" ref="AH139" si="383">AG139/AF139*100</f>
        <v>0</v>
      </c>
      <c r="AI139" s="123">
        <v>28</v>
      </c>
      <c r="AJ139" s="123">
        <v>0</v>
      </c>
      <c r="AK139" s="123">
        <v>0</v>
      </c>
      <c r="AL139" s="123">
        <v>40</v>
      </c>
      <c r="AM139" s="123">
        <v>0</v>
      </c>
      <c r="AN139" s="123">
        <v>0</v>
      </c>
      <c r="AO139" s="123">
        <v>109.7</v>
      </c>
      <c r="AP139" s="123">
        <v>0</v>
      </c>
      <c r="AQ139" s="228">
        <v>0</v>
      </c>
      <c r="AR139" s="459"/>
      <c r="AS139" s="495"/>
      <c r="AT139" s="233"/>
      <c r="AU139" s="233"/>
      <c r="AV139" s="234"/>
    </row>
    <row r="140" spans="1:48" s="235" customFormat="1" ht="24">
      <c r="A140" s="501"/>
      <c r="B140" s="502"/>
      <c r="C140" s="503"/>
      <c r="D140" s="143" t="s">
        <v>257</v>
      </c>
      <c r="E140" s="123">
        <f t="shared" si="375"/>
        <v>0</v>
      </c>
      <c r="F140" s="123">
        <f t="shared" si="375"/>
        <v>0</v>
      </c>
      <c r="G140" s="123">
        <v>0</v>
      </c>
      <c r="H140" s="123">
        <v>0</v>
      </c>
      <c r="I140" s="123">
        <v>0</v>
      </c>
      <c r="J140" s="123">
        <v>0</v>
      </c>
      <c r="K140" s="123">
        <v>0</v>
      </c>
      <c r="L140" s="123">
        <v>0</v>
      </c>
      <c r="M140" s="123">
        <v>0</v>
      </c>
      <c r="N140" s="123">
        <v>0</v>
      </c>
      <c r="O140" s="123">
        <v>0</v>
      </c>
      <c r="P140" s="123">
        <v>0</v>
      </c>
      <c r="Q140" s="123">
        <v>0</v>
      </c>
      <c r="R140" s="123">
        <v>0</v>
      </c>
      <c r="S140" s="123">
        <v>0</v>
      </c>
      <c r="T140" s="123">
        <v>0</v>
      </c>
      <c r="U140" s="123">
        <v>0</v>
      </c>
      <c r="V140" s="123">
        <v>0</v>
      </c>
      <c r="W140" s="123">
        <v>0</v>
      </c>
      <c r="X140" s="123">
        <v>0</v>
      </c>
      <c r="Y140" s="123">
        <v>0</v>
      </c>
      <c r="Z140" s="123">
        <v>0</v>
      </c>
      <c r="AA140" s="123">
        <v>0</v>
      </c>
      <c r="AB140" s="123">
        <v>0</v>
      </c>
      <c r="AC140" s="123">
        <v>0</v>
      </c>
      <c r="AD140" s="123">
        <v>0</v>
      </c>
      <c r="AE140" s="123">
        <v>0</v>
      </c>
      <c r="AF140" s="123">
        <v>0</v>
      </c>
      <c r="AG140" s="123">
        <v>0</v>
      </c>
      <c r="AH140" s="123">
        <v>0</v>
      </c>
      <c r="AI140" s="123">
        <v>0</v>
      </c>
      <c r="AJ140" s="123">
        <v>0</v>
      </c>
      <c r="AK140" s="123">
        <v>0</v>
      </c>
      <c r="AL140" s="123">
        <v>0</v>
      </c>
      <c r="AM140" s="123">
        <v>0</v>
      </c>
      <c r="AN140" s="123">
        <v>0</v>
      </c>
      <c r="AO140" s="123">
        <v>0</v>
      </c>
      <c r="AP140" s="123">
        <v>0</v>
      </c>
      <c r="AQ140" s="228">
        <v>0</v>
      </c>
      <c r="AR140" s="459"/>
      <c r="AS140" s="495"/>
      <c r="AT140" s="233"/>
      <c r="AU140" s="233"/>
      <c r="AV140" s="234"/>
    </row>
    <row r="141" spans="1:48" s="235" customFormat="1" ht="24">
      <c r="A141" s="504"/>
      <c r="B141" s="505"/>
      <c r="C141" s="506"/>
      <c r="D141" s="143" t="s">
        <v>462</v>
      </c>
      <c r="E141" s="123">
        <f t="shared" si="375"/>
        <v>0</v>
      </c>
      <c r="F141" s="123">
        <f t="shared" si="375"/>
        <v>0</v>
      </c>
      <c r="G141" s="123">
        <v>0</v>
      </c>
      <c r="H141" s="123">
        <v>0</v>
      </c>
      <c r="I141" s="123">
        <v>0</v>
      </c>
      <c r="J141" s="123">
        <v>0</v>
      </c>
      <c r="K141" s="123">
        <v>0</v>
      </c>
      <c r="L141" s="123">
        <v>0</v>
      </c>
      <c r="M141" s="123">
        <v>0</v>
      </c>
      <c r="N141" s="123">
        <v>0</v>
      </c>
      <c r="O141" s="123">
        <v>0</v>
      </c>
      <c r="P141" s="123">
        <v>0</v>
      </c>
      <c r="Q141" s="123">
        <v>0</v>
      </c>
      <c r="R141" s="123">
        <v>0</v>
      </c>
      <c r="S141" s="123">
        <v>0</v>
      </c>
      <c r="T141" s="123">
        <v>0</v>
      </c>
      <c r="U141" s="123">
        <v>0</v>
      </c>
      <c r="V141" s="123">
        <v>0</v>
      </c>
      <c r="W141" s="123">
        <v>0</v>
      </c>
      <c r="X141" s="123">
        <v>0</v>
      </c>
      <c r="Y141" s="123">
        <v>0</v>
      </c>
      <c r="Z141" s="123">
        <v>0</v>
      </c>
      <c r="AA141" s="123">
        <v>0</v>
      </c>
      <c r="AB141" s="123">
        <v>0</v>
      </c>
      <c r="AC141" s="123">
        <v>0</v>
      </c>
      <c r="AD141" s="123">
        <v>0</v>
      </c>
      <c r="AE141" s="123">
        <v>0</v>
      </c>
      <c r="AF141" s="123">
        <v>0</v>
      </c>
      <c r="AG141" s="123">
        <v>0</v>
      </c>
      <c r="AH141" s="123">
        <v>0</v>
      </c>
      <c r="AI141" s="123">
        <v>0</v>
      </c>
      <c r="AJ141" s="123">
        <v>0</v>
      </c>
      <c r="AK141" s="123">
        <v>0</v>
      </c>
      <c r="AL141" s="123">
        <v>0</v>
      </c>
      <c r="AM141" s="123">
        <v>0</v>
      </c>
      <c r="AN141" s="123">
        <v>0</v>
      </c>
      <c r="AO141" s="123">
        <v>0</v>
      </c>
      <c r="AP141" s="123">
        <v>0</v>
      </c>
      <c r="AQ141" s="228">
        <v>0</v>
      </c>
      <c r="AR141" s="459"/>
      <c r="AS141" s="495"/>
      <c r="AT141" s="233"/>
      <c r="AU141" s="233"/>
      <c r="AV141" s="234"/>
    </row>
    <row r="142" spans="1:48" s="235" customFormat="1" ht="12.75" customHeight="1">
      <c r="A142" s="498" t="s">
        <v>488</v>
      </c>
      <c r="B142" s="499"/>
      <c r="C142" s="500"/>
      <c r="D142" s="143" t="s">
        <v>444</v>
      </c>
      <c r="E142" s="123">
        <f>E143+E144+E145</f>
        <v>32805</v>
      </c>
      <c r="F142" s="123">
        <f>F143+F144+F145</f>
        <v>6156.8</v>
      </c>
      <c r="G142" s="123">
        <f>F142/E142*100</f>
        <v>18.767870751409845</v>
      </c>
      <c r="H142" s="123">
        <f t="shared" ref="H142:I142" si="384">H143+H144+H145</f>
        <v>739</v>
      </c>
      <c r="I142" s="123">
        <f t="shared" si="384"/>
        <v>739</v>
      </c>
      <c r="J142" s="123">
        <f>I142/H142*100</f>
        <v>100</v>
      </c>
      <c r="K142" s="123">
        <f t="shared" ref="K142:L142" si="385">K143+K144+K145</f>
        <v>2911</v>
      </c>
      <c r="L142" s="123">
        <f t="shared" si="385"/>
        <v>2911</v>
      </c>
      <c r="M142" s="123">
        <f>L142/K142*100</f>
        <v>100</v>
      </c>
      <c r="N142" s="123">
        <f t="shared" ref="N142:O142" si="386">N143+N144+N145</f>
        <v>2669.4</v>
      </c>
      <c r="O142" s="123">
        <f t="shared" si="386"/>
        <v>2506.8000000000002</v>
      </c>
      <c r="P142" s="123">
        <f>O142/N142*100</f>
        <v>93.90874353787369</v>
      </c>
      <c r="Q142" s="123">
        <f t="shared" ref="Q142:R142" si="387">Q143+Q144+Q145</f>
        <v>2578</v>
      </c>
      <c r="R142" s="123">
        <f t="shared" si="387"/>
        <v>0</v>
      </c>
      <c r="S142" s="123">
        <v>0</v>
      </c>
      <c r="T142" s="123">
        <f>T143+T144+T145</f>
        <v>3559</v>
      </c>
      <c r="U142" s="123">
        <f t="shared" ref="U142" si="388">U143+U144+U145</f>
        <v>0</v>
      </c>
      <c r="V142" s="123">
        <v>0</v>
      </c>
      <c r="W142" s="123">
        <f t="shared" ref="W142:X142" si="389">W143+W144+W145</f>
        <v>2822.1</v>
      </c>
      <c r="X142" s="123">
        <f t="shared" si="389"/>
        <v>0</v>
      </c>
      <c r="Y142" s="123">
        <v>0</v>
      </c>
      <c r="Z142" s="123">
        <v>0</v>
      </c>
      <c r="AA142" s="123">
        <v>0</v>
      </c>
      <c r="AB142" s="123">
        <v>0</v>
      </c>
      <c r="AC142" s="123">
        <v>0</v>
      </c>
      <c r="AD142" s="123">
        <v>0</v>
      </c>
      <c r="AE142" s="123">
        <v>0</v>
      </c>
      <c r="AF142" s="123">
        <f t="shared" ref="AF142:AG142" si="390">AF143+AF144+AF145</f>
        <v>2344.3000000000002</v>
      </c>
      <c r="AG142" s="123">
        <f t="shared" si="390"/>
        <v>0</v>
      </c>
      <c r="AH142" s="123">
        <v>0</v>
      </c>
      <c r="AI142" s="123">
        <f t="shared" ref="AI142:AJ142" si="391">AI143+AI144+AI145</f>
        <v>2384</v>
      </c>
      <c r="AJ142" s="123">
        <f t="shared" si="391"/>
        <v>0</v>
      </c>
      <c r="AK142" s="123">
        <v>0</v>
      </c>
      <c r="AL142" s="123">
        <f t="shared" ref="AL142:AM142" si="392">AL143+AL144+AL145</f>
        <v>2265</v>
      </c>
      <c r="AM142" s="123">
        <f t="shared" si="392"/>
        <v>0</v>
      </c>
      <c r="AN142" s="123">
        <v>0</v>
      </c>
      <c r="AO142" s="123">
        <f t="shared" ref="AO142:AP142" si="393">AO143+AO144+AO145</f>
        <v>3690.2</v>
      </c>
      <c r="AP142" s="123">
        <f t="shared" si="393"/>
        <v>0</v>
      </c>
      <c r="AQ142" s="228">
        <f>AP142/AO142*100</f>
        <v>0</v>
      </c>
      <c r="AR142" s="459"/>
      <c r="AS142" s="495"/>
      <c r="AT142" s="233"/>
      <c r="AU142" s="233"/>
      <c r="AV142" s="234"/>
    </row>
    <row r="143" spans="1:48" s="235" customFormat="1" ht="48">
      <c r="A143" s="501"/>
      <c r="B143" s="502"/>
      <c r="C143" s="503"/>
      <c r="D143" s="220" t="s">
        <v>442</v>
      </c>
      <c r="E143" s="123">
        <f>H143+K143+N143+Q143+T143+W143+Z143+AC143+AF143+AI143+AL143+AO143</f>
        <v>0</v>
      </c>
      <c r="F143" s="123">
        <f>I143+L143+O143+R143+U143+X143+AA143+AD143+AG143+AJ143+AM143+AP143</f>
        <v>0</v>
      </c>
      <c r="G143" s="123">
        <v>0</v>
      </c>
      <c r="H143" s="123">
        <v>0</v>
      </c>
      <c r="I143" s="123">
        <v>0</v>
      </c>
      <c r="J143" s="123">
        <v>0</v>
      </c>
      <c r="K143" s="123">
        <v>0</v>
      </c>
      <c r="L143" s="123">
        <v>0</v>
      </c>
      <c r="M143" s="123">
        <v>0</v>
      </c>
      <c r="N143" s="123">
        <v>0</v>
      </c>
      <c r="O143" s="123">
        <v>0</v>
      </c>
      <c r="P143" s="123">
        <v>0</v>
      </c>
      <c r="Q143" s="123">
        <v>0</v>
      </c>
      <c r="R143" s="123">
        <v>0</v>
      </c>
      <c r="S143" s="123">
        <v>0</v>
      </c>
      <c r="T143" s="123">
        <v>0</v>
      </c>
      <c r="U143" s="123">
        <v>0</v>
      </c>
      <c r="V143" s="123">
        <v>0</v>
      </c>
      <c r="W143" s="123">
        <v>0</v>
      </c>
      <c r="X143" s="123">
        <v>0</v>
      </c>
      <c r="Y143" s="123">
        <v>0</v>
      </c>
      <c r="Z143" s="123">
        <v>0</v>
      </c>
      <c r="AA143" s="123">
        <v>0</v>
      </c>
      <c r="AB143" s="123">
        <v>0</v>
      </c>
      <c r="AC143" s="123">
        <v>0</v>
      </c>
      <c r="AD143" s="123">
        <v>0</v>
      </c>
      <c r="AE143" s="123">
        <v>0</v>
      </c>
      <c r="AF143" s="123">
        <v>0</v>
      </c>
      <c r="AG143" s="123">
        <v>0</v>
      </c>
      <c r="AH143" s="123">
        <v>0</v>
      </c>
      <c r="AI143" s="123">
        <v>0</v>
      </c>
      <c r="AJ143" s="123">
        <v>0</v>
      </c>
      <c r="AK143" s="123">
        <v>0</v>
      </c>
      <c r="AL143" s="123">
        <v>0</v>
      </c>
      <c r="AM143" s="123">
        <v>0</v>
      </c>
      <c r="AN143" s="123">
        <v>0</v>
      </c>
      <c r="AO143" s="123">
        <v>0</v>
      </c>
      <c r="AP143" s="123">
        <v>0</v>
      </c>
      <c r="AQ143" s="228">
        <v>0</v>
      </c>
      <c r="AR143" s="459"/>
      <c r="AS143" s="495"/>
      <c r="AT143" s="233"/>
      <c r="AU143" s="233"/>
      <c r="AV143" s="234"/>
    </row>
    <row r="144" spans="1:48" s="235" customFormat="1" ht="12.75">
      <c r="A144" s="501"/>
      <c r="B144" s="502"/>
      <c r="C144" s="503"/>
      <c r="D144" s="220" t="s">
        <v>457</v>
      </c>
      <c r="E144" s="123">
        <f>H144+K144+N144+Q144+T144+W144+Z144+AC144+AF144+AI144+AL144+AO144</f>
        <v>32805</v>
      </c>
      <c r="F144" s="123">
        <f t="shared" ref="F144:F146" si="394">I144+L144+O144+R144+U144+X144+AA144+AD144+AG144+AJ144+AM144+AP144</f>
        <v>6156.8</v>
      </c>
      <c r="G144" s="123">
        <f>F144/E144*100</f>
        <v>18.767870751409845</v>
      </c>
      <c r="H144" s="123">
        <v>739</v>
      </c>
      <c r="I144" s="123">
        <v>739</v>
      </c>
      <c r="J144" s="123">
        <f>I144/H144*100</f>
        <v>100</v>
      </c>
      <c r="K144" s="123">
        <v>2911</v>
      </c>
      <c r="L144" s="123">
        <v>2911</v>
      </c>
      <c r="M144" s="123">
        <f>L144/K144*100</f>
        <v>100</v>
      </c>
      <c r="N144" s="123">
        <v>2669.4</v>
      </c>
      <c r="O144" s="123">
        <v>2506.8000000000002</v>
      </c>
      <c r="P144" s="123">
        <f>O144/N144*100</f>
        <v>93.90874353787369</v>
      </c>
      <c r="Q144" s="123">
        <v>2578</v>
      </c>
      <c r="R144" s="123">
        <v>0</v>
      </c>
      <c r="S144" s="123">
        <v>0</v>
      </c>
      <c r="T144" s="123">
        <v>3559</v>
      </c>
      <c r="U144" s="123">
        <v>0</v>
      </c>
      <c r="V144" s="123">
        <v>0</v>
      </c>
      <c r="W144" s="123">
        <v>2822.1</v>
      </c>
      <c r="X144" s="123">
        <v>0</v>
      </c>
      <c r="Y144" s="123">
        <v>0</v>
      </c>
      <c r="Z144" s="123">
        <v>3776</v>
      </c>
      <c r="AA144" s="123">
        <v>0</v>
      </c>
      <c r="AB144" s="123">
        <v>0</v>
      </c>
      <c r="AC144" s="123">
        <v>3067</v>
      </c>
      <c r="AD144" s="123">
        <v>0</v>
      </c>
      <c r="AE144" s="123">
        <v>0</v>
      </c>
      <c r="AF144" s="123">
        <v>2344.3000000000002</v>
      </c>
      <c r="AG144" s="123">
        <v>0</v>
      </c>
      <c r="AH144" s="123">
        <v>0</v>
      </c>
      <c r="AI144" s="123">
        <v>2384</v>
      </c>
      <c r="AJ144" s="123">
        <v>0</v>
      </c>
      <c r="AK144" s="123">
        <v>0</v>
      </c>
      <c r="AL144" s="123">
        <v>2265</v>
      </c>
      <c r="AM144" s="123">
        <v>0</v>
      </c>
      <c r="AN144" s="123">
        <v>0</v>
      </c>
      <c r="AO144" s="123">
        <v>3690.2</v>
      </c>
      <c r="AP144" s="123">
        <v>0</v>
      </c>
      <c r="AQ144" s="228">
        <f>AP144/AO144*100</f>
        <v>0</v>
      </c>
      <c r="AR144" s="459"/>
      <c r="AS144" s="495"/>
      <c r="AT144" s="233"/>
      <c r="AU144" s="233"/>
      <c r="AV144" s="234"/>
    </row>
    <row r="145" spans="1:64" s="235" customFormat="1" ht="24">
      <c r="A145" s="501"/>
      <c r="B145" s="502"/>
      <c r="C145" s="503"/>
      <c r="D145" s="143" t="s">
        <v>257</v>
      </c>
      <c r="E145" s="123">
        <f t="shared" ref="E145:E146" si="395">H145+K145+N145+Q145+T145+W145+Z145+AC145+AF145+AI145+AL145+AO145</f>
        <v>0</v>
      </c>
      <c r="F145" s="123">
        <f t="shared" si="394"/>
        <v>0</v>
      </c>
      <c r="G145" s="123">
        <v>0</v>
      </c>
      <c r="H145" s="123">
        <v>0</v>
      </c>
      <c r="I145" s="123">
        <v>0</v>
      </c>
      <c r="J145" s="123">
        <v>0</v>
      </c>
      <c r="K145" s="123">
        <v>0</v>
      </c>
      <c r="L145" s="123">
        <v>0</v>
      </c>
      <c r="M145" s="123">
        <v>0</v>
      </c>
      <c r="N145" s="123">
        <v>0</v>
      </c>
      <c r="O145" s="123">
        <v>0</v>
      </c>
      <c r="P145" s="123">
        <v>0</v>
      </c>
      <c r="Q145" s="123">
        <v>0</v>
      </c>
      <c r="R145" s="123">
        <v>0</v>
      </c>
      <c r="S145" s="123">
        <v>0</v>
      </c>
      <c r="T145" s="123">
        <v>0</v>
      </c>
      <c r="U145" s="123">
        <v>0</v>
      </c>
      <c r="V145" s="123">
        <v>0</v>
      </c>
      <c r="W145" s="123">
        <v>0</v>
      </c>
      <c r="X145" s="123">
        <v>0</v>
      </c>
      <c r="Y145" s="123">
        <v>0</v>
      </c>
      <c r="Z145" s="123">
        <v>0</v>
      </c>
      <c r="AA145" s="123">
        <v>0</v>
      </c>
      <c r="AB145" s="123">
        <v>0</v>
      </c>
      <c r="AC145" s="123">
        <v>0</v>
      </c>
      <c r="AD145" s="123">
        <v>0</v>
      </c>
      <c r="AE145" s="123">
        <v>0</v>
      </c>
      <c r="AF145" s="123">
        <v>0</v>
      </c>
      <c r="AG145" s="123">
        <v>0</v>
      </c>
      <c r="AH145" s="123">
        <v>0</v>
      </c>
      <c r="AI145" s="123">
        <v>0</v>
      </c>
      <c r="AJ145" s="123">
        <v>0</v>
      </c>
      <c r="AK145" s="123">
        <v>0</v>
      </c>
      <c r="AL145" s="123">
        <v>0</v>
      </c>
      <c r="AM145" s="123">
        <v>0</v>
      </c>
      <c r="AN145" s="123">
        <v>0</v>
      </c>
      <c r="AO145" s="123">
        <v>0</v>
      </c>
      <c r="AP145" s="123">
        <v>0</v>
      </c>
      <c r="AQ145" s="228">
        <v>0</v>
      </c>
      <c r="AR145" s="459"/>
      <c r="AS145" s="495"/>
      <c r="AT145" s="233"/>
      <c r="AU145" s="233"/>
      <c r="AV145" s="234"/>
    </row>
    <row r="146" spans="1:64" s="235" customFormat="1" ht="24">
      <c r="A146" s="504"/>
      <c r="B146" s="505"/>
      <c r="C146" s="506"/>
      <c r="D146" s="143" t="s">
        <v>462</v>
      </c>
      <c r="E146" s="123">
        <f t="shared" si="395"/>
        <v>0</v>
      </c>
      <c r="F146" s="123">
        <f t="shared" si="394"/>
        <v>0</v>
      </c>
      <c r="G146" s="123">
        <v>0</v>
      </c>
      <c r="H146" s="123">
        <v>0</v>
      </c>
      <c r="I146" s="123">
        <v>0</v>
      </c>
      <c r="J146" s="123">
        <v>0</v>
      </c>
      <c r="K146" s="123">
        <v>0</v>
      </c>
      <c r="L146" s="123">
        <v>0</v>
      </c>
      <c r="M146" s="123">
        <v>0</v>
      </c>
      <c r="N146" s="123">
        <v>0</v>
      </c>
      <c r="O146" s="123">
        <v>0</v>
      </c>
      <c r="P146" s="123">
        <v>0</v>
      </c>
      <c r="Q146" s="123">
        <v>0</v>
      </c>
      <c r="R146" s="123">
        <v>0</v>
      </c>
      <c r="S146" s="123">
        <v>0</v>
      </c>
      <c r="T146" s="123">
        <v>0</v>
      </c>
      <c r="U146" s="123">
        <v>0</v>
      </c>
      <c r="V146" s="123">
        <v>0</v>
      </c>
      <c r="W146" s="123">
        <v>0</v>
      </c>
      <c r="X146" s="123">
        <v>0</v>
      </c>
      <c r="Y146" s="123">
        <v>0</v>
      </c>
      <c r="Z146" s="123">
        <v>0</v>
      </c>
      <c r="AA146" s="123">
        <v>0</v>
      </c>
      <c r="AB146" s="123">
        <v>0</v>
      </c>
      <c r="AC146" s="123">
        <v>0</v>
      </c>
      <c r="AD146" s="123">
        <v>0</v>
      </c>
      <c r="AE146" s="123">
        <v>0</v>
      </c>
      <c r="AF146" s="123">
        <v>0</v>
      </c>
      <c r="AG146" s="123">
        <v>0</v>
      </c>
      <c r="AH146" s="123">
        <v>0</v>
      </c>
      <c r="AI146" s="123">
        <v>0</v>
      </c>
      <c r="AJ146" s="123">
        <v>0</v>
      </c>
      <c r="AK146" s="123">
        <v>0</v>
      </c>
      <c r="AL146" s="123">
        <v>0</v>
      </c>
      <c r="AM146" s="123">
        <v>0</v>
      </c>
      <c r="AN146" s="123">
        <v>0</v>
      </c>
      <c r="AO146" s="123">
        <v>0</v>
      </c>
      <c r="AP146" s="123">
        <v>0</v>
      </c>
      <c r="AQ146" s="228">
        <v>0</v>
      </c>
      <c r="AR146" s="459"/>
      <c r="AS146" s="495"/>
      <c r="AT146" s="233"/>
      <c r="AU146" s="233"/>
      <c r="AV146" s="234"/>
    </row>
    <row r="147" spans="1:64" s="235" customFormat="1">
      <c r="A147" s="265"/>
      <c r="B147" s="265"/>
      <c r="C147" s="265"/>
      <c r="D147" s="266"/>
      <c r="E147" s="267"/>
      <c r="F147" s="267"/>
      <c r="G147" s="267"/>
      <c r="H147" s="267"/>
      <c r="I147" s="267"/>
      <c r="J147" s="267"/>
      <c r="K147" s="267"/>
      <c r="L147" s="267"/>
      <c r="M147" s="267"/>
      <c r="N147" s="267"/>
      <c r="O147" s="267"/>
      <c r="P147" s="267"/>
      <c r="Q147" s="267"/>
      <c r="R147" s="267"/>
      <c r="S147" s="267"/>
      <c r="T147" s="267"/>
      <c r="U147" s="267"/>
      <c r="V147" s="267"/>
      <c r="W147" s="267"/>
      <c r="X147" s="267"/>
      <c r="Y147" s="267"/>
      <c r="Z147" s="267"/>
      <c r="AA147" s="267"/>
      <c r="AB147" s="267"/>
      <c r="AC147" s="267"/>
      <c r="AD147" s="267"/>
      <c r="AE147" s="267"/>
      <c r="AF147" s="267"/>
      <c r="AG147" s="267"/>
      <c r="AH147" s="267"/>
      <c r="AI147" s="267"/>
      <c r="AJ147" s="267"/>
      <c r="AK147" s="267"/>
      <c r="AL147" s="267"/>
      <c r="AM147" s="267"/>
      <c r="AN147" s="267"/>
      <c r="AO147" s="267"/>
      <c r="AP147" s="267"/>
      <c r="AQ147" s="267"/>
      <c r="AR147" s="268"/>
      <c r="AS147" s="269"/>
      <c r="AT147" s="233"/>
      <c r="AU147" s="233"/>
      <c r="AV147" s="234"/>
    </row>
    <row r="148" spans="1:64" s="235" customFormat="1" ht="15" customHeight="1">
      <c r="A148" s="258" t="s">
        <v>436</v>
      </c>
      <c r="B148" s="258"/>
      <c r="C148" s="258"/>
      <c r="D148" s="213"/>
      <c r="E148" s="245"/>
      <c r="F148" s="259"/>
      <c r="G148" s="225" t="s">
        <v>437</v>
      </c>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46"/>
      <c r="BI148" s="212"/>
      <c r="BJ148" s="212"/>
      <c r="BK148" s="212"/>
      <c r="BL148" s="212"/>
    </row>
    <row r="149" spans="1:64" s="235" customFormat="1" ht="15" customHeight="1">
      <c r="A149" s="508" t="s">
        <v>438</v>
      </c>
      <c r="B149" s="508"/>
      <c r="C149" s="508"/>
      <c r="D149" s="213"/>
      <c r="E149" s="245"/>
      <c r="F149" s="259"/>
      <c r="G149" s="225" t="s">
        <v>439</v>
      </c>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row>
    <row r="150" spans="1:64" s="235" customFormat="1" ht="24" customHeight="1">
      <c r="A150" s="509" t="s">
        <v>440</v>
      </c>
      <c r="B150" s="509"/>
      <c r="C150" s="509"/>
      <c r="D150" s="509"/>
      <c r="E150" s="509"/>
      <c r="F150" s="259"/>
      <c r="G150" s="225" t="s">
        <v>485</v>
      </c>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12"/>
    </row>
    <row r="151" spans="1:64">
      <c r="AO151" s="255"/>
      <c r="AR151" s="257"/>
    </row>
    <row r="152" spans="1:64">
      <c r="AO152" s="255"/>
      <c r="AR152" s="257"/>
    </row>
    <row r="153" spans="1:64">
      <c r="AO153" s="255"/>
      <c r="AR153" s="257"/>
    </row>
    <row r="154" spans="1:64">
      <c r="AO154" s="255"/>
      <c r="AR154" s="257"/>
    </row>
    <row r="155" spans="1:64">
      <c r="AO155" s="255"/>
      <c r="AR155" s="257"/>
    </row>
    <row r="156" spans="1:64">
      <c r="AO156" s="255"/>
      <c r="AR156" s="257"/>
    </row>
    <row r="157" spans="1:64">
      <c r="AO157" s="255"/>
      <c r="AR157" s="257"/>
    </row>
    <row r="158" spans="1:64">
      <c r="AO158" s="255"/>
      <c r="AR158" s="257"/>
    </row>
    <row r="159" spans="1:64">
      <c r="AO159" s="255"/>
      <c r="AR159" s="257"/>
    </row>
    <row r="160" spans="1:64">
      <c r="AO160" s="255"/>
      <c r="AR160" s="257"/>
    </row>
    <row r="161" spans="41:44">
      <c r="AO161" s="255"/>
      <c r="AR161" s="257"/>
    </row>
    <row r="162" spans="41:44">
      <c r="AO162" s="255"/>
      <c r="AR162" s="257"/>
    </row>
    <row r="163" spans="41:44">
      <c r="AO163" s="255"/>
      <c r="AR163" s="257"/>
    </row>
    <row r="164" spans="41:44">
      <c r="AO164" s="255"/>
      <c r="AR164" s="257"/>
    </row>
    <row r="165" spans="41:44">
      <c r="AO165" s="255"/>
      <c r="AR165" s="257"/>
    </row>
    <row r="166" spans="41:44">
      <c r="AO166" s="255"/>
      <c r="AR166" s="257"/>
    </row>
    <row r="167" spans="41:44">
      <c r="AO167" s="255"/>
      <c r="AR167" s="257"/>
    </row>
    <row r="168" spans="41:44">
      <c r="AO168" s="255"/>
      <c r="AR168" s="257"/>
    </row>
    <row r="169" spans="41:44">
      <c r="AO169" s="255"/>
      <c r="AR169" s="257"/>
    </row>
    <row r="170" spans="41:44">
      <c r="AO170" s="255"/>
      <c r="AR170" s="257"/>
    </row>
    <row r="171" spans="41:44">
      <c r="AO171" s="255"/>
      <c r="AR171" s="257"/>
    </row>
    <row r="172" spans="41:44">
      <c r="AO172" s="255"/>
      <c r="AR172" s="257"/>
    </row>
  </sheetData>
  <mergeCells count="122">
    <mergeCell ref="A137:C141"/>
    <mergeCell ref="AR137:AR141"/>
    <mergeCell ref="AS137:AS141"/>
    <mergeCell ref="A149:C149"/>
    <mergeCell ref="A150:E150"/>
    <mergeCell ref="A127:C131"/>
    <mergeCell ref="AR127:AR131"/>
    <mergeCell ref="AS127:AS131"/>
    <mergeCell ref="A132:C136"/>
    <mergeCell ref="AR132:AR136"/>
    <mergeCell ref="AS132:AS136"/>
    <mergeCell ref="A142:C146"/>
    <mergeCell ref="AR142:AR146"/>
    <mergeCell ref="AS142:AS146"/>
    <mergeCell ref="A117:C121"/>
    <mergeCell ref="AR117:AR121"/>
    <mergeCell ref="AS117:AS121"/>
    <mergeCell ref="A122:C126"/>
    <mergeCell ref="AR122:AR126"/>
    <mergeCell ref="AS122:AS126"/>
    <mergeCell ref="A105:C105"/>
    <mergeCell ref="A106:C110"/>
    <mergeCell ref="AR106:AR110"/>
    <mergeCell ref="AS106:AS110"/>
    <mergeCell ref="A111:C116"/>
    <mergeCell ref="AR111:AR116"/>
    <mergeCell ref="AS111:AS116"/>
    <mergeCell ref="A61:A65"/>
    <mergeCell ref="B61:C65"/>
    <mergeCell ref="AR61:AR65"/>
    <mergeCell ref="AS61:AS65"/>
    <mergeCell ref="A94:C98"/>
    <mergeCell ref="AR94:AR98"/>
    <mergeCell ref="AS94:AS98"/>
    <mergeCell ref="A99:C104"/>
    <mergeCell ref="AR99:AR104"/>
    <mergeCell ref="AS99:AS104"/>
    <mergeCell ref="A68:A72"/>
    <mergeCell ref="B68:B72"/>
    <mergeCell ref="C68:C72"/>
    <mergeCell ref="AR68:AR72"/>
    <mergeCell ref="AS68:AS72"/>
    <mergeCell ref="A88:C93"/>
    <mergeCell ref="AR88:AR93"/>
    <mergeCell ref="AS88:AS93"/>
    <mergeCell ref="A73:A77"/>
    <mergeCell ref="B73:C77"/>
    <mergeCell ref="AR73:AR77"/>
    <mergeCell ref="AS73:AS77"/>
    <mergeCell ref="A78:A82"/>
    <mergeCell ref="B78:B82"/>
    <mergeCell ref="A50:A54"/>
    <mergeCell ref="B50:C54"/>
    <mergeCell ref="AR50:AR54"/>
    <mergeCell ref="AS50:AS54"/>
    <mergeCell ref="A56:A60"/>
    <mergeCell ref="B56:B60"/>
    <mergeCell ref="C56:C60"/>
    <mergeCell ref="AR56:AR60"/>
    <mergeCell ref="AS56:AS60"/>
    <mergeCell ref="A38:A43"/>
    <mergeCell ref="B38:B43"/>
    <mergeCell ref="C38:C43"/>
    <mergeCell ref="AR38:AR43"/>
    <mergeCell ref="AS38:AS43"/>
    <mergeCell ref="A44:A48"/>
    <mergeCell ref="B44:B48"/>
    <mergeCell ref="C44:C48"/>
    <mergeCell ref="AR44:AR48"/>
    <mergeCell ref="AS44:AS48"/>
    <mergeCell ref="A28:A32"/>
    <mergeCell ref="B28:B32"/>
    <mergeCell ref="C28:C32"/>
    <mergeCell ref="AR28:AR32"/>
    <mergeCell ref="A33:A37"/>
    <mergeCell ref="B33:B37"/>
    <mergeCell ref="C33:C37"/>
    <mergeCell ref="AR33:AR37"/>
    <mergeCell ref="AS33:AS37"/>
    <mergeCell ref="A17:A22"/>
    <mergeCell ref="B17:B22"/>
    <mergeCell ref="C17:C22"/>
    <mergeCell ref="AR17:AR22"/>
    <mergeCell ref="AS17:AS22"/>
    <mergeCell ref="A23:A27"/>
    <mergeCell ref="B23:B27"/>
    <mergeCell ref="C23:C27"/>
    <mergeCell ref="AR23:AR27"/>
    <mergeCell ref="AS23:AS27"/>
    <mergeCell ref="Q9:S9"/>
    <mergeCell ref="T9:V9"/>
    <mergeCell ref="W9:Y9"/>
    <mergeCell ref="Z9:AB9"/>
    <mergeCell ref="AC9:AE9"/>
    <mergeCell ref="A11:A16"/>
    <mergeCell ref="B11:C16"/>
    <mergeCell ref="AR11:AR16"/>
    <mergeCell ref="AS11:AS16"/>
    <mergeCell ref="C78:C82"/>
    <mergeCell ref="AR78:AR82"/>
    <mergeCell ref="AS78:AS82"/>
    <mergeCell ref="A83:A87"/>
    <mergeCell ref="B83:B87"/>
    <mergeCell ref="C83:C87"/>
    <mergeCell ref="AR83:AR87"/>
    <mergeCell ref="AS83:AS87"/>
    <mergeCell ref="A6:AS6"/>
    <mergeCell ref="A7:AS7"/>
    <mergeCell ref="A9:A10"/>
    <mergeCell ref="B9:B10"/>
    <mergeCell ref="C9:C10"/>
    <mergeCell ref="D9:D10"/>
    <mergeCell ref="E9:G9"/>
    <mergeCell ref="H9:J9"/>
    <mergeCell ref="K9:M9"/>
    <mergeCell ref="AF9:AH9"/>
    <mergeCell ref="AI9:AK9"/>
    <mergeCell ref="AL9:AN9"/>
    <mergeCell ref="AO9:AQ9"/>
    <mergeCell ref="AR9:AR10"/>
    <mergeCell ref="AS9:AS10"/>
    <mergeCell ref="N9:P9"/>
  </mergeCells>
  <conditionalFormatting sqref="H102 H114 T49 G61:G64 H41:H43 S68 G56:G59 G68:G71 H46:H50 H32 G73:G75 G39 G47 G36 G42 H20 H14:I14 K14:L14 N14:O14 E14:F14">
    <cfRule type="cellIs" dxfId="0" priority="8" stopIfTrue="1" operator="notEqual">
      <formula>#REF!</formula>
    </cfRule>
  </conditionalFormatting>
  <pageMargins left="0.35433070866141736" right="0.11811023622047245" top="0.19685039370078741" bottom="0.15748031496062992" header="0.15748031496062992" footer="0.15748031496062992"/>
  <pageSetup paperSize="8" scale="75" fitToHeight="7" orientation="landscape" r:id="rId1"/>
  <ignoredErrors>
    <ignoredError sqref="V15 Y1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свод по подпрограммам</vt:lpstr>
      <vt:lpstr>оценка эффективности</vt:lpstr>
      <vt:lpstr>Выполнение работ</vt:lpstr>
      <vt:lpstr>на 01.01.2018</vt:lpstr>
      <vt:lpstr>на 01.02.2018</vt:lpstr>
      <vt:lpstr>на 01.04.2018</vt:lpstr>
      <vt:lpstr>на 01.04.2021</vt:lpstr>
      <vt:lpstr>'Выполнение работ'!Заголовки_для_печати</vt:lpstr>
      <vt:lpstr>'на 01.01.2018'!Заголовки_для_печати</vt:lpstr>
      <vt:lpstr>'на 01.04.2021'!Заголовки_для_печати</vt:lpstr>
      <vt:lpstr>'Выполнение работ'!Область_печати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Назарова</cp:lastModifiedBy>
  <cp:lastPrinted>2021-04-14T04:29:47Z</cp:lastPrinted>
  <dcterms:created xsi:type="dcterms:W3CDTF">2011-05-17T05:04:33Z</dcterms:created>
  <dcterms:modified xsi:type="dcterms:W3CDTF">2021-04-20T04:27:24Z</dcterms:modified>
</cp:coreProperties>
</file>