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75" yWindow="15" windowWidth="14040" windowHeight="9645" tabRatio="724"/>
  </bookViews>
  <sheets>
    <sheet name="Таблица 1" sheetId="12" r:id="rId1"/>
    <sheet name="Таблица 2" sheetId="13" r:id="rId2"/>
  </sheets>
  <definedNames>
    <definedName name="_xlnm.Print_Area" localSheetId="0">'Таблица 1'!$A$1:$AS$277</definedName>
  </definedNames>
  <calcPr calcId="124519"/>
</workbook>
</file>

<file path=xl/calcChain.xml><?xml version="1.0" encoding="utf-8"?>
<calcChain xmlns="http://schemas.openxmlformats.org/spreadsheetml/2006/main">
  <c r="F8" i="13"/>
  <c r="F10"/>
  <c r="F12"/>
  <c r="F13"/>
  <c r="F15"/>
  <c r="F20"/>
  <c r="F21"/>
  <c r="F22"/>
  <c r="F23"/>
  <c r="F33"/>
  <c r="F34"/>
  <c r="F31"/>
  <c r="F32"/>
  <c r="F30"/>
  <c r="F28"/>
  <c r="F27"/>
  <c r="F26"/>
  <c r="F25"/>
  <c r="F24"/>
  <c r="AP218" i="12"/>
  <c r="AP115"/>
  <c r="AP187"/>
  <c r="AP219"/>
  <c r="AP146"/>
  <c r="AP104"/>
  <c r="AP59"/>
  <c r="AP23"/>
  <c r="W219"/>
  <c r="N219"/>
  <c r="AO119"/>
  <c r="AO105"/>
  <c r="AO59"/>
  <c r="AO146"/>
  <c r="AO23"/>
  <c r="AG105" l="1"/>
  <c r="O105"/>
  <c r="AC64"/>
  <c r="AG59"/>
  <c r="AF22"/>
  <c r="AQ39" l="1"/>
  <c r="AP36"/>
  <c r="AQ43"/>
  <c r="AQ42"/>
  <c r="AP41"/>
  <c r="AQ27"/>
  <c r="AP138"/>
  <c r="AM61"/>
  <c r="AP257"/>
  <c r="AP262"/>
  <c r="AP242"/>
  <c r="AP243"/>
  <c r="AP244"/>
  <c r="AP232"/>
  <c r="AP233"/>
  <c r="AP234"/>
  <c r="AP235"/>
  <c r="AP221"/>
  <c r="AQ219"/>
  <c r="AQ218"/>
  <c r="AP231" l="1"/>
  <c r="AP213" l="1"/>
  <c r="AP214"/>
  <c r="AP216"/>
  <c r="AP195"/>
  <c r="AP190"/>
  <c r="AP191"/>
  <c r="AP192"/>
  <c r="AQ187"/>
  <c r="AQ186"/>
  <c r="AP184"/>
  <c r="AP179"/>
  <c r="AQ182"/>
  <c r="AP159"/>
  <c r="AP160"/>
  <c r="AP161"/>
  <c r="AQ146"/>
  <c r="AQ149"/>
  <c r="H148"/>
  <c r="I148"/>
  <c r="J148" s="1"/>
  <c r="L148"/>
  <c r="O148"/>
  <c r="R148"/>
  <c r="U148"/>
  <c r="X148"/>
  <c r="AA148"/>
  <c r="AD148"/>
  <c r="AG148"/>
  <c r="AJ148"/>
  <c r="AP148"/>
  <c r="AQ151"/>
  <c r="AP143"/>
  <c r="AQ141"/>
  <c r="AQ131"/>
  <c r="AP133"/>
  <c r="AP128"/>
  <c r="AP123"/>
  <c r="AP124"/>
  <c r="AP125"/>
  <c r="AP117"/>
  <c r="AP112"/>
  <c r="AP107"/>
  <c r="AP102"/>
  <c r="AQ105"/>
  <c r="AP87"/>
  <c r="AQ80"/>
  <c r="AP77"/>
  <c r="AP72"/>
  <c r="AP61"/>
  <c r="AP67"/>
  <c r="AP68"/>
  <c r="AP69"/>
  <c r="AP70"/>
  <c r="AP56"/>
  <c r="AO244"/>
  <c r="AQ244" s="1"/>
  <c r="AP158" l="1"/>
  <c r="AP189"/>
  <c r="AP122"/>
  <c r="AP66"/>
  <c r="AP31"/>
  <c r="AP237" s="1"/>
  <c r="AP253" s="1"/>
  <c r="AP32"/>
  <c r="AP33"/>
  <c r="AP34"/>
  <c r="AP240" s="1"/>
  <c r="AP25"/>
  <c r="AP20"/>
  <c r="AP256"/>
  <c r="I256"/>
  <c r="I253"/>
  <c r="AP238" l="1"/>
  <c r="AP239"/>
  <c r="AP247"/>
  <c r="AP30"/>
  <c r="AP236" l="1"/>
  <c r="AP249"/>
  <c r="AP255"/>
  <c r="AP248"/>
  <c r="AP254"/>
  <c r="AP252" s="1"/>
  <c r="AT12"/>
  <c r="AT90"/>
  <c r="AT95"/>
  <c r="AT115"/>
  <c r="AT167"/>
  <c r="AT182"/>
  <c r="AT203"/>
  <c r="AT208"/>
  <c r="AT223"/>
  <c r="I260"/>
  <c r="I257" s="1"/>
  <c r="H260"/>
  <c r="H257" s="1"/>
  <c r="L260"/>
  <c r="L257" s="1"/>
  <c r="K260"/>
  <c r="K257" s="1"/>
  <c r="O260"/>
  <c r="O257" s="1"/>
  <c r="N260"/>
  <c r="N257" s="1"/>
  <c r="R260"/>
  <c r="R257" s="1"/>
  <c r="Q260"/>
  <c r="Q257" s="1"/>
  <c r="U260"/>
  <c r="U257" s="1"/>
  <c r="T260"/>
  <c r="T257" s="1"/>
  <c r="X260"/>
  <c r="X257" s="1"/>
  <c r="W260"/>
  <c r="W257" s="1"/>
  <c r="AA260"/>
  <c r="AA257" s="1"/>
  <c r="Z260"/>
  <c r="Z257" s="1"/>
  <c r="AD260"/>
  <c r="AD257" s="1"/>
  <c r="AC260"/>
  <c r="AC257" s="1"/>
  <c r="AG260"/>
  <c r="AG257" s="1"/>
  <c r="AF260"/>
  <c r="AF257" s="1"/>
  <c r="AJ260"/>
  <c r="AJ257" s="1"/>
  <c r="AL260"/>
  <c r="AM260"/>
  <c r="AL74"/>
  <c r="AN74" s="1"/>
  <c r="AL58"/>
  <c r="AN58" s="1"/>
  <c r="AO260" l="1"/>
  <c r="AT74"/>
  <c r="AU258"/>
  <c r="AV258"/>
  <c r="AW258"/>
  <c r="AX258"/>
  <c r="AU259"/>
  <c r="AV259"/>
  <c r="AW259"/>
  <c r="AX259"/>
  <c r="AU260"/>
  <c r="AV260"/>
  <c r="AW260"/>
  <c r="AU261"/>
  <c r="AV261"/>
  <c r="AW261"/>
  <c r="AX261"/>
  <c r="AU263"/>
  <c r="AV263"/>
  <c r="AW263"/>
  <c r="AX263"/>
  <c r="AU264"/>
  <c r="AV264"/>
  <c r="AW264"/>
  <c r="AX264"/>
  <c r="AU265"/>
  <c r="AV265"/>
  <c r="AW265"/>
  <c r="AX265"/>
  <c r="AU266"/>
  <c r="AV266"/>
  <c r="AW266"/>
  <c r="AX266"/>
  <c r="AU251"/>
  <c r="AV251"/>
  <c r="AW251"/>
  <c r="AX251"/>
  <c r="AP245"/>
  <c r="AO245"/>
  <c r="AO243"/>
  <c r="AO242"/>
  <c r="AM245"/>
  <c r="AL245"/>
  <c r="AM244"/>
  <c r="AL244"/>
  <c r="AM243"/>
  <c r="AL243"/>
  <c r="AM242"/>
  <c r="AM241" s="1"/>
  <c r="AL242"/>
  <c r="AJ245"/>
  <c r="AI245"/>
  <c r="AJ244"/>
  <c r="AJ241" s="1"/>
  <c r="AJ243"/>
  <c r="AI243"/>
  <c r="AJ242"/>
  <c r="AI242"/>
  <c r="AX242" s="1"/>
  <c r="AG245"/>
  <c r="AF245"/>
  <c r="AG244"/>
  <c r="AF244"/>
  <c r="AG243"/>
  <c r="AF243"/>
  <c r="AG242"/>
  <c r="AF242"/>
  <c r="AF241" s="1"/>
  <c r="AD245"/>
  <c r="AC245"/>
  <c r="AD244"/>
  <c r="AC244"/>
  <c r="AD243"/>
  <c r="AC243"/>
  <c r="AD242"/>
  <c r="AC242"/>
  <c r="AC241" s="1"/>
  <c r="AA245"/>
  <c r="Z245"/>
  <c r="AW245" s="1"/>
  <c r="AA244"/>
  <c r="Z244"/>
  <c r="AW244" s="1"/>
  <c r="AA243"/>
  <c r="Z243"/>
  <c r="AW243" s="1"/>
  <c r="AA242"/>
  <c r="Z242"/>
  <c r="AW242" s="1"/>
  <c r="X245"/>
  <c r="W245"/>
  <c r="X244"/>
  <c r="W244"/>
  <c r="X243"/>
  <c r="W243"/>
  <c r="X242"/>
  <c r="W242"/>
  <c r="W241" s="1"/>
  <c r="U245"/>
  <c r="T245"/>
  <c r="U244"/>
  <c r="T244"/>
  <c r="U243"/>
  <c r="T243"/>
  <c r="U242"/>
  <c r="T242"/>
  <c r="T241" s="1"/>
  <c r="R245"/>
  <c r="Q245"/>
  <c r="AV245" s="1"/>
  <c r="R244"/>
  <c r="Q244"/>
  <c r="AV244" s="1"/>
  <c r="R243"/>
  <c r="Q243"/>
  <c r="AV243" s="1"/>
  <c r="R242"/>
  <c r="Q242"/>
  <c r="AV242" s="1"/>
  <c r="O245"/>
  <c r="N245"/>
  <c r="O244"/>
  <c r="N244"/>
  <c r="O243"/>
  <c r="N243"/>
  <c r="O242"/>
  <c r="N242"/>
  <c r="N241" s="1"/>
  <c r="L245"/>
  <c r="K245"/>
  <c r="L244"/>
  <c r="K244"/>
  <c r="L243"/>
  <c r="K243"/>
  <c r="L242"/>
  <c r="K242"/>
  <c r="K241" s="1"/>
  <c r="H243"/>
  <c r="I243"/>
  <c r="H244"/>
  <c r="I244"/>
  <c r="H245"/>
  <c r="I245"/>
  <c r="I250" s="1"/>
  <c r="I242"/>
  <c r="I247" s="1"/>
  <c r="H242"/>
  <c r="AU242" s="1"/>
  <c r="P265"/>
  <c r="P264"/>
  <c r="AO262"/>
  <c r="AL262"/>
  <c r="AJ262"/>
  <c r="AI262"/>
  <c r="AG262"/>
  <c r="AF262"/>
  <c r="AD262"/>
  <c r="AC262"/>
  <c r="AA262"/>
  <c r="Z262"/>
  <c r="AW262" s="1"/>
  <c r="X262"/>
  <c r="W262"/>
  <c r="U262"/>
  <c r="T262"/>
  <c r="R262"/>
  <c r="Q262"/>
  <c r="O262"/>
  <c r="N262"/>
  <c r="L262"/>
  <c r="K262"/>
  <c r="I262"/>
  <c r="H262"/>
  <c r="AL257"/>
  <c r="AL241"/>
  <c r="AG241"/>
  <c r="AD241"/>
  <c r="AA241"/>
  <c r="X241"/>
  <c r="U241"/>
  <c r="R241"/>
  <c r="O241"/>
  <c r="L241"/>
  <c r="E266"/>
  <c r="E265"/>
  <c r="E264"/>
  <c r="E263"/>
  <c r="E262" l="1"/>
  <c r="AP250"/>
  <c r="AP246" s="1"/>
  <c r="AP241"/>
  <c r="I241"/>
  <c r="AO257"/>
  <c r="AQ257" s="1"/>
  <c r="AQ260"/>
  <c r="AU245"/>
  <c r="AO241"/>
  <c r="Q241"/>
  <c r="AV241" s="1"/>
  <c r="AV262"/>
  <c r="AX243"/>
  <c r="H241"/>
  <c r="AU241" s="1"/>
  <c r="Z241"/>
  <c r="AW241" s="1"/>
  <c r="AU244"/>
  <c r="AX245"/>
  <c r="AU243"/>
  <c r="P262"/>
  <c r="AX262"/>
  <c r="AU262"/>
  <c r="AQ241" l="1"/>
  <c r="E259"/>
  <c r="E258"/>
  <c r="E261"/>
  <c r="F245"/>
  <c r="E245"/>
  <c r="E243"/>
  <c r="E242"/>
  <c r="F241" l="1"/>
  <c r="F242"/>
  <c r="F243"/>
  <c r="F244"/>
  <c r="AN151"/>
  <c r="AN146"/>
  <c r="AN119"/>
  <c r="AN115"/>
  <c r="AN105"/>
  <c r="AN90"/>
  <c r="AN80"/>
  <c r="AN59"/>
  <c r="AN27"/>
  <c r="AM232"/>
  <c r="AM233"/>
  <c r="AM234"/>
  <c r="AM235"/>
  <c r="AN224"/>
  <c r="AM221"/>
  <c r="AM216"/>
  <c r="AM211"/>
  <c r="AM212"/>
  <c r="AM213"/>
  <c r="AM214"/>
  <c r="AN208"/>
  <c r="AM205"/>
  <c r="AN198"/>
  <c r="AM195"/>
  <c r="AM190"/>
  <c r="AM191"/>
  <c r="AM192"/>
  <c r="AN187"/>
  <c r="AN186"/>
  <c r="AM184"/>
  <c r="AM159"/>
  <c r="AM160"/>
  <c r="AM161"/>
  <c r="AM162"/>
  <c r="AM148"/>
  <c r="AM143"/>
  <c r="AM123"/>
  <c r="AM124"/>
  <c r="AM125"/>
  <c r="AM126"/>
  <c r="AM117"/>
  <c r="AM112"/>
  <c r="AM107"/>
  <c r="AM102"/>
  <c r="AM87"/>
  <c r="AM77"/>
  <c r="AM72"/>
  <c r="AM67"/>
  <c r="AM68"/>
  <c r="AM69"/>
  <c r="AM70"/>
  <c r="AM240" s="1"/>
  <c r="AM56"/>
  <c r="AM31"/>
  <c r="AM32"/>
  <c r="AM33"/>
  <c r="AM25"/>
  <c r="AM20"/>
  <c r="AQ59"/>
  <c r="AJ232"/>
  <c r="AJ233"/>
  <c r="AJ234"/>
  <c r="AJ235"/>
  <c r="AJ240"/>
  <c r="AJ256" s="1"/>
  <c r="AJ221"/>
  <c r="AJ216"/>
  <c r="AJ211"/>
  <c r="AJ212"/>
  <c r="AJ213"/>
  <c r="AJ205"/>
  <c r="AK203"/>
  <c r="AJ200"/>
  <c r="AK198"/>
  <c r="AJ195"/>
  <c r="AK187"/>
  <c r="AJ190"/>
  <c r="AJ191"/>
  <c r="AJ192"/>
  <c r="AJ184"/>
  <c r="AJ164"/>
  <c r="AO150"/>
  <c r="AQ150" s="1"/>
  <c r="AJ159"/>
  <c r="AJ160"/>
  <c r="AJ161"/>
  <c r="AK146"/>
  <c r="AJ143"/>
  <c r="AJ133"/>
  <c r="AJ138"/>
  <c r="AJ128"/>
  <c r="AK141"/>
  <c r="AQ115"/>
  <c r="AJ123"/>
  <c r="AJ124"/>
  <c r="AJ125"/>
  <c r="AJ117"/>
  <c r="AK115"/>
  <c r="AJ112"/>
  <c r="AJ107"/>
  <c r="AK110"/>
  <c r="AL110"/>
  <c r="AN110" s="1"/>
  <c r="AI104"/>
  <c r="AK104" s="1"/>
  <c r="AK105"/>
  <c r="AJ102"/>
  <c r="AL89"/>
  <c r="AN89" s="1"/>
  <c r="AJ87"/>
  <c r="AK80"/>
  <c r="AN150" l="1"/>
  <c r="AL148"/>
  <c r="AM250"/>
  <c r="AM256"/>
  <c r="AM237"/>
  <c r="AJ250"/>
  <c r="AM231"/>
  <c r="AM210"/>
  <c r="AM189"/>
  <c r="AM158"/>
  <c r="AM122"/>
  <c r="AM66"/>
  <c r="AM30"/>
  <c r="AM239"/>
  <c r="AM255" s="1"/>
  <c r="AM238"/>
  <c r="AM254" s="1"/>
  <c r="AJ158"/>
  <c r="AJ122"/>
  <c r="AJ210"/>
  <c r="AJ231"/>
  <c r="AJ189"/>
  <c r="AJ77"/>
  <c r="AJ72"/>
  <c r="AK27"/>
  <c r="AJ67"/>
  <c r="AJ68"/>
  <c r="AJ69"/>
  <c r="AJ61"/>
  <c r="AK59"/>
  <c r="AJ56"/>
  <c r="AL22"/>
  <c r="AN22" s="1"/>
  <c r="AK22"/>
  <c r="AJ31"/>
  <c r="AJ237" s="1"/>
  <c r="AJ253" s="1"/>
  <c r="AJ32"/>
  <c r="AJ33"/>
  <c r="AJ239" s="1"/>
  <c r="AJ255" s="1"/>
  <c r="AJ25"/>
  <c r="AJ20"/>
  <c r="AN23"/>
  <c r="AM247" l="1"/>
  <c r="AM253"/>
  <c r="AM252" s="1"/>
  <c r="AJ247"/>
  <c r="AJ249"/>
  <c r="AM249"/>
  <c r="AM236"/>
  <c r="AM248"/>
  <c r="AJ30"/>
  <c r="AJ238"/>
  <c r="AJ254" s="1"/>
  <c r="AJ66"/>
  <c r="AO22"/>
  <c r="AQ22" s="1"/>
  <c r="T186"/>
  <c r="W186"/>
  <c r="Z186"/>
  <c r="AQ119"/>
  <c r="AO104"/>
  <c r="AQ104" s="1"/>
  <c r="AM246" l="1"/>
  <c r="AJ252"/>
  <c r="AJ248"/>
  <c r="AJ246" s="1"/>
  <c r="AJ236"/>
  <c r="AT198" l="1"/>
  <c r="AQ110" l="1"/>
  <c r="AG233"/>
  <c r="AG232"/>
  <c r="AG234"/>
  <c r="AG235"/>
  <c r="AG221"/>
  <c r="AH219"/>
  <c r="AG211"/>
  <c r="AG212"/>
  <c r="AG213"/>
  <c r="AG214"/>
  <c r="AG240" s="1"/>
  <c r="AG256" s="1"/>
  <c r="AG216"/>
  <c r="AG205"/>
  <c r="AG190"/>
  <c r="AG191"/>
  <c r="AG192"/>
  <c r="AG159"/>
  <c r="AG160"/>
  <c r="AG161"/>
  <c r="AH146"/>
  <c r="AG143"/>
  <c r="AH141"/>
  <c r="AG138"/>
  <c r="AG133"/>
  <c r="AT136"/>
  <c r="AG128"/>
  <c r="AT80"/>
  <c r="AG123"/>
  <c r="AG124"/>
  <c r="AG125"/>
  <c r="AH115"/>
  <c r="AH110"/>
  <c r="AG112"/>
  <c r="AG107"/>
  <c r="AG102"/>
  <c r="AG97"/>
  <c r="AH95"/>
  <c r="AG92"/>
  <c r="AG61"/>
  <c r="AG87"/>
  <c r="AH90"/>
  <c r="AH64"/>
  <c r="AG67"/>
  <c r="AG68"/>
  <c r="AG69"/>
  <c r="AH58"/>
  <c r="AG56"/>
  <c r="AH27"/>
  <c r="AG31"/>
  <c r="AG32"/>
  <c r="AG33"/>
  <c r="AG25"/>
  <c r="AG20"/>
  <c r="AE119"/>
  <c r="AD117"/>
  <c r="AD112"/>
  <c r="AG237" l="1"/>
  <c r="AG253" s="1"/>
  <c r="AG250"/>
  <c r="AG210"/>
  <c r="AH136"/>
  <c r="AG239"/>
  <c r="AG255" s="1"/>
  <c r="AG238"/>
  <c r="AG254" s="1"/>
  <c r="AG231"/>
  <c r="AG122"/>
  <c r="AG158"/>
  <c r="AG189"/>
  <c r="AG30"/>
  <c r="AG66"/>
  <c r="AD232"/>
  <c r="AD233"/>
  <c r="AD234"/>
  <c r="AD235"/>
  <c r="AE224"/>
  <c r="AE223"/>
  <c r="AD221"/>
  <c r="AE219"/>
  <c r="AD216"/>
  <c r="AD211"/>
  <c r="AD212"/>
  <c r="AD213"/>
  <c r="AD214"/>
  <c r="AD190"/>
  <c r="AD191"/>
  <c r="AD192"/>
  <c r="AD193"/>
  <c r="AD159"/>
  <c r="AD160"/>
  <c r="AD161"/>
  <c r="AD162"/>
  <c r="AE146"/>
  <c r="AD143"/>
  <c r="AD123"/>
  <c r="AD124"/>
  <c r="AD125"/>
  <c r="AD126"/>
  <c r="AE110"/>
  <c r="AD107"/>
  <c r="AE105"/>
  <c r="AE104"/>
  <c r="AD102"/>
  <c r="AD87"/>
  <c r="AD77"/>
  <c r="AD61"/>
  <c r="AD67"/>
  <c r="AD68"/>
  <c r="AD69"/>
  <c r="AD70"/>
  <c r="AD56"/>
  <c r="AD31"/>
  <c r="AD237" s="1"/>
  <c r="AD253" s="1"/>
  <c r="AD32"/>
  <c r="AD33"/>
  <c r="AD34"/>
  <c r="AD25"/>
  <c r="AD20"/>
  <c r="AE89"/>
  <c r="AE80"/>
  <c r="AE64"/>
  <c r="AE58"/>
  <c r="AE27"/>
  <c r="W187"/>
  <c r="AH105"/>
  <c r="AI44"/>
  <c r="AH151"/>
  <c r="AC218"/>
  <c r="AE218" s="1"/>
  <c r="AB224"/>
  <c r="AB223"/>
  <c r="AB198"/>
  <c r="AB110"/>
  <c r="AB104"/>
  <c r="AB90"/>
  <c r="AB89"/>
  <c r="AA61"/>
  <c r="AA232"/>
  <c r="AA233"/>
  <c r="AA234"/>
  <c r="AA235"/>
  <c r="AA221"/>
  <c r="AA216"/>
  <c r="AA211"/>
  <c r="AA212"/>
  <c r="AA213"/>
  <c r="AA214"/>
  <c r="AA195"/>
  <c r="AA190"/>
  <c r="AA191"/>
  <c r="AA192"/>
  <c r="AA193"/>
  <c r="AA184"/>
  <c r="AA159"/>
  <c r="AA160"/>
  <c r="AA161"/>
  <c r="AA143"/>
  <c r="AA123"/>
  <c r="AA124"/>
  <c r="AA125"/>
  <c r="AA126"/>
  <c r="AA117"/>
  <c r="AA112"/>
  <c r="AA107"/>
  <c r="AA102"/>
  <c r="AA87"/>
  <c r="AA67"/>
  <c r="AA68"/>
  <c r="AA69"/>
  <c r="AA70"/>
  <c r="AH59"/>
  <c r="AE59"/>
  <c r="AA56"/>
  <c r="AA31"/>
  <c r="AA32"/>
  <c r="AA33"/>
  <c r="AA34"/>
  <c r="AA25"/>
  <c r="AA20"/>
  <c r="X205"/>
  <c r="AB119"/>
  <c r="K151"/>
  <c r="K148" s="1"/>
  <c r="M148" s="1"/>
  <c r="AG252" l="1"/>
  <c r="AA237"/>
  <c r="AA253" s="1"/>
  <c r="AD240"/>
  <c r="AD256" s="1"/>
  <c r="AG247"/>
  <c r="AI260"/>
  <c r="AI257" s="1"/>
  <c r="AI244"/>
  <c r="AD247"/>
  <c r="AG236"/>
  <c r="AG248"/>
  <c r="AA240"/>
  <c r="AA256" s="1"/>
  <c r="AA247"/>
  <c r="AD250"/>
  <c r="AG249"/>
  <c r="AD210"/>
  <c r="AH104"/>
  <c r="AD189"/>
  <c r="AD231"/>
  <c r="AD158"/>
  <c r="AD239"/>
  <c r="AD255" s="1"/>
  <c r="AD122"/>
  <c r="AD238"/>
  <c r="AD254" s="1"/>
  <c r="AD66"/>
  <c r="AD30"/>
  <c r="AA210"/>
  <c r="AA122"/>
  <c r="AA158"/>
  <c r="AA239"/>
  <c r="AA255" s="1"/>
  <c r="AA231"/>
  <c r="AA30"/>
  <c r="AA66"/>
  <c r="AA189"/>
  <c r="AA238"/>
  <c r="AA254" s="1"/>
  <c r="AE151"/>
  <c r="Q150"/>
  <c r="Q148" s="1"/>
  <c r="S148" s="1"/>
  <c r="AF224"/>
  <c r="AH224" s="1"/>
  <c r="W224"/>
  <c r="AT224" s="1"/>
  <c r="AL219"/>
  <c r="AN219" s="1"/>
  <c r="AB219"/>
  <c r="AI186"/>
  <c r="AT186" s="1"/>
  <c r="AB105"/>
  <c r="Y105"/>
  <c r="AL75"/>
  <c r="AN75" s="1"/>
  <c r="T75"/>
  <c r="AT75" s="1"/>
  <c r="Z27"/>
  <c r="AB27" s="1"/>
  <c r="W27"/>
  <c r="X232"/>
  <c r="X233"/>
  <c r="X234"/>
  <c r="X235"/>
  <c r="X190"/>
  <c r="X191"/>
  <c r="X192"/>
  <c r="X193"/>
  <c r="X184"/>
  <c r="X179"/>
  <c r="X138"/>
  <c r="X143"/>
  <c r="Y110"/>
  <c r="Y104"/>
  <c r="X107"/>
  <c r="X102"/>
  <c r="X34"/>
  <c r="X31"/>
  <c r="X32"/>
  <c r="X33"/>
  <c r="AB150" l="1"/>
  <c r="AG246"/>
  <c r="AD252"/>
  <c r="AA252"/>
  <c r="AT27"/>
  <c r="AT219"/>
  <c r="AA248"/>
  <c r="AA250"/>
  <c r="AX260"/>
  <c r="E260"/>
  <c r="AA249"/>
  <c r="AD248"/>
  <c r="AD249"/>
  <c r="AX244"/>
  <c r="AI241"/>
  <c r="E244"/>
  <c r="G244" s="1"/>
  <c r="AK186"/>
  <c r="AD236"/>
  <c r="AA236"/>
  <c r="X189"/>
  <c r="X231"/>
  <c r="X30"/>
  <c r="X221"/>
  <c r="Y224"/>
  <c r="Y223"/>
  <c r="X216"/>
  <c r="Y219"/>
  <c r="X211"/>
  <c r="X212"/>
  <c r="X213"/>
  <c r="X214"/>
  <c r="Y198"/>
  <c r="Y208"/>
  <c r="X195"/>
  <c r="X162"/>
  <c r="X159"/>
  <c r="X160"/>
  <c r="X161"/>
  <c r="X123"/>
  <c r="X124"/>
  <c r="X125"/>
  <c r="X126"/>
  <c r="X240" s="1"/>
  <c r="X256" s="1"/>
  <c r="Y119"/>
  <c r="X117"/>
  <c r="X112"/>
  <c r="Y115"/>
  <c r="X97"/>
  <c r="X92"/>
  <c r="Y90"/>
  <c r="X87"/>
  <c r="Y80"/>
  <c r="X77"/>
  <c r="F80"/>
  <c r="X67"/>
  <c r="X68"/>
  <c r="X69"/>
  <c r="X56"/>
  <c r="Y27"/>
  <c r="X25"/>
  <c r="X20"/>
  <c r="X10"/>
  <c r="Y12"/>
  <c r="AD246" l="1"/>
  <c r="AA246"/>
  <c r="X237"/>
  <c r="X253" s="1"/>
  <c r="X238"/>
  <c r="X254" s="1"/>
  <c r="X250"/>
  <c r="X247"/>
  <c r="AX241"/>
  <c r="E241"/>
  <c r="G241" s="1"/>
  <c r="X239"/>
  <c r="X255" s="1"/>
  <c r="X210"/>
  <c r="X122"/>
  <c r="X158"/>
  <c r="X66"/>
  <c r="X252" l="1"/>
  <c r="X248"/>
  <c r="X236"/>
  <c r="X249"/>
  <c r="W151"/>
  <c r="Y151" s="1"/>
  <c r="W150"/>
  <c r="AI58"/>
  <c r="AK58" s="1"/>
  <c r="AB64"/>
  <c r="AB59"/>
  <c r="X246" l="1"/>
  <c r="W148"/>
  <c r="Y148" s="1"/>
  <c r="AK64"/>
  <c r="W64"/>
  <c r="N64"/>
  <c r="K64"/>
  <c r="AT64" s="1"/>
  <c r="W59" l="1"/>
  <c r="W58"/>
  <c r="AT58" s="1"/>
  <c r="Y58" l="1"/>
  <c r="AK119"/>
  <c r="AT141" l="1"/>
  <c r="AK131"/>
  <c r="AB146" l="1"/>
  <c r="AT146"/>
  <c r="AI150"/>
  <c r="W89"/>
  <c r="AT89" s="1"/>
  <c r="AK150" l="1"/>
  <c r="Y89"/>
  <c r="Y146"/>
  <c r="AQ23"/>
  <c r="AK23"/>
  <c r="AH23"/>
  <c r="AE23"/>
  <c r="AB23"/>
  <c r="W22"/>
  <c r="Y22" s="1"/>
  <c r="Y23"/>
  <c r="V224"/>
  <c r="V223"/>
  <c r="V219"/>
  <c r="V208"/>
  <c r="V187"/>
  <c r="V186"/>
  <c r="V150"/>
  <c r="V146"/>
  <c r="V119"/>
  <c r="V115"/>
  <c r="V110"/>
  <c r="V104"/>
  <c r="V90"/>
  <c r="U77"/>
  <c r="V75"/>
  <c r="U61"/>
  <c r="V64"/>
  <c r="V27"/>
  <c r="U184" l="1"/>
  <c r="U143"/>
  <c r="U107"/>
  <c r="U102"/>
  <c r="U56"/>
  <c r="U25"/>
  <c r="U20"/>
  <c r="U221"/>
  <c r="U216"/>
  <c r="U205"/>
  <c r="U117"/>
  <c r="U112"/>
  <c r="U97"/>
  <c r="U87"/>
  <c r="U72"/>
  <c r="AF150" l="1"/>
  <c r="AC150"/>
  <c r="U232"/>
  <c r="U233"/>
  <c r="U234"/>
  <c r="U235"/>
  <c r="U211"/>
  <c r="U212"/>
  <c r="U213"/>
  <c r="U214"/>
  <c r="U190"/>
  <c r="U191"/>
  <c r="U192"/>
  <c r="U193"/>
  <c r="U159"/>
  <c r="U160"/>
  <c r="U161"/>
  <c r="U162"/>
  <c r="U123"/>
  <c r="U124"/>
  <c r="U125"/>
  <c r="U126"/>
  <c r="U67"/>
  <c r="U68"/>
  <c r="U69"/>
  <c r="U70"/>
  <c r="U31"/>
  <c r="U237" s="1"/>
  <c r="U253" s="1"/>
  <c r="U32"/>
  <c r="U33"/>
  <c r="U34"/>
  <c r="U240" s="1"/>
  <c r="U256" s="1"/>
  <c r="AH150" l="1"/>
  <c r="AF148"/>
  <c r="AH148" s="1"/>
  <c r="AE150"/>
  <c r="AC148"/>
  <c r="AE148" s="1"/>
  <c r="AT150"/>
  <c r="U250"/>
  <c r="U247"/>
  <c r="U189"/>
  <c r="U158"/>
  <c r="U238"/>
  <c r="U254" s="1"/>
  <c r="U30"/>
  <c r="U231"/>
  <c r="U210"/>
  <c r="U239"/>
  <c r="U255" s="1"/>
  <c r="U122"/>
  <c r="U66"/>
  <c r="N151"/>
  <c r="AT151" s="1"/>
  <c r="O25"/>
  <c r="U252" l="1"/>
  <c r="V151"/>
  <c r="T148"/>
  <c r="V148" s="1"/>
  <c r="AK151"/>
  <c r="AI148"/>
  <c r="AK148" s="1"/>
  <c r="N148"/>
  <c r="P148" s="1"/>
  <c r="AB151"/>
  <c r="Z148"/>
  <c r="AB148" s="1"/>
  <c r="U249"/>
  <c r="U248"/>
  <c r="U236"/>
  <c r="S59"/>
  <c r="S27"/>
  <c r="S12"/>
  <c r="R159"/>
  <c r="R160"/>
  <c r="R161"/>
  <c r="R162"/>
  <c r="R232"/>
  <c r="R233"/>
  <c r="R234"/>
  <c r="R235"/>
  <c r="S224"/>
  <c r="S186"/>
  <c r="S151"/>
  <c r="S150"/>
  <c r="S146"/>
  <c r="S80"/>
  <c r="S64"/>
  <c r="S74"/>
  <c r="S104"/>
  <c r="S115"/>
  <c r="S110"/>
  <c r="S100"/>
  <c r="S90"/>
  <c r="U246" l="1"/>
  <c r="R231"/>
  <c r="R158"/>
  <c r="R107" l="1"/>
  <c r="R221"/>
  <c r="R211"/>
  <c r="R212"/>
  <c r="R213"/>
  <c r="R214"/>
  <c r="R190"/>
  <c r="R191"/>
  <c r="R192"/>
  <c r="R193"/>
  <c r="R184"/>
  <c r="R143"/>
  <c r="R123"/>
  <c r="R124"/>
  <c r="R125"/>
  <c r="R126"/>
  <c r="R117"/>
  <c r="R112"/>
  <c r="R10"/>
  <c r="R20"/>
  <c r="R25"/>
  <c r="R31"/>
  <c r="R32"/>
  <c r="R33"/>
  <c r="R34"/>
  <c r="R56"/>
  <c r="R61"/>
  <c r="R67"/>
  <c r="R68"/>
  <c r="R69"/>
  <c r="R70"/>
  <c r="R72"/>
  <c r="R77"/>
  <c r="R87"/>
  <c r="R97"/>
  <c r="R102"/>
  <c r="AL104"/>
  <c r="N100"/>
  <c r="AT100" s="1"/>
  <c r="P150"/>
  <c r="AN104" l="1"/>
  <c r="AT104"/>
  <c r="R237"/>
  <c r="R253" s="1"/>
  <c r="R240"/>
  <c r="R256" s="1"/>
  <c r="R210"/>
  <c r="R189"/>
  <c r="R30"/>
  <c r="R66"/>
  <c r="R239"/>
  <c r="R255" s="1"/>
  <c r="R238"/>
  <c r="R254" s="1"/>
  <c r="R122"/>
  <c r="R252" l="1"/>
  <c r="R249"/>
  <c r="R247"/>
  <c r="R248"/>
  <c r="R250"/>
  <c r="R236"/>
  <c r="R246" l="1"/>
  <c r="AH22"/>
  <c r="AC22"/>
  <c r="AE22" s="1"/>
  <c r="Z22"/>
  <c r="AB22" s="1"/>
  <c r="T22"/>
  <c r="V22" s="1"/>
  <c r="Q22"/>
  <c r="AT22" l="1"/>
  <c r="S22"/>
  <c r="BJ273"/>
  <c r="AY235"/>
  <c r="AO235"/>
  <c r="AL235"/>
  <c r="AI235"/>
  <c r="AF235"/>
  <c r="AC235"/>
  <c r="Z235"/>
  <c r="W235"/>
  <c r="T235"/>
  <c r="Q235"/>
  <c r="O235"/>
  <c r="N235"/>
  <c r="L235"/>
  <c r="K235"/>
  <c r="I235"/>
  <c r="H235"/>
  <c r="F235"/>
  <c r="AO234"/>
  <c r="AQ234" s="1"/>
  <c r="AI234"/>
  <c r="AF234"/>
  <c r="AH234" s="1"/>
  <c r="W234"/>
  <c r="Y234" s="1"/>
  <c r="T234"/>
  <c r="V234" s="1"/>
  <c r="Q234"/>
  <c r="S234" s="1"/>
  <c r="O234"/>
  <c r="L234"/>
  <c r="K234"/>
  <c r="I234"/>
  <c r="H234"/>
  <c r="AY233"/>
  <c r="AO233"/>
  <c r="AQ233" s="1"/>
  <c r="AI233"/>
  <c r="AF233"/>
  <c r="W233"/>
  <c r="Y233" s="1"/>
  <c r="T233"/>
  <c r="V233" s="1"/>
  <c r="Q233"/>
  <c r="O233"/>
  <c r="L233"/>
  <c r="K233"/>
  <c r="I233"/>
  <c r="H233"/>
  <c r="AY232"/>
  <c r="AO232"/>
  <c r="AL232"/>
  <c r="AI232"/>
  <c r="AF232"/>
  <c r="AC232"/>
  <c r="Z232"/>
  <c r="W232"/>
  <c r="T232"/>
  <c r="Q232"/>
  <c r="O232"/>
  <c r="N232"/>
  <c r="L232"/>
  <c r="L231" s="1"/>
  <c r="K232"/>
  <c r="K231" s="1"/>
  <c r="I232"/>
  <c r="H232"/>
  <c r="F232"/>
  <c r="AO231"/>
  <c r="AQ231" s="1"/>
  <c r="W231"/>
  <c r="Y231" s="1"/>
  <c r="I231"/>
  <c r="H231"/>
  <c r="AX230"/>
  <c r="AW230"/>
  <c r="AV230"/>
  <c r="AU230"/>
  <c r="F230"/>
  <c r="E230"/>
  <c r="AX229"/>
  <c r="AW229"/>
  <c r="AV229"/>
  <c r="AU229"/>
  <c r="F229"/>
  <c r="E229"/>
  <c r="AX228"/>
  <c r="AW228"/>
  <c r="AV228"/>
  <c r="AU228"/>
  <c r="F228"/>
  <c r="E228"/>
  <c r="AX227"/>
  <c r="AW227"/>
  <c r="AV227"/>
  <c r="AU227"/>
  <c r="F227"/>
  <c r="E227"/>
  <c r="AO226"/>
  <c r="AL226"/>
  <c r="AI226"/>
  <c r="AF226"/>
  <c r="AC226"/>
  <c r="Z226"/>
  <c r="W226"/>
  <c r="T226"/>
  <c r="Q226"/>
  <c r="N226"/>
  <c r="K226"/>
  <c r="H226"/>
  <c r="F226"/>
  <c r="AX225"/>
  <c r="AW225"/>
  <c r="AV225"/>
  <c r="AU225"/>
  <c r="F225"/>
  <c r="E225"/>
  <c r="AX224"/>
  <c r="AW224"/>
  <c r="AV224"/>
  <c r="AU224"/>
  <c r="F224"/>
  <c r="E224"/>
  <c r="AX223"/>
  <c r="AW223"/>
  <c r="AV223"/>
  <c r="AU223"/>
  <c r="F223"/>
  <c r="E223"/>
  <c r="AX222"/>
  <c r="AW222"/>
  <c r="AV222"/>
  <c r="AU222"/>
  <c r="F222"/>
  <c r="E222"/>
  <c r="AY221"/>
  <c r="AO221"/>
  <c r="AL221"/>
  <c r="AI221"/>
  <c r="AF221"/>
  <c r="AC221"/>
  <c r="Z221"/>
  <c r="AB221" s="1"/>
  <c r="W221"/>
  <c r="T221"/>
  <c r="Q221"/>
  <c r="N221"/>
  <c r="K221"/>
  <c r="H221"/>
  <c r="F221"/>
  <c r="AX220"/>
  <c r="AW220"/>
  <c r="AV220"/>
  <c r="AU220"/>
  <c r="F220"/>
  <c r="E220"/>
  <c r="AY219"/>
  <c r="AY234" s="1"/>
  <c r="AX219"/>
  <c r="AV219"/>
  <c r="AL234"/>
  <c r="AN234" s="1"/>
  <c r="AC234"/>
  <c r="AE234" s="1"/>
  <c r="Z234"/>
  <c r="AB234" s="1"/>
  <c r="M219"/>
  <c r="F219"/>
  <c r="E219"/>
  <c r="AV218"/>
  <c r="AN218"/>
  <c r="AB218"/>
  <c r="F218"/>
  <c r="AX217"/>
  <c r="AW217"/>
  <c r="AV217"/>
  <c r="AU217"/>
  <c r="F217"/>
  <c r="E217"/>
  <c r="AO216"/>
  <c r="AQ216" s="1"/>
  <c r="AL216"/>
  <c r="AN216" s="1"/>
  <c r="AI216"/>
  <c r="AF216"/>
  <c r="AH216" s="1"/>
  <c r="AC216"/>
  <c r="AE216" s="1"/>
  <c r="W216"/>
  <c r="Y216" s="1"/>
  <c r="T216"/>
  <c r="V216" s="1"/>
  <c r="Q216"/>
  <c r="O216"/>
  <c r="L216"/>
  <c r="K216"/>
  <c r="H216"/>
  <c r="AX215"/>
  <c r="AW215"/>
  <c r="AV215"/>
  <c r="AU215"/>
  <c r="AY214"/>
  <c r="AO214"/>
  <c r="AL214"/>
  <c r="AI214"/>
  <c r="AF214"/>
  <c r="AC214"/>
  <c r="Z214"/>
  <c r="W214"/>
  <c r="T214"/>
  <c r="Q214"/>
  <c r="O214"/>
  <c r="N214"/>
  <c r="L214"/>
  <c r="F214" s="1"/>
  <c r="K214"/>
  <c r="H214"/>
  <c r="AO213"/>
  <c r="AQ213" s="1"/>
  <c r="AL213"/>
  <c r="AN213" s="1"/>
  <c r="AI213"/>
  <c r="AK213" s="1"/>
  <c r="AF213"/>
  <c r="AC213"/>
  <c r="Z213"/>
  <c r="W213"/>
  <c r="T213"/>
  <c r="V213" s="1"/>
  <c r="Q213"/>
  <c r="O213"/>
  <c r="N213"/>
  <c r="L213"/>
  <c r="K213"/>
  <c r="H213"/>
  <c r="AY212"/>
  <c r="AO212"/>
  <c r="AL212"/>
  <c r="AI212"/>
  <c r="AF212"/>
  <c r="AF210" s="1"/>
  <c r="AC212"/>
  <c r="Z212"/>
  <c r="W212"/>
  <c r="T212"/>
  <c r="T210" s="1"/>
  <c r="V210" s="1"/>
  <c r="Q212"/>
  <c r="O212"/>
  <c r="N212"/>
  <c r="L212"/>
  <c r="F212" s="1"/>
  <c r="K212"/>
  <c r="H212"/>
  <c r="H210" s="1"/>
  <c r="AY211"/>
  <c r="AO211"/>
  <c r="AL211"/>
  <c r="AI211"/>
  <c r="AF211"/>
  <c r="AC211"/>
  <c r="Z211"/>
  <c r="W211"/>
  <c r="T211"/>
  <c r="Q211"/>
  <c r="O211"/>
  <c r="N211"/>
  <c r="L211"/>
  <c r="K211"/>
  <c r="H211"/>
  <c r="AL210"/>
  <c r="AN210" s="1"/>
  <c r="O210"/>
  <c r="AX209"/>
  <c r="AW209"/>
  <c r="AV209"/>
  <c r="AU209"/>
  <c r="F209"/>
  <c r="E209"/>
  <c r="AY208"/>
  <c r="AY205" s="1"/>
  <c r="AX208"/>
  <c r="AW208"/>
  <c r="AV208"/>
  <c r="AU208"/>
  <c r="P208"/>
  <c r="F208"/>
  <c r="E208"/>
  <c r="AX207"/>
  <c r="AW207"/>
  <c r="AV207"/>
  <c r="AU207"/>
  <c r="F207"/>
  <c r="E207"/>
  <c r="AX206"/>
  <c r="AW206"/>
  <c r="AV206"/>
  <c r="AU206"/>
  <c r="F206"/>
  <c r="E206"/>
  <c r="AO205"/>
  <c r="AL205"/>
  <c r="AN205" s="1"/>
  <c r="AI205"/>
  <c r="AF205"/>
  <c r="AC205"/>
  <c r="Z205"/>
  <c r="W205"/>
  <c r="T205"/>
  <c r="Q205"/>
  <c r="O205"/>
  <c r="N205"/>
  <c r="K205"/>
  <c r="H205"/>
  <c r="AX204"/>
  <c r="AW204"/>
  <c r="AV204"/>
  <c r="AU204"/>
  <c r="F204"/>
  <c r="E204"/>
  <c r="AX203"/>
  <c r="AW203"/>
  <c r="AV203"/>
  <c r="AU203"/>
  <c r="F203"/>
  <c r="E203"/>
  <c r="AX202"/>
  <c r="AW202"/>
  <c r="AV202"/>
  <c r="AU202"/>
  <c r="F202"/>
  <c r="E202"/>
  <c r="AX201"/>
  <c r="AW201"/>
  <c r="AV201"/>
  <c r="AU201"/>
  <c r="F201"/>
  <c r="E201"/>
  <c r="AY200"/>
  <c r="AO200"/>
  <c r="AL200"/>
  <c r="AI200"/>
  <c r="AK200" s="1"/>
  <c r="AF200"/>
  <c r="AC200"/>
  <c r="Z200"/>
  <c r="W200"/>
  <c r="T200"/>
  <c r="Q200"/>
  <c r="N200"/>
  <c r="K200"/>
  <c r="H200"/>
  <c r="F200"/>
  <c r="AX199"/>
  <c r="AW199"/>
  <c r="AV199"/>
  <c r="AU199"/>
  <c r="F199"/>
  <c r="E199"/>
  <c r="AY198"/>
  <c r="AX198"/>
  <c r="AW198"/>
  <c r="AV198"/>
  <c r="AU198"/>
  <c r="M198"/>
  <c r="F198"/>
  <c r="E198"/>
  <c r="AX197"/>
  <c r="AW197"/>
  <c r="AV197"/>
  <c r="AU197"/>
  <c r="F197"/>
  <c r="E197"/>
  <c r="AX196"/>
  <c r="AW196"/>
  <c r="AV196"/>
  <c r="AU196"/>
  <c r="F196"/>
  <c r="E196"/>
  <c r="AO195"/>
  <c r="AL195"/>
  <c r="AN195" s="1"/>
  <c r="AI195"/>
  <c r="AK195" s="1"/>
  <c r="AF195"/>
  <c r="AC195"/>
  <c r="Z195"/>
  <c r="W195"/>
  <c r="T195"/>
  <c r="Q195"/>
  <c r="N195"/>
  <c r="L195"/>
  <c r="K195"/>
  <c r="H195"/>
  <c r="AX194"/>
  <c r="AW194"/>
  <c r="AV194"/>
  <c r="AU194"/>
  <c r="AY193"/>
  <c r="AO193"/>
  <c r="AL193"/>
  <c r="AI193"/>
  <c r="AF193"/>
  <c r="AC193"/>
  <c r="Z193"/>
  <c r="W193"/>
  <c r="T193"/>
  <c r="Q193"/>
  <c r="O193"/>
  <c r="N193"/>
  <c r="L193"/>
  <c r="K193"/>
  <c r="H193"/>
  <c r="AY192"/>
  <c r="AO192"/>
  <c r="AQ192" s="1"/>
  <c r="AL192"/>
  <c r="AN192" s="1"/>
  <c r="AI192"/>
  <c r="AF192"/>
  <c r="AC192"/>
  <c r="Z192"/>
  <c r="W192"/>
  <c r="T192"/>
  <c r="O192"/>
  <c r="N192"/>
  <c r="L192"/>
  <c r="K192"/>
  <c r="H192"/>
  <c r="AY191"/>
  <c r="AL191"/>
  <c r="AN191" s="1"/>
  <c r="AI191"/>
  <c r="AK191" s="1"/>
  <c r="AF191"/>
  <c r="AC191"/>
  <c r="Z191"/>
  <c r="W191"/>
  <c r="T191"/>
  <c r="Q191"/>
  <c r="S191" s="1"/>
  <c r="O191"/>
  <c r="N191"/>
  <c r="L191"/>
  <c r="K191"/>
  <c r="H191"/>
  <c r="AY190"/>
  <c r="AO190"/>
  <c r="AL190"/>
  <c r="AI190"/>
  <c r="AF190"/>
  <c r="AC190"/>
  <c r="Z190"/>
  <c r="W190"/>
  <c r="T190"/>
  <c r="Q190"/>
  <c r="O190"/>
  <c r="N190"/>
  <c r="L190"/>
  <c r="K190"/>
  <c r="H190"/>
  <c r="AX188"/>
  <c r="AW188"/>
  <c r="AV188"/>
  <c r="AU188"/>
  <c r="F188"/>
  <c r="E188"/>
  <c r="AX187"/>
  <c r="AW187"/>
  <c r="AU187"/>
  <c r="AT187"/>
  <c r="P187"/>
  <c r="F187"/>
  <c r="AW186"/>
  <c r="AV186"/>
  <c r="AU186"/>
  <c r="AX186"/>
  <c r="P186"/>
  <c r="M186"/>
  <c r="F186"/>
  <c r="E186"/>
  <c r="AX185"/>
  <c r="AW185"/>
  <c r="AV185"/>
  <c r="AU185"/>
  <c r="F185"/>
  <c r="E185"/>
  <c r="AY184"/>
  <c r="AO184"/>
  <c r="AL184"/>
  <c r="AI184"/>
  <c r="AF184"/>
  <c r="AC184"/>
  <c r="Z184"/>
  <c r="W184"/>
  <c r="T184"/>
  <c r="O184"/>
  <c r="N184"/>
  <c r="L184"/>
  <c r="K184"/>
  <c r="H184"/>
  <c r="AX183"/>
  <c r="AW183"/>
  <c r="AV183"/>
  <c r="AU183"/>
  <c r="F183"/>
  <c r="E183"/>
  <c r="AX182"/>
  <c r="AW182"/>
  <c r="AV182"/>
  <c r="AU182"/>
  <c r="P182"/>
  <c r="F182"/>
  <c r="E182"/>
  <c r="AX181"/>
  <c r="AW181"/>
  <c r="AV181"/>
  <c r="AU181"/>
  <c r="F181"/>
  <c r="E181"/>
  <c r="AX180"/>
  <c r="AW180"/>
  <c r="AV180"/>
  <c r="AU180"/>
  <c r="F180"/>
  <c r="E180"/>
  <c r="AY179"/>
  <c r="AO179"/>
  <c r="AQ179" s="1"/>
  <c r="AL179"/>
  <c r="AI179"/>
  <c r="AF179"/>
  <c r="AC179"/>
  <c r="Z179"/>
  <c r="W179"/>
  <c r="T179"/>
  <c r="Q179"/>
  <c r="O179"/>
  <c r="N179"/>
  <c r="K179"/>
  <c r="H179"/>
  <c r="AX178"/>
  <c r="AW178"/>
  <c r="AV178"/>
  <c r="AU178"/>
  <c r="F178"/>
  <c r="E178"/>
  <c r="AX177"/>
  <c r="AW177"/>
  <c r="AV177"/>
  <c r="AU177"/>
  <c r="F177"/>
  <c r="E177"/>
  <c r="AX176"/>
  <c r="AW176"/>
  <c r="AV176"/>
  <c r="AU176"/>
  <c r="F176"/>
  <c r="E176"/>
  <c r="AX175"/>
  <c r="AW175"/>
  <c r="AV175"/>
  <c r="AU175"/>
  <c r="F175"/>
  <c r="E175"/>
  <c r="AO174"/>
  <c r="AL174"/>
  <c r="AI174"/>
  <c r="AF174"/>
  <c r="AC174"/>
  <c r="Z174"/>
  <c r="W174"/>
  <c r="T174"/>
  <c r="Q174"/>
  <c r="N174"/>
  <c r="K174"/>
  <c r="H174"/>
  <c r="F174"/>
  <c r="AX173"/>
  <c r="AW173"/>
  <c r="AV173"/>
  <c r="AU173"/>
  <c r="F173"/>
  <c r="E173"/>
  <c r="AX172"/>
  <c r="AW172"/>
  <c r="AV172"/>
  <c r="AU172"/>
  <c r="F172"/>
  <c r="E172"/>
  <c r="AX171"/>
  <c r="AW171"/>
  <c r="AV171"/>
  <c r="AU171"/>
  <c r="F171"/>
  <c r="E171"/>
  <c r="AX170"/>
  <c r="AW170"/>
  <c r="AV170"/>
  <c r="AU170"/>
  <c r="F170"/>
  <c r="E170"/>
  <c r="AO169"/>
  <c r="AL169"/>
  <c r="AI169"/>
  <c r="AF169"/>
  <c r="AC169"/>
  <c r="Z169"/>
  <c r="W169"/>
  <c r="T169"/>
  <c r="Q169"/>
  <c r="N169"/>
  <c r="K169"/>
  <c r="H169"/>
  <c r="F169"/>
  <c r="AX168"/>
  <c r="AW168"/>
  <c r="AV168"/>
  <c r="AU168"/>
  <c r="F168"/>
  <c r="E168"/>
  <c r="AX167"/>
  <c r="AW167"/>
  <c r="AV167"/>
  <c r="AU167"/>
  <c r="P167"/>
  <c r="F167"/>
  <c r="E167"/>
  <c r="AX166"/>
  <c r="AW166"/>
  <c r="AV166"/>
  <c r="AU166"/>
  <c r="F166"/>
  <c r="E166"/>
  <c r="AX165"/>
  <c r="AW165"/>
  <c r="AV165"/>
  <c r="AU165"/>
  <c r="F165"/>
  <c r="E165"/>
  <c r="AY164"/>
  <c r="AO164"/>
  <c r="AL164"/>
  <c r="AI164"/>
  <c r="AF164"/>
  <c r="AC164"/>
  <c r="Z164"/>
  <c r="W164"/>
  <c r="T164"/>
  <c r="Q164"/>
  <c r="O164"/>
  <c r="N164"/>
  <c r="K164"/>
  <c r="H164"/>
  <c r="AX163"/>
  <c r="AW163"/>
  <c r="AV163"/>
  <c r="AU163"/>
  <c r="AY162"/>
  <c r="AO162"/>
  <c r="AL162"/>
  <c r="AI162"/>
  <c r="AF162"/>
  <c r="AC162"/>
  <c r="Z162"/>
  <c r="W162"/>
  <c r="T162"/>
  <c r="Q162"/>
  <c r="O162"/>
  <c r="N162"/>
  <c r="L162"/>
  <c r="K162"/>
  <c r="I162"/>
  <c r="F162" s="1"/>
  <c r="H162"/>
  <c r="AY161"/>
  <c r="AO161"/>
  <c r="AQ161" s="1"/>
  <c r="AL161"/>
  <c r="AN161" s="1"/>
  <c r="W161"/>
  <c r="Y161" s="1"/>
  <c r="T161"/>
  <c r="V161" s="1"/>
  <c r="Q161"/>
  <c r="O161"/>
  <c r="L161"/>
  <c r="I161"/>
  <c r="H161"/>
  <c r="AY160"/>
  <c r="AO160"/>
  <c r="AQ160" s="1"/>
  <c r="AL160"/>
  <c r="AN160" s="1"/>
  <c r="AI160"/>
  <c r="AK160" s="1"/>
  <c r="AF160"/>
  <c r="AH160" s="1"/>
  <c r="AC160"/>
  <c r="AE160" s="1"/>
  <c r="Z160"/>
  <c r="AB160" s="1"/>
  <c r="W160"/>
  <c r="T160"/>
  <c r="Q160"/>
  <c r="O160"/>
  <c r="N160"/>
  <c r="L160"/>
  <c r="K160"/>
  <c r="I160"/>
  <c r="H160"/>
  <c r="AU160" s="1"/>
  <c r="AY159"/>
  <c r="AO159"/>
  <c r="AQ159" s="1"/>
  <c r="AL159"/>
  <c r="AI159"/>
  <c r="AF159"/>
  <c r="AC159"/>
  <c r="Z159"/>
  <c r="W159"/>
  <c r="T159"/>
  <c r="Q159"/>
  <c r="O159"/>
  <c r="N159"/>
  <c r="L159"/>
  <c r="K159"/>
  <c r="I159"/>
  <c r="H159"/>
  <c r="AU159" s="1"/>
  <c r="AX157"/>
  <c r="AW157"/>
  <c r="AV157"/>
  <c r="AU157"/>
  <c r="F157"/>
  <c r="E157"/>
  <c r="AX156"/>
  <c r="AW156"/>
  <c r="AV156"/>
  <c r="AU156"/>
  <c r="F156"/>
  <c r="E156"/>
  <c r="AX155"/>
  <c r="AW155"/>
  <c r="AV155"/>
  <c r="AU155"/>
  <c r="F155"/>
  <c r="E155"/>
  <c r="AX154"/>
  <c r="AW154"/>
  <c r="AV154"/>
  <c r="AU154"/>
  <c r="F154"/>
  <c r="E154"/>
  <c r="AO153"/>
  <c r="AL153"/>
  <c r="AI153"/>
  <c r="AF153"/>
  <c r="AC153"/>
  <c r="Z153"/>
  <c r="W153"/>
  <c r="T153"/>
  <c r="Q153"/>
  <c r="N153"/>
  <c r="K153"/>
  <c r="H153"/>
  <c r="F153"/>
  <c r="AX152"/>
  <c r="AW152"/>
  <c r="AV152"/>
  <c r="AU152"/>
  <c r="F152"/>
  <c r="E152"/>
  <c r="AX151"/>
  <c r="AV151"/>
  <c r="AC161"/>
  <c r="AE161" s="1"/>
  <c r="Z161"/>
  <c r="AB161" s="1"/>
  <c r="M151"/>
  <c r="J151"/>
  <c r="F151"/>
  <c r="AX150"/>
  <c r="AW150"/>
  <c r="AV150"/>
  <c r="AU150"/>
  <c r="M150"/>
  <c r="J150"/>
  <c r="F150"/>
  <c r="E150"/>
  <c r="AX149"/>
  <c r="AW149"/>
  <c r="AV149"/>
  <c r="AU149"/>
  <c r="F149"/>
  <c r="E149"/>
  <c r="AY148"/>
  <c r="AO148"/>
  <c r="AQ148" s="1"/>
  <c r="AX147"/>
  <c r="AW147"/>
  <c r="AV147"/>
  <c r="AU147"/>
  <c r="F147"/>
  <c r="E147"/>
  <c r="AX146"/>
  <c r="AW146"/>
  <c r="AV146"/>
  <c r="AU146"/>
  <c r="P146"/>
  <c r="M146"/>
  <c r="J146"/>
  <c r="F146"/>
  <c r="E146"/>
  <c r="AX145"/>
  <c r="AW145"/>
  <c r="AV145"/>
  <c r="AU145"/>
  <c r="F145"/>
  <c r="E145"/>
  <c r="AX144"/>
  <c r="AW144"/>
  <c r="AV144"/>
  <c r="AU144"/>
  <c r="F144"/>
  <c r="E144"/>
  <c r="AY143"/>
  <c r="AO143"/>
  <c r="AL143"/>
  <c r="AI143"/>
  <c r="AK143" s="1"/>
  <c r="AF143"/>
  <c r="AC143"/>
  <c r="Z143"/>
  <c r="AB143" s="1"/>
  <c r="W143"/>
  <c r="T143"/>
  <c r="Q143"/>
  <c r="O143"/>
  <c r="N143"/>
  <c r="L143"/>
  <c r="K143"/>
  <c r="I143"/>
  <c r="H143"/>
  <c r="F143"/>
  <c r="AX142"/>
  <c r="AW142"/>
  <c r="AV142"/>
  <c r="AU142"/>
  <c r="F142"/>
  <c r="E142"/>
  <c r="AX141"/>
  <c r="AW141"/>
  <c r="AV141"/>
  <c r="AU141"/>
  <c r="P141"/>
  <c r="F141"/>
  <c r="E141"/>
  <c r="AX140"/>
  <c r="AW140"/>
  <c r="AV140"/>
  <c r="AU140"/>
  <c r="F140"/>
  <c r="E140"/>
  <c r="AX139"/>
  <c r="AW139"/>
  <c r="AV139"/>
  <c r="AU139"/>
  <c r="F139"/>
  <c r="E139"/>
  <c r="AY138"/>
  <c r="AO138"/>
  <c r="AQ138" s="1"/>
  <c r="AL138"/>
  <c r="AI138"/>
  <c r="AK138" s="1"/>
  <c r="AF138"/>
  <c r="AH138" s="1"/>
  <c r="AC138"/>
  <c r="Z138"/>
  <c r="W138"/>
  <c r="T138"/>
  <c r="Q138"/>
  <c r="O138"/>
  <c r="N138"/>
  <c r="K138"/>
  <c r="H138"/>
  <c r="AX137"/>
  <c r="AW137"/>
  <c r="AV137"/>
  <c r="AU137"/>
  <c r="F137"/>
  <c r="E137"/>
  <c r="AX136"/>
  <c r="AW136"/>
  <c r="AV136"/>
  <c r="AU136"/>
  <c r="F136"/>
  <c r="E136"/>
  <c r="AX135"/>
  <c r="AW135"/>
  <c r="AV135"/>
  <c r="AU135"/>
  <c r="F135"/>
  <c r="E135"/>
  <c r="AX134"/>
  <c r="AW134"/>
  <c r="AV134"/>
  <c r="AU134"/>
  <c r="F134"/>
  <c r="E134"/>
  <c r="AY133"/>
  <c r="AO133"/>
  <c r="AL133"/>
  <c r="AI133"/>
  <c r="AF133"/>
  <c r="AC133"/>
  <c r="Z133"/>
  <c r="W133"/>
  <c r="T133"/>
  <c r="Q133"/>
  <c r="N133"/>
  <c r="K133"/>
  <c r="H133"/>
  <c r="F133"/>
  <c r="AX132"/>
  <c r="AW132"/>
  <c r="AV132"/>
  <c r="AU132"/>
  <c r="F132"/>
  <c r="E132"/>
  <c r="AW131"/>
  <c r="AV131"/>
  <c r="AI161"/>
  <c r="AK161" s="1"/>
  <c r="K131"/>
  <c r="AT131" s="1"/>
  <c r="F131"/>
  <c r="AX130"/>
  <c r="AW130"/>
  <c r="AV130"/>
  <c r="AU130"/>
  <c r="F130"/>
  <c r="E130"/>
  <c r="AX129"/>
  <c r="AW129"/>
  <c r="AV129"/>
  <c r="AU129"/>
  <c r="F129"/>
  <c r="E129"/>
  <c r="AY128"/>
  <c r="AO128"/>
  <c r="AL128"/>
  <c r="AI128"/>
  <c r="AF128"/>
  <c r="AC128"/>
  <c r="Z128"/>
  <c r="W128"/>
  <c r="T128"/>
  <c r="Q128"/>
  <c r="N128"/>
  <c r="L128"/>
  <c r="K128"/>
  <c r="H128"/>
  <c r="AX127"/>
  <c r="AW127"/>
  <c r="AV127"/>
  <c r="AU127"/>
  <c r="AY126"/>
  <c r="AO126"/>
  <c r="AL126"/>
  <c r="AI126"/>
  <c r="AF126"/>
  <c r="AC126"/>
  <c r="Z126"/>
  <c r="W126"/>
  <c r="T126"/>
  <c r="Q126"/>
  <c r="O126"/>
  <c r="N126"/>
  <c r="L126"/>
  <c r="K126"/>
  <c r="H126"/>
  <c r="AY125"/>
  <c r="O125"/>
  <c r="L125"/>
  <c r="I125"/>
  <c r="H125"/>
  <c r="AL124"/>
  <c r="AN124" s="1"/>
  <c r="AF124"/>
  <c r="AH124" s="1"/>
  <c r="AC124"/>
  <c r="W124"/>
  <c r="Y124" s="1"/>
  <c r="O124"/>
  <c r="L124"/>
  <c r="K124"/>
  <c r="I124"/>
  <c r="H124"/>
  <c r="AY123"/>
  <c r="AO123"/>
  <c r="AL123"/>
  <c r="AI123"/>
  <c r="AF123"/>
  <c r="AC123"/>
  <c r="Z123"/>
  <c r="W123"/>
  <c r="T123"/>
  <c r="Q123"/>
  <c r="O123"/>
  <c r="N123"/>
  <c r="L123"/>
  <c r="K123"/>
  <c r="H123"/>
  <c r="AX121"/>
  <c r="AW121"/>
  <c r="AV121"/>
  <c r="AU121"/>
  <c r="F121"/>
  <c r="E121"/>
  <c r="AX120"/>
  <c r="AW120"/>
  <c r="AV120"/>
  <c r="AU120"/>
  <c r="F120"/>
  <c r="E120"/>
  <c r="AY119"/>
  <c r="AY124" s="1"/>
  <c r="AW119"/>
  <c r="AT119"/>
  <c r="N124"/>
  <c r="F119"/>
  <c r="AX118"/>
  <c r="AW118"/>
  <c r="AV118"/>
  <c r="AU118"/>
  <c r="F118"/>
  <c r="E118"/>
  <c r="AO117"/>
  <c r="AQ117" s="1"/>
  <c r="AL117"/>
  <c r="AN117" s="1"/>
  <c r="AI117"/>
  <c r="AK117" s="1"/>
  <c r="AF117"/>
  <c r="AC117"/>
  <c r="AE117" s="1"/>
  <c r="Z117"/>
  <c r="W117"/>
  <c r="Y117" s="1"/>
  <c r="T117"/>
  <c r="O117"/>
  <c r="N117"/>
  <c r="L117"/>
  <c r="K117"/>
  <c r="H117"/>
  <c r="AX116"/>
  <c r="AW116"/>
  <c r="AV116"/>
  <c r="AU116"/>
  <c r="F116"/>
  <c r="E116"/>
  <c r="AX115"/>
  <c r="AW115"/>
  <c r="AV115"/>
  <c r="AU115"/>
  <c r="P115"/>
  <c r="M115"/>
  <c r="F115"/>
  <c r="E115"/>
  <c r="AX114"/>
  <c r="AW114"/>
  <c r="AV114"/>
  <c r="AU114"/>
  <c r="F114"/>
  <c r="E114"/>
  <c r="AX113"/>
  <c r="AW113"/>
  <c r="AV113"/>
  <c r="AU113"/>
  <c r="F113"/>
  <c r="E113"/>
  <c r="AY112"/>
  <c r="AO112"/>
  <c r="AL112"/>
  <c r="AI112"/>
  <c r="AK112" s="1"/>
  <c r="AF112"/>
  <c r="AC112"/>
  <c r="Z112"/>
  <c r="W112"/>
  <c r="T112"/>
  <c r="Q112"/>
  <c r="O112"/>
  <c r="N112"/>
  <c r="L112"/>
  <c r="K112"/>
  <c r="I112"/>
  <c r="H112"/>
  <c r="AX111"/>
  <c r="AW111"/>
  <c r="AV111"/>
  <c r="AU111"/>
  <c r="F111"/>
  <c r="E111"/>
  <c r="AX110"/>
  <c r="AW110"/>
  <c r="AV110"/>
  <c r="AT110"/>
  <c r="M110"/>
  <c r="J110"/>
  <c r="F110"/>
  <c r="AX109"/>
  <c r="AW109"/>
  <c r="AV109"/>
  <c r="AU109"/>
  <c r="F109"/>
  <c r="E109"/>
  <c r="AX108"/>
  <c r="AW108"/>
  <c r="AV108"/>
  <c r="AU108"/>
  <c r="F108"/>
  <c r="E108"/>
  <c r="AY107"/>
  <c r="AO107"/>
  <c r="AQ107" s="1"/>
  <c r="AL107"/>
  <c r="AN107" s="1"/>
  <c r="AI107"/>
  <c r="AK107" s="1"/>
  <c r="AF107"/>
  <c r="AH107" s="1"/>
  <c r="AC107"/>
  <c r="AE107" s="1"/>
  <c r="Z107"/>
  <c r="W107"/>
  <c r="T107"/>
  <c r="Q107"/>
  <c r="O107"/>
  <c r="L107"/>
  <c r="K107"/>
  <c r="I107"/>
  <c r="H107"/>
  <c r="AX106"/>
  <c r="AW106"/>
  <c r="AV106"/>
  <c r="AU106"/>
  <c r="F106"/>
  <c r="E106"/>
  <c r="AW105"/>
  <c r="AO125"/>
  <c r="AQ125" s="1"/>
  <c r="AL125"/>
  <c r="AN125" s="1"/>
  <c r="AI125"/>
  <c r="AF125"/>
  <c r="AH125" s="1"/>
  <c r="AC125"/>
  <c r="AE125" s="1"/>
  <c r="Z125"/>
  <c r="AB125" s="1"/>
  <c r="W125"/>
  <c r="Y125" s="1"/>
  <c r="T102"/>
  <c r="V102" s="1"/>
  <c r="P105"/>
  <c r="J105"/>
  <c r="F105"/>
  <c r="AW104"/>
  <c r="AV104"/>
  <c r="AU104"/>
  <c r="AI124"/>
  <c r="P104"/>
  <c r="M104"/>
  <c r="J104"/>
  <c r="F104"/>
  <c r="E104"/>
  <c r="AX103"/>
  <c r="AW103"/>
  <c r="AV103"/>
  <c r="AU103"/>
  <c r="F103"/>
  <c r="E103"/>
  <c r="AY102"/>
  <c r="AO102"/>
  <c r="AQ102" s="1"/>
  <c r="AL102"/>
  <c r="AN102" s="1"/>
  <c r="AI102"/>
  <c r="AF102"/>
  <c r="AH102" s="1"/>
  <c r="AC102"/>
  <c r="AE102" s="1"/>
  <c r="Z102"/>
  <c r="AB102" s="1"/>
  <c r="W102"/>
  <c r="Q102"/>
  <c r="O102"/>
  <c r="L102"/>
  <c r="K102"/>
  <c r="I102"/>
  <c r="H102"/>
  <c r="AX101"/>
  <c r="AW101"/>
  <c r="AV101"/>
  <c r="AU101"/>
  <c r="F101"/>
  <c r="E101"/>
  <c r="AX100"/>
  <c r="AW100"/>
  <c r="AV100"/>
  <c r="AU100"/>
  <c r="Y100"/>
  <c r="P100"/>
  <c r="F100"/>
  <c r="E100"/>
  <c r="AX99"/>
  <c r="AW99"/>
  <c r="AV99"/>
  <c r="AU99"/>
  <c r="F99"/>
  <c r="E99"/>
  <c r="AX98"/>
  <c r="AW98"/>
  <c r="AV98"/>
  <c r="AU98"/>
  <c r="F98"/>
  <c r="E98"/>
  <c r="AY97"/>
  <c r="AO97"/>
  <c r="AL97"/>
  <c r="AI97"/>
  <c r="AF97"/>
  <c r="AC97"/>
  <c r="Z97"/>
  <c r="W97"/>
  <c r="T97"/>
  <c r="Q97"/>
  <c r="O97"/>
  <c r="N97"/>
  <c r="K97"/>
  <c r="H97"/>
  <c r="F97"/>
  <c r="AX96"/>
  <c r="AW96"/>
  <c r="AV96"/>
  <c r="AU96"/>
  <c r="F96"/>
  <c r="E96"/>
  <c r="AX95"/>
  <c r="AW95"/>
  <c r="AV95"/>
  <c r="AU95"/>
  <c r="F95"/>
  <c r="E95"/>
  <c r="AX94"/>
  <c r="AW94"/>
  <c r="AV94"/>
  <c r="AU94"/>
  <c r="F94"/>
  <c r="E94"/>
  <c r="AX93"/>
  <c r="AW93"/>
  <c r="AV93"/>
  <c r="AU93"/>
  <c r="F93"/>
  <c r="E93"/>
  <c r="AY92"/>
  <c r="AO92"/>
  <c r="AL92"/>
  <c r="AI92"/>
  <c r="AF92"/>
  <c r="AC92"/>
  <c r="Z92"/>
  <c r="W92"/>
  <c r="T92"/>
  <c r="Q92"/>
  <c r="N92"/>
  <c r="K92"/>
  <c r="H92"/>
  <c r="F92"/>
  <c r="AX91"/>
  <c r="AW91"/>
  <c r="AV91"/>
  <c r="AU91"/>
  <c r="F91"/>
  <c r="E91"/>
  <c r="AX90"/>
  <c r="AW90"/>
  <c r="AV90"/>
  <c r="AU90"/>
  <c r="M90"/>
  <c r="F90"/>
  <c r="E90"/>
  <c r="AX89"/>
  <c r="AW89"/>
  <c r="AV89"/>
  <c r="AU89"/>
  <c r="P89"/>
  <c r="F89"/>
  <c r="E89"/>
  <c r="AX88"/>
  <c r="AW88"/>
  <c r="AV88"/>
  <c r="AU88"/>
  <c r="F88"/>
  <c r="E88"/>
  <c r="AY87"/>
  <c r="AO87"/>
  <c r="AL87"/>
  <c r="AN87" s="1"/>
  <c r="AI87"/>
  <c r="AF87"/>
  <c r="AH87" s="1"/>
  <c r="AC87"/>
  <c r="AE87" s="1"/>
  <c r="Z87"/>
  <c r="AB87" s="1"/>
  <c r="W87"/>
  <c r="Y87" s="1"/>
  <c r="T87"/>
  <c r="Q87"/>
  <c r="O87"/>
  <c r="N87"/>
  <c r="L87"/>
  <c r="K87"/>
  <c r="H87"/>
  <c r="AX86"/>
  <c r="AW86"/>
  <c r="AV86"/>
  <c r="AU86"/>
  <c r="F86"/>
  <c r="E86"/>
  <c r="AX85"/>
  <c r="AW85"/>
  <c r="AV85"/>
  <c r="AU85"/>
  <c r="F85"/>
  <c r="E85"/>
  <c r="AX84"/>
  <c r="AW84"/>
  <c r="AV84"/>
  <c r="AU84"/>
  <c r="F84"/>
  <c r="E84"/>
  <c r="AX83"/>
  <c r="AW83"/>
  <c r="AV83"/>
  <c r="AU83"/>
  <c r="F83"/>
  <c r="E83"/>
  <c r="AO82"/>
  <c r="AL82"/>
  <c r="AI82"/>
  <c r="AF82"/>
  <c r="AC82"/>
  <c r="Z82"/>
  <c r="W82"/>
  <c r="T82"/>
  <c r="Q82"/>
  <c r="N82"/>
  <c r="K82"/>
  <c r="H82"/>
  <c r="F82"/>
  <c r="AX81"/>
  <c r="AW81"/>
  <c r="AV81"/>
  <c r="AU81"/>
  <c r="F81"/>
  <c r="E81"/>
  <c r="AX80"/>
  <c r="AW80"/>
  <c r="AV80"/>
  <c r="AU80"/>
  <c r="J80"/>
  <c r="E80"/>
  <c r="AX79"/>
  <c r="AW79"/>
  <c r="AV79"/>
  <c r="AU79"/>
  <c r="F79"/>
  <c r="E79"/>
  <c r="AX78"/>
  <c r="AW78"/>
  <c r="AV78"/>
  <c r="AU78"/>
  <c r="F78"/>
  <c r="E78"/>
  <c r="AY77"/>
  <c r="AO77"/>
  <c r="AQ77" s="1"/>
  <c r="AL77"/>
  <c r="AN77" s="1"/>
  <c r="AI77"/>
  <c r="AK77" s="1"/>
  <c r="AF77"/>
  <c r="AC77"/>
  <c r="AE77" s="1"/>
  <c r="Z77"/>
  <c r="W77"/>
  <c r="T77"/>
  <c r="Q77"/>
  <c r="O77"/>
  <c r="N77"/>
  <c r="K77"/>
  <c r="I77"/>
  <c r="H77"/>
  <c r="AX76"/>
  <c r="AW76"/>
  <c r="AV76"/>
  <c r="AU76"/>
  <c r="F76"/>
  <c r="E76"/>
  <c r="AX75"/>
  <c r="AW75"/>
  <c r="AV75"/>
  <c r="AU75"/>
  <c r="P75"/>
  <c r="F75"/>
  <c r="E75"/>
  <c r="AX74"/>
  <c r="AW74"/>
  <c r="AV74"/>
  <c r="AU74"/>
  <c r="P74"/>
  <c r="F74"/>
  <c r="E74"/>
  <c r="AX73"/>
  <c r="AW73"/>
  <c r="AV73"/>
  <c r="AU73"/>
  <c r="F73"/>
  <c r="E73"/>
  <c r="AY72"/>
  <c r="AO72"/>
  <c r="AL72"/>
  <c r="AI72"/>
  <c r="AF72"/>
  <c r="AC72"/>
  <c r="Z72"/>
  <c r="W72"/>
  <c r="T72"/>
  <c r="Q72"/>
  <c r="O72"/>
  <c r="F72" s="1"/>
  <c r="N72"/>
  <c r="K72"/>
  <c r="H72"/>
  <c r="AX71"/>
  <c r="AW71"/>
  <c r="AV71"/>
  <c r="AU71"/>
  <c r="AY70"/>
  <c r="AO70"/>
  <c r="AL70"/>
  <c r="AI70"/>
  <c r="AF70"/>
  <c r="AC70"/>
  <c r="Z70"/>
  <c r="W70"/>
  <c r="T70"/>
  <c r="Q70"/>
  <c r="O70"/>
  <c r="N70"/>
  <c r="L70"/>
  <c r="K70"/>
  <c r="H70"/>
  <c r="AY69"/>
  <c r="AL69"/>
  <c r="AN69" s="1"/>
  <c r="AF69"/>
  <c r="AH69" s="1"/>
  <c r="W69"/>
  <c r="T69"/>
  <c r="V69" s="1"/>
  <c r="O69"/>
  <c r="L69"/>
  <c r="H69"/>
  <c r="AY68"/>
  <c r="AO68"/>
  <c r="AL68"/>
  <c r="AN68" s="1"/>
  <c r="AI68"/>
  <c r="AK68" s="1"/>
  <c r="AF68"/>
  <c r="AH68" s="1"/>
  <c r="AC68"/>
  <c r="AE68" s="1"/>
  <c r="Z68"/>
  <c r="W68"/>
  <c r="T68"/>
  <c r="Q68"/>
  <c r="O68"/>
  <c r="N68"/>
  <c r="L68"/>
  <c r="K68"/>
  <c r="H68"/>
  <c r="AY67"/>
  <c r="AO67"/>
  <c r="AL67"/>
  <c r="AI67"/>
  <c r="AF67"/>
  <c r="AC67"/>
  <c r="Z67"/>
  <c r="W67"/>
  <c r="T67"/>
  <c r="Q67"/>
  <c r="O67"/>
  <c r="N67"/>
  <c r="L67"/>
  <c r="K67"/>
  <c r="H67"/>
  <c r="AX65"/>
  <c r="AW65"/>
  <c r="AV65"/>
  <c r="AU65"/>
  <c r="F65"/>
  <c r="E65"/>
  <c r="AO69"/>
  <c r="AQ69" s="1"/>
  <c r="AI69"/>
  <c r="AK69" s="1"/>
  <c r="Z69"/>
  <c r="AB69" s="1"/>
  <c r="AV64"/>
  <c r="F64"/>
  <c r="AX63"/>
  <c r="AW63"/>
  <c r="AV63"/>
  <c r="AU63"/>
  <c r="F63"/>
  <c r="E63"/>
  <c r="AX62"/>
  <c r="AW62"/>
  <c r="AV62"/>
  <c r="AU62"/>
  <c r="F62"/>
  <c r="E62"/>
  <c r="AY61"/>
  <c r="AO61"/>
  <c r="AQ61" s="1"/>
  <c r="AL61"/>
  <c r="AI61"/>
  <c r="AK61" s="1"/>
  <c r="AF61"/>
  <c r="AH61" s="1"/>
  <c r="AC61"/>
  <c r="AE61" s="1"/>
  <c r="Z61"/>
  <c r="AB61" s="1"/>
  <c r="W61"/>
  <c r="T61"/>
  <c r="V61" s="1"/>
  <c r="Q61"/>
  <c r="N61"/>
  <c r="P61" s="1"/>
  <c r="L61"/>
  <c r="K61"/>
  <c r="H61"/>
  <c r="AX60"/>
  <c r="AW60"/>
  <c r="AV60"/>
  <c r="AU60"/>
  <c r="F60"/>
  <c r="E60"/>
  <c r="AX59"/>
  <c r="AW59"/>
  <c r="Q69"/>
  <c r="N56"/>
  <c r="K56"/>
  <c r="F59"/>
  <c r="AX58"/>
  <c r="AW58"/>
  <c r="AV58"/>
  <c r="AU58"/>
  <c r="F58"/>
  <c r="E58"/>
  <c r="AX57"/>
  <c r="AW57"/>
  <c r="AV57"/>
  <c r="AU57"/>
  <c r="F57"/>
  <c r="E57"/>
  <c r="AY56"/>
  <c r="AO56"/>
  <c r="AQ56" s="1"/>
  <c r="AL56"/>
  <c r="AN56" s="1"/>
  <c r="AI56"/>
  <c r="AK56" s="1"/>
  <c r="AF56"/>
  <c r="AH56" s="1"/>
  <c r="AC56"/>
  <c r="AE56" s="1"/>
  <c r="Z56"/>
  <c r="W56"/>
  <c r="Y56" s="1"/>
  <c r="T56"/>
  <c r="Q56"/>
  <c r="O56"/>
  <c r="L56"/>
  <c r="H56"/>
  <c r="AX55"/>
  <c r="AW55"/>
  <c r="AV55"/>
  <c r="AU55"/>
  <c r="F55"/>
  <c r="E55"/>
  <c r="AX54"/>
  <c r="AW54"/>
  <c r="AV54"/>
  <c r="AU54"/>
  <c r="F54"/>
  <c r="E54"/>
  <c r="AX53"/>
  <c r="AW53"/>
  <c r="AV53"/>
  <c r="AU53"/>
  <c r="F53"/>
  <c r="E53"/>
  <c r="AX52"/>
  <c r="AW52"/>
  <c r="AV52"/>
  <c r="AU52"/>
  <c r="F52"/>
  <c r="E52"/>
  <c r="AO51"/>
  <c r="AL51"/>
  <c r="AI51"/>
  <c r="AF51"/>
  <c r="AC51"/>
  <c r="Z51"/>
  <c r="W51"/>
  <c r="T51"/>
  <c r="Q51"/>
  <c r="N51"/>
  <c r="K51"/>
  <c r="H51"/>
  <c r="F51"/>
  <c r="AX50"/>
  <c r="AW50"/>
  <c r="AV50"/>
  <c r="AU50"/>
  <c r="F50"/>
  <c r="E50"/>
  <c r="AX49"/>
  <c r="AW49"/>
  <c r="AV49"/>
  <c r="AU49"/>
  <c r="F49"/>
  <c r="E49"/>
  <c r="AX48"/>
  <c r="AW48"/>
  <c r="AV48"/>
  <c r="AU48"/>
  <c r="F48"/>
  <c r="E48"/>
  <c r="AX47"/>
  <c r="AW47"/>
  <c r="AV47"/>
  <c r="AU47"/>
  <c r="F47"/>
  <c r="E47"/>
  <c r="AO46"/>
  <c r="AL46"/>
  <c r="AI46"/>
  <c r="AF46"/>
  <c r="AC46"/>
  <c r="Z46"/>
  <c r="W46"/>
  <c r="T46"/>
  <c r="Q46"/>
  <c r="N46"/>
  <c r="K46"/>
  <c r="H46"/>
  <c r="F46"/>
  <c r="AX45"/>
  <c r="AW45"/>
  <c r="AV45"/>
  <c r="AU45"/>
  <c r="F45"/>
  <c r="E45"/>
  <c r="AX44"/>
  <c r="AV44"/>
  <c r="AU44"/>
  <c r="F44"/>
  <c r="E44"/>
  <c r="G44" s="1"/>
  <c r="AX43"/>
  <c r="AW43"/>
  <c r="AV43"/>
  <c r="AU43"/>
  <c r="F43"/>
  <c r="E43"/>
  <c r="AX42"/>
  <c r="AW42"/>
  <c r="AV42"/>
  <c r="AU42"/>
  <c r="F42"/>
  <c r="E42"/>
  <c r="AY41"/>
  <c r="AO41"/>
  <c r="AL41"/>
  <c r="AI41"/>
  <c r="AF41"/>
  <c r="AC41"/>
  <c r="Z41"/>
  <c r="W41"/>
  <c r="T41"/>
  <c r="Q41"/>
  <c r="N41"/>
  <c r="K41"/>
  <c r="H41"/>
  <c r="F41"/>
  <c r="AX40"/>
  <c r="AW40"/>
  <c r="AV40"/>
  <c r="AU40"/>
  <c r="F40"/>
  <c r="E40"/>
  <c r="AX39"/>
  <c r="AW39"/>
  <c r="AV39"/>
  <c r="AU39"/>
  <c r="F39"/>
  <c r="E39"/>
  <c r="AX38"/>
  <c r="AW38"/>
  <c r="AV38"/>
  <c r="AU38"/>
  <c r="F38"/>
  <c r="E38"/>
  <c r="AX37"/>
  <c r="AW37"/>
  <c r="AV37"/>
  <c r="AU37"/>
  <c r="F37"/>
  <c r="E37"/>
  <c r="AO36"/>
  <c r="AQ36" s="1"/>
  <c r="AL36"/>
  <c r="AI36"/>
  <c r="AF36"/>
  <c r="AC36"/>
  <c r="Z36"/>
  <c r="W36"/>
  <c r="T36"/>
  <c r="Q36"/>
  <c r="N36"/>
  <c r="K36"/>
  <c r="H36"/>
  <c r="F36"/>
  <c r="AX35"/>
  <c r="AW35"/>
  <c r="AV35"/>
  <c r="AU35"/>
  <c r="AY34"/>
  <c r="AO34"/>
  <c r="AL34"/>
  <c r="AL240" s="1"/>
  <c r="AL256" s="1"/>
  <c r="AI34"/>
  <c r="AF34"/>
  <c r="AF240" s="1"/>
  <c r="AF256" s="1"/>
  <c r="AC34"/>
  <c r="Z34"/>
  <c r="Z240" s="1"/>
  <c r="Z256" s="1"/>
  <c r="W34"/>
  <c r="T34"/>
  <c r="T240" s="1"/>
  <c r="T256" s="1"/>
  <c r="Q34"/>
  <c r="O34"/>
  <c r="O240" s="1"/>
  <c r="O256" s="1"/>
  <c r="N34"/>
  <c r="L34"/>
  <c r="L240" s="1"/>
  <c r="L256" s="1"/>
  <c r="K34"/>
  <c r="I34"/>
  <c r="H34"/>
  <c r="AY33"/>
  <c r="O33"/>
  <c r="L33"/>
  <c r="L239" s="1"/>
  <c r="L255" s="1"/>
  <c r="I33"/>
  <c r="H33"/>
  <c r="AY32"/>
  <c r="AO32"/>
  <c r="AQ32" s="1"/>
  <c r="AL32"/>
  <c r="AN32" s="1"/>
  <c r="AI32"/>
  <c r="AF32"/>
  <c r="AC32"/>
  <c r="AE32" s="1"/>
  <c r="Z32"/>
  <c r="AB32" s="1"/>
  <c r="W32"/>
  <c r="T32"/>
  <c r="V32" s="1"/>
  <c r="Q32"/>
  <c r="S32" s="1"/>
  <c r="O32"/>
  <c r="N32"/>
  <c r="L32"/>
  <c r="K32"/>
  <c r="I32"/>
  <c r="H32"/>
  <c r="H238" s="1"/>
  <c r="H254" s="1"/>
  <c r="AY31"/>
  <c r="AO31"/>
  <c r="AO237" s="1"/>
  <c r="AL31"/>
  <c r="AI31"/>
  <c r="AI237" s="1"/>
  <c r="AI253" s="1"/>
  <c r="AF31"/>
  <c r="AC31"/>
  <c r="AC237" s="1"/>
  <c r="AC253" s="1"/>
  <c r="Z31"/>
  <c r="W31"/>
  <c r="W237" s="1"/>
  <c r="W253" s="1"/>
  <c r="T31"/>
  <c r="Q31"/>
  <c r="Q237" s="1"/>
  <c r="Q253" s="1"/>
  <c r="O31"/>
  <c r="N31"/>
  <c r="N237" s="1"/>
  <c r="N253" s="1"/>
  <c r="L31"/>
  <c r="K31"/>
  <c r="K237" s="1"/>
  <c r="K253" s="1"/>
  <c r="I31"/>
  <c r="H31"/>
  <c r="F31"/>
  <c r="AX29"/>
  <c r="AW29"/>
  <c r="AV29"/>
  <c r="AU29"/>
  <c r="F29"/>
  <c r="E29"/>
  <c r="AX28"/>
  <c r="AW28"/>
  <c r="AV28"/>
  <c r="AU28"/>
  <c r="F28"/>
  <c r="E28"/>
  <c r="AX27"/>
  <c r="AW27"/>
  <c r="AV27"/>
  <c r="AU27"/>
  <c r="P27"/>
  <c r="M27"/>
  <c r="F27"/>
  <c r="E27"/>
  <c r="AX26"/>
  <c r="AW26"/>
  <c r="AV26"/>
  <c r="AU26"/>
  <c r="F26"/>
  <c r="E26"/>
  <c r="AY25"/>
  <c r="AO25"/>
  <c r="AQ25" s="1"/>
  <c r="AL25"/>
  <c r="AN25" s="1"/>
  <c r="AI25"/>
  <c r="AK25" s="1"/>
  <c r="AF25"/>
  <c r="AH25" s="1"/>
  <c r="AC25"/>
  <c r="AE25" s="1"/>
  <c r="Z25"/>
  <c r="AB25" s="1"/>
  <c r="W25"/>
  <c r="T25"/>
  <c r="Q25"/>
  <c r="N25"/>
  <c r="L25"/>
  <c r="K25"/>
  <c r="H25"/>
  <c r="AX24"/>
  <c r="AW24"/>
  <c r="AV24"/>
  <c r="AU24"/>
  <c r="F24"/>
  <c r="E24"/>
  <c r="AO33"/>
  <c r="AQ33" s="1"/>
  <c r="AL33"/>
  <c r="AN33" s="1"/>
  <c r="AI33"/>
  <c r="AK33" s="1"/>
  <c r="AF33"/>
  <c r="AH33" s="1"/>
  <c r="AC33"/>
  <c r="AE33" s="1"/>
  <c r="Z33"/>
  <c r="AB33" s="1"/>
  <c r="W33"/>
  <c r="Y33" s="1"/>
  <c r="N20"/>
  <c r="J23"/>
  <c r="F23"/>
  <c r="AX22"/>
  <c r="AW22"/>
  <c r="AV22"/>
  <c r="AU22"/>
  <c r="P22"/>
  <c r="M22"/>
  <c r="J22"/>
  <c r="F22"/>
  <c r="E22"/>
  <c r="AX21"/>
  <c r="AW21"/>
  <c r="AV21"/>
  <c r="AU21"/>
  <c r="F21"/>
  <c r="E21"/>
  <c r="AY20"/>
  <c r="AO20"/>
  <c r="AQ20" s="1"/>
  <c r="AL20"/>
  <c r="AN20" s="1"/>
  <c r="AI20"/>
  <c r="AF20"/>
  <c r="AH20" s="1"/>
  <c r="AC20"/>
  <c r="AE20" s="1"/>
  <c r="Z20"/>
  <c r="AB20" s="1"/>
  <c r="W20"/>
  <c r="Y20" s="1"/>
  <c r="T20"/>
  <c r="V20" s="1"/>
  <c r="O20"/>
  <c r="L20"/>
  <c r="I20"/>
  <c r="H20"/>
  <c r="AX19"/>
  <c r="AW19"/>
  <c r="AV19"/>
  <c r="AU19"/>
  <c r="F19"/>
  <c r="E19"/>
  <c r="AX18"/>
  <c r="AW18"/>
  <c r="AV18"/>
  <c r="AU18"/>
  <c r="F18"/>
  <c r="E18"/>
  <c r="AX17"/>
  <c r="AW17"/>
  <c r="AV17"/>
  <c r="AU17"/>
  <c r="F17"/>
  <c r="E17"/>
  <c r="AX16"/>
  <c r="AW16"/>
  <c r="AV16"/>
  <c r="AU16"/>
  <c r="F16"/>
  <c r="E16"/>
  <c r="AO15"/>
  <c r="AL15"/>
  <c r="AI15"/>
  <c r="AF15"/>
  <c r="AC15"/>
  <c r="Z15"/>
  <c r="W15"/>
  <c r="T15"/>
  <c r="Q15"/>
  <c r="N15"/>
  <c r="K15"/>
  <c r="H15"/>
  <c r="F15"/>
  <c r="AX14"/>
  <c r="AW14"/>
  <c r="AV14"/>
  <c r="AU14"/>
  <c r="F14"/>
  <c r="E14"/>
  <c r="AX13"/>
  <c r="AW13"/>
  <c r="AV13"/>
  <c r="AU13"/>
  <c r="F13"/>
  <c r="E13"/>
  <c r="AX12"/>
  <c r="AW12"/>
  <c r="AV12"/>
  <c r="AU12"/>
  <c r="F12"/>
  <c r="E12"/>
  <c r="AX11"/>
  <c r="AW11"/>
  <c r="AV11"/>
  <c r="AU11"/>
  <c r="F11"/>
  <c r="E11"/>
  <c r="AO10"/>
  <c r="AL10"/>
  <c r="AI10"/>
  <c r="AF10"/>
  <c r="AC10"/>
  <c r="Z10"/>
  <c r="W10"/>
  <c r="T10"/>
  <c r="Q10"/>
  <c r="N10"/>
  <c r="K10"/>
  <c r="H10"/>
  <c r="F10"/>
  <c r="G149" l="1"/>
  <c r="G39"/>
  <c r="Z210"/>
  <c r="AB210" s="1"/>
  <c r="AQ143"/>
  <c r="F159"/>
  <c r="AO253"/>
  <c r="AQ253" s="1"/>
  <c r="AO247"/>
  <c r="AQ247" s="1"/>
  <c r="AQ237"/>
  <c r="AQ112"/>
  <c r="AQ184"/>
  <c r="Q158"/>
  <c r="AY189"/>
  <c r="AY213"/>
  <c r="E211"/>
  <c r="AX212"/>
  <c r="Q231"/>
  <c r="S231" s="1"/>
  <c r="AI231"/>
  <c r="AQ128"/>
  <c r="AU162"/>
  <c r="AT23"/>
  <c r="AZ28"/>
  <c r="O237"/>
  <c r="O253" s="1"/>
  <c r="Z237"/>
  <c r="Z253" s="1"/>
  <c r="AL237"/>
  <c r="AL253" s="1"/>
  <c r="AT32"/>
  <c r="AU34"/>
  <c r="N240"/>
  <c r="N256" s="1"/>
  <c r="W240"/>
  <c r="W256" s="1"/>
  <c r="AI240"/>
  <c r="AI256" s="1"/>
  <c r="AY117"/>
  <c r="N189"/>
  <c r="AI189"/>
  <c r="AY195"/>
  <c r="L210"/>
  <c r="AU212"/>
  <c r="AV212"/>
  <c r="AW212"/>
  <c r="AO210"/>
  <c r="AQ210" s="1"/>
  <c r="AY216"/>
  <c r="AT218"/>
  <c r="O231"/>
  <c r="AT10"/>
  <c r="AY239"/>
  <c r="AU232"/>
  <c r="AU235"/>
  <c r="L237"/>
  <c r="L253" s="1"/>
  <c r="T237"/>
  <c r="T253" s="1"/>
  <c r="AF237"/>
  <c r="AF253" s="1"/>
  <c r="AY237"/>
  <c r="O239"/>
  <c r="O255" s="1"/>
  <c r="K240"/>
  <c r="K256" s="1"/>
  <c r="Q240"/>
  <c r="Q256" s="1"/>
  <c r="AC240"/>
  <c r="AC256" s="1"/>
  <c r="AO240"/>
  <c r="AO256" s="1"/>
  <c r="AZ45"/>
  <c r="E46"/>
  <c r="AC189"/>
  <c r="N210"/>
  <c r="W210"/>
  <c r="Z216"/>
  <c r="AB216" s="1"/>
  <c r="T231"/>
  <c r="V231" s="1"/>
  <c r="AT77"/>
  <c r="AT112"/>
  <c r="AT133"/>
  <c r="AT160"/>
  <c r="E235"/>
  <c r="AN112"/>
  <c r="AN184"/>
  <c r="AT87"/>
  <c r="AT128"/>
  <c r="AT138"/>
  <c r="AT191"/>
  <c r="AT205"/>
  <c r="AT213"/>
  <c r="AF231"/>
  <c r="AH231" s="1"/>
  <c r="H248"/>
  <c r="AN143"/>
  <c r="AT25"/>
  <c r="AT56"/>
  <c r="AT59"/>
  <c r="AT61"/>
  <c r="AT68"/>
  <c r="AT72"/>
  <c r="AT92"/>
  <c r="AZ95"/>
  <c r="AZ96"/>
  <c r="AT97"/>
  <c r="AT105"/>
  <c r="AZ136"/>
  <c r="AZ137"/>
  <c r="AZ139"/>
  <c r="AT143"/>
  <c r="AT164"/>
  <c r="AT179"/>
  <c r="Q184"/>
  <c r="AT184" s="1"/>
  <c r="AT195"/>
  <c r="AT200"/>
  <c r="L247"/>
  <c r="O247"/>
  <c r="Z247"/>
  <c r="AF247"/>
  <c r="AL247"/>
  <c r="K250"/>
  <c r="AV240"/>
  <c r="Q250"/>
  <c r="W250"/>
  <c r="AC250"/>
  <c r="AX240"/>
  <c r="AI250"/>
  <c r="AO250"/>
  <c r="AN221"/>
  <c r="K247"/>
  <c r="N247"/>
  <c r="Q247"/>
  <c r="W247"/>
  <c r="AC247"/>
  <c r="AI247"/>
  <c r="L249"/>
  <c r="L250"/>
  <c r="O250"/>
  <c r="T250"/>
  <c r="AW240"/>
  <c r="Z250"/>
  <c r="AF250"/>
  <c r="AL250"/>
  <c r="AT221"/>
  <c r="AN72"/>
  <c r="AK32"/>
  <c r="AK128"/>
  <c r="AK231"/>
  <c r="AK234"/>
  <c r="L66"/>
  <c r="AK20"/>
  <c r="AK124"/>
  <c r="AK125"/>
  <c r="AH221"/>
  <c r="AZ140"/>
  <c r="AU213"/>
  <c r="AU214"/>
  <c r="AV214"/>
  <c r="AW214"/>
  <c r="AX214"/>
  <c r="AZ215"/>
  <c r="AZ47"/>
  <c r="AK184"/>
  <c r="AK189"/>
  <c r="AK192"/>
  <c r="AK102"/>
  <c r="AX20"/>
  <c r="W189"/>
  <c r="AH112"/>
  <c r="E123"/>
  <c r="AZ129"/>
  <c r="AZ130"/>
  <c r="AZ132"/>
  <c r="AZ134"/>
  <c r="AZ135"/>
  <c r="G136"/>
  <c r="E159"/>
  <c r="AH92"/>
  <c r="AH133"/>
  <c r="AH143"/>
  <c r="G223"/>
  <c r="AZ227"/>
  <c r="F231"/>
  <c r="F34"/>
  <c r="F61"/>
  <c r="F68"/>
  <c r="M105"/>
  <c r="F126"/>
  <c r="F190"/>
  <c r="F195"/>
  <c r="AE221"/>
  <c r="G74"/>
  <c r="AZ74"/>
  <c r="F77"/>
  <c r="N102"/>
  <c r="AZ147"/>
  <c r="I158"/>
  <c r="W158"/>
  <c r="Y158" s="1"/>
  <c r="H189"/>
  <c r="O189"/>
  <c r="T189"/>
  <c r="Z189"/>
  <c r="AW189" s="1"/>
  <c r="AF189"/>
  <c r="AL189"/>
  <c r="AN189" s="1"/>
  <c r="E205"/>
  <c r="K210"/>
  <c r="Q210"/>
  <c r="AC210"/>
  <c r="AI210"/>
  <c r="AK210" s="1"/>
  <c r="N216"/>
  <c r="AT216" s="1"/>
  <c r="I30"/>
  <c r="AF238"/>
  <c r="AF254" s="1"/>
  <c r="AH254" s="1"/>
  <c r="AH32"/>
  <c r="F67"/>
  <c r="F70"/>
  <c r="F123"/>
  <c r="I122"/>
  <c r="F128"/>
  <c r="AE143"/>
  <c r="F184"/>
  <c r="F191"/>
  <c r="F192"/>
  <c r="F193"/>
  <c r="F210"/>
  <c r="F234"/>
  <c r="AE124"/>
  <c r="AZ228"/>
  <c r="AZ229"/>
  <c r="AZ230"/>
  <c r="AV235"/>
  <c r="F233"/>
  <c r="AZ48"/>
  <c r="AZ49"/>
  <c r="AZ50"/>
  <c r="AV159"/>
  <c r="AX160"/>
  <c r="AW162"/>
  <c r="AZ188"/>
  <c r="AX56"/>
  <c r="AZ57"/>
  <c r="E67"/>
  <c r="AV67"/>
  <c r="AX67"/>
  <c r="AV68"/>
  <c r="AX68"/>
  <c r="AU70"/>
  <c r="AW70"/>
  <c r="E87"/>
  <c r="AZ90"/>
  <c r="AZ91"/>
  <c r="E105"/>
  <c r="AX159"/>
  <c r="M160"/>
  <c r="T66"/>
  <c r="V66" s="1"/>
  <c r="AY66"/>
  <c r="AZ149"/>
  <c r="AZ152"/>
  <c r="E179"/>
  <c r="AZ182"/>
  <c r="AZ183"/>
  <c r="AZ185"/>
  <c r="P192"/>
  <c r="AU193"/>
  <c r="AV193"/>
  <c r="AW193"/>
  <c r="AX193"/>
  <c r="AZ194"/>
  <c r="AZ199"/>
  <c r="AZ206"/>
  <c r="AZ207"/>
  <c r="AZ29"/>
  <c r="AZ65"/>
  <c r="L122"/>
  <c r="L158"/>
  <c r="E162"/>
  <c r="AB56"/>
  <c r="F117"/>
  <c r="E119"/>
  <c r="AZ11"/>
  <c r="AZ12"/>
  <c r="AZ13"/>
  <c r="AZ14"/>
  <c r="AZ26"/>
  <c r="E31"/>
  <c r="AX237"/>
  <c r="AZ35"/>
  <c r="E36"/>
  <c r="G36" s="1"/>
  <c r="AZ37"/>
  <c r="AZ38"/>
  <c r="AZ39"/>
  <c r="AZ40"/>
  <c r="AX41"/>
  <c r="AZ42"/>
  <c r="AZ43"/>
  <c r="AZ60"/>
  <c r="AZ83"/>
  <c r="AZ84"/>
  <c r="AZ85"/>
  <c r="AZ86"/>
  <c r="AZ88"/>
  <c r="G90"/>
  <c r="AZ93"/>
  <c r="AZ94"/>
  <c r="G95"/>
  <c r="AU105"/>
  <c r="AZ106"/>
  <c r="N107"/>
  <c r="AZ108"/>
  <c r="AZ109"/>
  <c r="AV123"/>
  <c r="AX123"/>
  <c r="H122"/>
  <c r="M124"/>
  <c r="E126"/>
  <c r="AV126"/>
  <c r="AX126"/>
  <c r="AZ127"/>
  <c r="E164"/>
  <c r="AZ165"/>
  <c r="AZ166"/>
  <c r="AZ167"/>
  <c r="AZ168"/>
  <c r="E169"/>
  <c r="AZ170"/>
  <c r="AZ171"/>
  <c r="AZ172"/>
  <c r="AZ173"/>
  <c r="E174"/>
  <c r="AZ175"/>
  <c r="AZ176"/>
  <c r="AZ177"/>
  <c r="AZ178"/>
  <c r="G182"/>
  <c r="E187"/>
  <c r="L189"/>
  <c r="F189" s="1"/>
  <c r="E190"/>
  <c r="AV190"/>
  <c r="AX190"/>
  <c r="M191"/>
  <c r="AZ197"/>
  <c r="AZ208"/>
  <c r="AZ209"/>
  <c r="P210"/>
  <c r="AX210"/>
  <c r="AX235"/>
  <c r="I238"/>
  <c r="I254" s="1"/>
  <c r="AB107"/>
  <c r="AW117"/>
  <c r="AB117"/>
  <c r="O30"/>
  <c r="AL158"/>
  <c r="AN158" s="1"/>
  <c r="AY158"/>
  <c r="AV232"/>
  <c r="AW232"/>
  <c r="AZ232" s="1"/>
  <c r="AX232"/>
  <c r="AO158"/>
  <c r="AQ158" s="1"/>
  <c r="AW195"/>
  <c r="AB195"/>
  <c r="AW213"/>
  <c r="AB213"/>
  <c r="AZ21"/>
  <c r="AV15"/>
  <c r="K33"/>
  <c r="E23"/>
  <c r="Q33"/>
  <c r="S33" s="1"/>
  <c r="S23"/>
  <c r="L238"/>
  <c r="L254" s="1"/>
  <c r="L30"/>
  <c r="F30" s="1"/>
  <c r="AY238"/>
  <c r="AY30"/>
  <c r="I239"/>
  <c r="I255" s="1"/>
  <c r="AV10"/>
  <c r="S10"/>
  <c r="Y10"/>
  <c r="AX10"/>
  <c r="AU15"/>
  <c r="AW15"/>
  <c r="AU25"/>
  <c r="M25"/>
  <c r="F25"/>
  <c r="S25"/>
  <c r="AU72"/>
  <c r="S72"/>
  <c r="J77"/>
  <c r="AU82"/>
  <c r="AW82"/>
  <c r="M87"/>
  <c r="AV87"/>
  <c r="S87"/>
  <c r="AX87"/>
  <c r="F32"/>
  <c r="AZ16"/>
  <c r="AZ17"/>
  <c r="AZ18"/>
  <c r="AZ19"/>
  <c r="K20"/>
  <c r="Q20"/>
  <c r="AW10"/>
  <c r="E15"/>
  <c r="AX15"/>
  <c r="H237"/>
  <c r="H253" s="1"/>
  <c r="H30"/>
  <c r="J30" s="1"/>
  <c r="AU36"/>
  <c r="AW36"/>
  <c r="AU41"/>
  <c r="AV41"/>
  <c r="AW41"/>
  <c r="AC69"/>
  <c r="AE69" s="1"/>
  <c r="AU46"/>
  <c r="AW46"/>
  <c r="E51"/>
  <c r="AV51"/>
  <c r="AX51"/>
  <c r="M56"/>
  <c r="N69"/>
  <c r="N66" s="1"/>
  <c r="Y68"/>
  <c r="W66"/>
  <c r="Y66" s="1"/>
  <c r="E10"/>
  <c r="H66"/>
  <c r="O66"/>
  <c r="E70"/>
  <c r="P23"/>
  <c r="T33"/>
  <c r="V33" s="1"/>
  <c r="V23"/>
  <c r="P25"/>
  <c r="V25"/>
  <c r="AV36"/>
  <c r="AX36"/>
  <c r="AV46"/>
  <c r="AX46"/>
  <c r="AZ46" s="1"/>
  <c r="AU51"/>
  <c r="AW51"/>
  <c r="AU56"/>
  <c r="K69"/>
  <c r="AX72"/>
  <c r="AV77"/>
  <c r="S77"/>
  <c r="AX77"/>
  <c r="E82"/>
  <c r="AV82"/>
  <c r="AX82"/>
  <c r="AU87"/>
  <c r="V87"/>
  <c r="AU92"/>
  <c r="AW92"/>
  <c r="AX92"/>
  <c r="AU97"/>
  <c r="AV97"/>
  <c r="S97"/>
  <c r="AU102"/>
  <c r="M102"/>
  <c r="K125"/>
  <c r="N125"/>
  <c r="Q125"/>
  <c r="S125" s="1"/>
  <c r="S105"/>
  <c r="V107"/>
  <c r="V112"/>
  <c r="AX112"/>
  <c r="AU128"/>
  <c r="AV128"/>
  <c r="K161"/>
  <c r="AU133"/>
  <c r="AW138"/>
  <c r="V143"/>
  <c r="AF161"/>
  <c r="AH161" s="1"/>
  <c r="AU153"/>
  <c r="AW153"/>
  <c r="AW164"/>
  <c r="AU179"/>
  <c r="AV179"/>
  <c r="AX179"/>
  <c r="AU184"/>
  <c r="Q192"/>
  <c r="S192" s="1"/>
  <c r="S187"/>
  <c r="AU200"/>
  <c r="AX200"/>
  <c r="V205"/>
  <c r="AW205"/>
  <c r="M216"/>
  <c r="Z233"/>
  <c r="AB233" s="1"/>
  <c r="AC233"/>
  <c r="AE233" s="1"/>
  <c r="AL233"/>
  <c r="AL231" s="1"/>
  <c r="AN231" s="1"/>
  <c r="AV221"/>
  <c r="S221"/>
  <c r="E226"/>
  <c r="AV226"/>
  <c r="AX226"/>
  <c r="P20"/>
  <c r="AZ24"/>
  <c r="AW25"/>
  <c r="K238"/>
  <c r="K254" s="1"/>
  <c r="AI238"/>
  <c r="AI254" s="1"/>
  <c r="AK254" s="1"/>
  <c r="H239"/>
  <c r="H255" s="1"/>
  <c r="H240"/>
  <c r="H256" s="1"/>
  <c r="AZ52"/>
  <c r="AZ53"/>
  <c r="AZ54"/>
  <c r="AZ55"/>
  <c r="G58"/>
  <c r="AZ62"/>
  <c r="AZ63"/>
  <c r="AU67"/>
  <c r="AW67"/>
  <c r="AU68"/>
  <c r="AF66"/>
  <c r="AH66" s="1"/>
  <c r="AV70"/>
  <c r="AX70"/>
  <c r="AZ71"/>
  <c r="AW72"/>
  <c r="AZ73"/>
  <c r="AZ76"/>
  <c r="AZ78"/>
  <c r="AZ79"/>
  <c r="AZ81"/>
  <c r="P87"/>
  <c r="AW87"/>
  <c r="AZ98"/>
  <c r="AZ99"/>
  <c r="AZ101"/>
  <c r="AZ103"/>
  <c r="AZ111"/>
  <c r="E112"/>
  <c r="M112"/>
  <c r="AW112"/>
  <c r="AZ113"/>
  <c r="AZ114"/>
  <c r="AZ115"/>
  <c r="AZ116"/>
  <c r="Q117"/>
  <c r="AT117" s="1"/>
  <c r="AZ118"/>
  <c r="AZ120"/>
  <c r="AZ121"/>
  <c r="AU123"/>
  <c r="AW123"/>
  <c r="J124"/>
  <c r="AU126"/>
  <c r="AW126"/>
  <c r="AZ141"/>
  <c r="AZ142"/>
  <c r="M143"/>
  <c r="AW143"/>
  <c r="AZ144"/>
  <c r="AZ145"/>
  <c r="AZ154"/>
  <c r="AZ155"/>
  <c r="AZ156"/>
  <c r="AZ157"/>
  <c r="H158"/>
  <c r="T158"/>
  <c r="V158" s="1"/>
  <c r="AW159"/>
  <c r="AV162"/>
  <c r="AX162"/>
  <c r="AZ163"/>
  <c r="G167"/>
  <c r="AZ180"/>
  <c r="AZ181"/>
  <c r="P184"/>
  <c r="AW184"/>
  <c r="AV187"/>
  <c r="K189"/>
  <c r="AU190"/>
  <c r="AZ190" s="1"/>
  <c r="AW190"/>
  <c r="AU191"/>
  <c r="P191"/>
  <c r="AW191"/>
  <c r="AW200"/>
  <c r="AZ201"/>
  <c r="AZ202"/>
  <c r="G203"/>
  <c r="AZ203"/>
  <c r="AZ204"/>
  <c r="G208"/>
  <c r="AU210"/>
  <c r="AW210"/>
  <c r="AU211"/>
  <c r="AV211"/>
  <c r="AW211"/>
  <c r="AX211"/>
  <c r="M213"/>
  <c r="AV213"/>
  <c r="AX213"/>
  <c r="AZ217"/>
  <c r="AX218"/>
  <c r="AZ220"/>
  <c r="AZ222"/>
  <c r="AZ223"/>
  <c r="AZ225"/>
  <c r="M231"/>
  <c r="AV233"/>
  <c r="M234"/>
  <c r="AW235"/>
  <c r="AV92"/>
  <c r="AW97"/>
  <c r="AX97"/>
  <c r="T125"/>
  <c r="V125" s="1"/>
  <c r="V105"/>
  <c r="M107"/>
  <c r="S107"/>
  <c r="Y107"/>
  <c r="AU112"/>
  <c r="AV112"/>
  <c r="S112"/>
  <c r="Y112"/>
  <c r="S119"/>
  <c r="AW128"/>
  <c r="AV133"/>
  <c r="AX133"/>
  <c r="AU138"/>
  <c r="AV138"/>
  <c r="AX138"/>
  <c r="AU143"/>
  <c r="P143"/>
  <c r="AV143"/>
  <c r="S143"/>
  <c r="Y143"/>
  <c r="AX143"/>
  <c r="E153"/>
  <c r="AV153"/>
  <c r="AX153"/>
  <c r="AU164"/>
  <c r="AV164"/>
  <c r="AX164"/>
  <c r="AV169"/>
  <c r="AW169"/>
  <c r="AX169"/>
  <c r="AV174"/>
  <c r="AW174"/>
  <c r="AX174"/>
  <c r="AW179"/>
  <c r="S184"/>
  <c r="AU195"/>
  <c r="AV195"/>
  <c r="AX195"/>
  <c r="AV200"/>
  <c r="AU205"/>
  <c r="AV205"/>
  <c r="Y205"/>
  <c r="AX205"/>
  <c r="AU221"/>
  <c r="V221"/>
  <c r="AW221"/>
  <c r="AX221"/>
  <c r="AU226"/>
  <c r="AW226"/>
  <c r="AU189"/>
  <c r="E195"/>
  <c r="G195" s="1"/>
  <c r="AZ196"/>
  <c r="Y213"/>
  <c r="Y195"/>
  <c r="S161"/>
  <c r="S158"/>
  <c r="S160"/>
  <c r="Y221"/>
  <c r="AX216"/>
  <c r="Y192"/>
  <c r="Y189"/>
  <c r="Y191"/>
  <c r="Y102"/>
  <c r="Y77"/>
  <c r="Y25"/>
  <c r="W238"/>
  <c r="W254" s="1"/>
  <c r="Y254" s="1"/>
  <c r="Y32"/>
  <c r="G89"/>
  <c r="G10"/>
  <c r="G12"/>
  <c r="G198"/>
  <c r="AZ198"/>
  <c r="E213"/>
  <c r="V160"/>
  <c r="AZ58"/>
  <c r="AU117"/>
  <c r="P117"/>
  <c r="G27"/>
  <c r="AZ27"/>
  <c r="AW77"/>
  <c r="AV72"/>
  <c r="AZ72" s="1"/>
  <c r="G75"/>
  <c r="V72"/>
  <c r="AZ75"/>
  <c r="AX61"/>
  <c r="AL66"/>
  <c r="AN66" s="1"/>
  <c r="AW61"/>
  <c r="AZ61" s="1"/>
  <c r="AV61"/>
  <c r="S61"/>
  <c r="AU61"/>
  <c r="S69"/>
  <c r="AV56"/>
  <c r="S56"/>
  <c r="G224"/>
  <c r="AZ224"/>
  <c r="AU216"/>
  <c r="V192"/>
  <c r="AV184"/>
  <c r="AZ187"/>
  <c r="G187"/>
  <c r="AX184"/>
  <c r="V184"/>
  <c r="V189"/>
  <c r="V191"/>
  <c r="E184"/>
  <c r="G184" s="1"/>
  <c r="V117"/>
  <c r="AW107"/>
  <c r="G105"/>
  <c r="AV102"/>
  <c r="S102"/>
  <c r="E138"/>
  <c r="G141"/>
  <c r="AW133"/>
  <c r="AX128"/>
  <c r="Y97"/>
  <c r="AZ100"/>
  <c r="AZ146"/>
  <c r="G119"/>
  <c r="AZ89"/>
  <c r="AZ80"/>
  <c r="E56"/>
  <c r="E68"/>
  <c r="G68" s="1"/>
  <c r="AW56"/>
  <c r="AW68"/>
  <c r="G219"/>
  <c r="AW160"/>
  <c r="AZ150"/>
  <c r="AV160"/>
  <c r="AW216"/>
  <c r="AV231"/>
  <c r="AV234"/>
  <c r="AV216"/>
  <c r="G186"/>
  <c r="AV161"/>
  <c r="E160"/>
  <c r="G146"/>
  <c r="G115"/>
  <c r="G23"/>
  <c r="G100"/>
  <c r="AX102"/>
  <c r="AW102"/>
  <c r="E102"/>
  <c r="G104"/>
  <c r="P97"/>
  <c r="G80"/>
  <c r="P102"/>
  <c r="G150"/>
  <c r="P160"/>
  <c r="O158"/>
  <c r="O122"/>
  <c r="P72"/>
  <c r="O238"/>
  <c r="O254" s="1"/>
  <c r="AZ22"/>
  <c r="AW20"/>
  <c r="AW32"/>
  <c r="G22"/>
  <c r="K239"/>
  <c r="M33"/>
  <c r="K30"/>
  <c r="T239"/>
  <c r="T255" s="1"/>
  <c r="V255" s="1"/>
  <c r="T30"/>
  <c r="V30" s="1"/>
  <c r="Z239"/>
  <c r="Z255" s="1"/>
  <c r="AB255" s="1"/>
  <c r="AW33"/>
  <c r="Z30"/>
  <c r="AB30" s="1"/>
  <c r="AF239"/>
  <c r="AF255" s="1"/>
  <c r="AH255" s="1"/>
  <c r="AF30"/>
  <c r="AH30" s="1"/>
  <c r="AL239"/>
  <c r="AL255" s="1"/>
  <c r="AN255" s="1"/>
  <c r="AL30"/>
  <c r="AN30" s="1"/>
  <c r="M69"/>
  <c r="E69"/>
  <c r="K66"/>
  <c r="AV69"/>
  <c r="Q66"/>
  <c r="AO66"/>
  <c r="AQ66" s="1"/>
  <c r="AZ15"/>
  <c r="AZ41"/>
  <c r="AQ41" s="1"/>
  <c r="AZ56"/>
  <c r="P66"/>
  <c r="AU69"/>
  <c r="P69"/>
  <c r="AZ102"/>
  <c r="W239"/>
  <c r="W255" s="1"/>
  <c r="Y255" s="1"/>
  <c r="W30"/>
  <c r="AC239"/>
  <c r="AC255" s="1"/>
  <c r="AE255" s="1"/>
  <c r="AC30"/>
  <c r="AE30" s="1"/>
  <c r="AI239"/>
  <c r="AI255" s="1"/>
  <c r="AK255" s="1"/>
  <c r="AX33"/>
  <c r="AI30"/>
  <c r="AO239"/>
  <c r="AO30"/>
  <c r="AQ30" s="1"/>
  <c r="AC66"/>
  <c r="AE66" s="1"/>
  <c r="AW69"/>
  <c r="Z66"/>
  <c r="AB66" s="1"/>
  <c r="AX69"/>
  <c r="AI66"/>
  <c r="AK66" s="1"/>
  <c r="AZ68"/>
  <c r="F237"/>
  <c r="J238"/>
  <c r="I236"/>
  <c r="O236"/>
  <c r="M125"/>
  <c r="K122"/>
  <c r="M122" s="1"/>
  <c r="W122"/>
  <c r="Y122" s="1"/>
  <c r="AW125"/>
  <c r="AC122"/>
  <c r="AF122"/>
  <c r="AH122" s="1"/>
  <c r="AX125"/>
  <c r="AL122"/>
  <c r="AN122" s="1"/>
  <c r="J107"/>
  <c r="F107"/>
  <c r="M161"/>
  <c r="K158"/>
  <c r="AX161"/>
  <c r="AI158"/>
  <c r="AK158" s="1"/>
  <c r="AV192"/>
  <c r="Q189"/>
  <c r="S189" s="1"/>
  <c r="AU10"/>
  <c r="AZ10" s="1"/>
  <c r="F20"/>
  <c r="J20"/>
  <c r="AV23"/>
  <c r="AX23"/>
  <c r="AV25"/>
  <c r="AX25"/>
  <c r="AW237"/>
  <c r="AU31"/>
  <c r="AW31"/>
  <c r="E32"/>
  <c r="M32"/>
  <c r="AV32"/>
  <c r="AX32"/>
  <c r="F33"/>
  <c r="J33"/>
  <c r="N33"/>
  <c r="E34"/>
  <c r="AV34"/>
  <c r="AX34"/>
  <c r="E41"/>
  <c r="G41" s="1"/>
  <c r="F56"/>
  <c r="G56" s="1"/>
  <c r="P56"/>
  <c r="E59"/>
  <c r="G59" s="1"/>
  <c r="M59"/>
  <c r="P59"/>
  <c r="AU59"/>
  <c r="E61"/>
  <c r="M61"/>
  <c r="E64"/>
  <c r="G64" s="1"/>
  <c r="M64"/>
  <c r="AQ64"/>
  <c r="AU64"/>
  <c r="AW64"/>
  <c r="F69"/>
  <c r="E72"/>
  <c r="G72" s="1"/>
  <c r="E77"/>
  <c r="G77" s="1"/>
  <c r="AU77"/>
  <c r="F87"/>
  <c r="G87" s="1"/>
  <c r="E92"/>
  <c r="G92" s="1"/>
  <c r="E97"/>
  <c r="G97" s="1"/>
  <c r="F102"/>
  <c r="J102"/>
  <c r="AZ123"/>
  <c r="AZ133"/>
  <c r="AZ143"/>
  <c r="AZ186"/>
  <c r="E237"/>
  <c r="AU237"/>
  <c r="L236"/>
  <c r="M238"/>
  <c r="F239"/>
  <c r="F240"/>
  <c r="AI122"/>
  <c r="AY122"/>
  <c r="Z158"/>
  <c r="AB158" s="1"/>
  <c r="AW161"/>
  <c r="AC158"/>
  <c r="AE158" s="1"/>
  <c r="AF158"/>
  <c r="AH158" s="1"/>
  <c r="M23"/>
  <c r="AU23"/>
  <c r="AW23"/>
  <c r="E25"/>
  <c r="G25" s="1"/>
  <c r="AV31"/>
  <c r="AX31"/>
  <c r="J32"/>
  <c r="P32"/>
  <c r="AU32"/>
  <c r="AW34"/>
  <c r="AW44"/>
  <c r="AZ44" s="1"/>
  <c r="AQ44" s="1"/>
  <c r="AV59"/>
  <c r="AX64"/>
  <c r="AX104"/>
  <c r="AZ104" s="1"/>
  <c r="AU124"/>
  <c r="P124"/>
  <c r="AU192"/>
  <c r="E192"/>
  <c r="G192" s="1"/>
  <c r="AW192"/>
  <c r="AY210"/>
  <c r="AY231"/>
  <c r="AV107"/>
  <c r="AX107"/>
  <c r="AU110"/>
  <c r="AZ110" s="1"/>
  <c r="P112"/>
  <c r="AV117"/>
  <c r="AX117"/>
  <c r="AV119"/>
  <c r="AX119"/>
  <c r="Q124"/>
  <c r="T124"/>
  <c r="Z124"/>
  <c r="AB124" s="1"/>
  <c r="AO124"/>
  <c r="AQ124" s="1"/>
  <c r="F125"/>
  <c r="J125"/>
  <c r="E128"/>
  <c r="G128" s="1"/>
  <c r="E131"/>
  <c r="G131" s="1"/>
  <c r="AX131"/>
  <c r="E133"/>
  <c r="G133" s="1"/>
  <c r="F138"/>
  <c r="P138"/>
  <c r="E143"/>
  <c r="G143" s="1"/>
  <c r="E151"/>
  <c r="G151" s="1"/>
  <c r="P151"/>
  <c r="AU151"/>
  <c r="AW151"/>
  <c r="F158"/>
  <c r="J158"/>
  <c r="F160"/>
  <c r="G160" s="1"/>
  <c r="J160"/>
  <c r="F161"/>
  <c r="J161"/>
  <c r="N161"/>
  <c r="F164"/>
  <c r="G164" s="1"/>
  <c r="P164"/>
  <c r="AU169"/>
  <c r="AZ169" s="1"/>
  <c r="AU174"/>
  <c r="AZ174" s="1"/>
  <c r="F179"/>
  <c r="G179" s="1"/>
  <c r="P179"/>
  <c r="AO191"/>
  <c r="AQ191" s="1"/>
  <c r="AV191"/>
  <c r="AX192"/>
  <c r="AZ193"/>
  <c r="AZ214"/>
  <c r="AX234"/>
  <c r="Z231"/>
  <c r="AB231" s="1"/>
  <c r="AC231"/>
  <c r="AE231" s="1"/>
  <c r="AW234"/>
  <c r="AV105"/>
  <c r="AX105"/>
  <c r="E110"/>
  <c r="G110" s="1"/>
  <c r="P110"/>
  <c r="F112"/>
  <c r="G112" s="1"/>
  <c r="E117"/>
  <c r="G117" s="1"/>
  <c r="P119"/>
  <c r="AU119"/>
  <c r="F124"/>
  <c r="AU131"/>
  <c r="AZ131" s="1"/>
  <c r="J143"/>
  <c r="M184"/>
  <c r="AZ212"/>
  <c r="AX233"/>
  <c r="E193"/>
  <c r="E200"/>
  <c r="G200" s="1"/>
  <c r="F205"/>
  <c r="G205" s="1"/>
  <c r="P205"/>
  <c r="E210"/>
  <c r="G210" s="1"/>
  <c r="M210"/>
  <c r="F211"/>
  <c r="E212"/>
  <c r="F213"/>
  <c r="P213"/>
  <c r="E214"/>
  <c r="F216"/>
  <c r="E218"/>
  <c r="G218" s="1"/>
  <c r="P218"/>
  <c r="AU218"/>
  <c r="AW218"/>
  <c r="P219"/>
  <c r="AU219"/>
  <c r="AW219"/>
  <c r="E221"/>
  <c r="G221" s="1"/>
  <c r="E232"/>
  <c r="N233"/>
  <c r="N234"/>
  <c r="AT234" s="1"/>
  <c r="M195"/>
  <c r="F238" l="1"/>
  <c r="G32"/>
  <c r="O249"/>
  <c r="AZ213"/>
  <c r="AO255"/>
  <c r="AQ255" s="1"/>
  <c r="AO249"/>
  <c r="AQ249" s="1"/>
  <c r="AQ239"/>
  <c r="G237"/>
  <c r="AZ221"/>
  <c r="E125"/>
  <c r="AZ97"/>
  <c r="AZ92"/>
  <c r="AZ159"/>
  <c r="AZ70"/>
  <c r="AZ67"/>
  <c r="AZ235"/>
  <c r="J122"/>
  <c r="AV210"/>
  <c r="G159"/>
  <c r="AZ205"/>
  <c r="AZ112"/>
  <c r="AZ200"/>
  <c r="E20"/>
  <c r="AY236"/>
  <c r="P189"/>
  <c r="AZ216"/>
  <c r="AZ179"/>
  <c r="K236"/>
  <c r="K255"/>
  <c r="M255" s="1"/>
  <c r="AW233"/>
  <c r="G138"/>
  <c r="AU125"/>
  <c r="G20"/>
  <c r="AV125"/>
  <c r="E240"/>
  <c r="Q239"/>
  <c r="Q255" s="1"/>
  <c r="S255" s="1"/>
  <c r="AZ128"/>
  <c r="P216"/>
  <c r="Y210"/>
  <c r="P107"/>
  <c r="AT69"/>
  <c r="AV237"/>
  <c r="AZ237" s="1"/>
  <c r="N250"/>
  <c r="AF252"/>
  <c r="AH252" s="1"/>
  <c r="G213"/>
  <c r="P125"/>
  <c r="N122"/>
  <c r="AU122" s="1"/>
  <c r="J239"/>
  <c r="H236"/>
  <c r="AV33"/>
  <c r="E216"/>
  <c r="G216" s="1"/>
  <c r="E107"/>
  <c r="G107" s="1"/>
  <c r="AZ184"/>
  <c r="M189"/>
  <c r="AZ162"/>
  <c r="AZ160"/>
  <c r="W252"/>
  <c r="Y252" s="1"/>
  <c r="AT233"/>
  <c r="AZ210"/>
  <c r="Q30"/>
  <c r="S30" s="1"/>
  <c r="AU66"/>
  <c r="M30"/>
  <c r="AV158"/>
  <c r="AU107"/>
  <c r="AZ107" s="1"/>
  <c r="AT20"/>
  <c r="AZ87"/>
  <c r="M254"/>
  <c r="T247"/>
  <c r="L252"/>
  <c r="AI252"/>
  <c r="AK252" s="1"/>
  <c r="O252"/>
  <c r="G102"/>
  <c r="G125"/>
  <c r="AZ77"/>
  <c r="G61"/>
  <c r="G69"/>
  <c r="AT124"/>
  <c r="AT161"/>
  <c r="AT125"/>
  <c r="AT33"/>
  <c r="AT210"/>
  <c r="H250"/>
  <c r="H247"/>
  <c r="I248"/>
  <c r="AU240"/>
  <c r="AZ240" s="1"/>
  <c r="AT107"/>
  <c r="AT192"/>
  <c r="AT102"/>
  <c r="H249"/>
  <c r="J255"/>
  <c r="I249"/>
  <c r="F249" s="1"/>
  <c r="AZ32"/>
  <c r="M239"/>
  <c r="AT189"/>
  <c r="AT66"/>
  <c r="Q249"/>
  <c r="AB239"/>
  <c r="Z249"/>
  <c r="T249"/>
  <c r="V249" s="1"/>
  <c r="W248"/>
  <c r="Y248" s="1"/>
  <c r="K248"/>
  <c r="AL238"/>
  <c r="AL254" s="1"/>
  <c r="AN254" s="1"/>
  <c r="AN233"/>
  <c r="L248"/>
  <c r="L246" s="1"/>
  <c r="AH238"/>
  <c r="AF248"/>
  <c r="AH248" s="1"/>
  <c r="AX247"/>
  <c r="AV247"/>
  <c r="E247"/>
  <c r="AU250"/>
  <c r="E250"/>
  <c r="AU256"/>
  <c r="E256"/>
  <c r="AW253"/>
  <c r="F247"/>
  <c r="G247" s="1"/>
  <c r="AW250"/>
  <c r="AW256"/>
  <c r="F250"/>
  <c r="AX250"/>
  <c r="AX256"/>
  <c r="M236"/>
  <c r="AK239"/>
  <c r="AI249"/>
  <c r="AK249" s="1"/>
  <c r="AE239"/>
  <c r="AC249"/>
  <c r="AE249" s="1"/>
  <c r="W249"/>
  <c r="Y249" s="1"/>
  <c r="AL249"/>
  <c r="AN249" s="1"/>
  <c r="AN239"/>
  <c r="AH239"/>
  <c r="AF249"/>
  <c r="AH249" s="1"/>
  <c r="K249"/>
  <c r="M249" s="1"/>
  <c r="O248"/>
  <c r="O246" s="1"/>
  <c r="AI248"/>
  <c r="AK248" s="1"/>
  <c r="AX253"/>
  <c r="AV253"/>
  <c r="AU253"/>
  <c r="E253"/>
  <c r="AW247"/>
  <c r="AV250"/>
  <c r="AV256"/>
  <c r="AK122"/>
  <c r="AK30"/>
  <c r="AK238"/>
  <c r="AI236"/>
  <c r="AC238"/>
  <c r="AC254" s="1"/>
  <c r="AE122"/>
  <c r="AZ151"/>
  <c r="AZ126"/>
  <c r="Y239"/>
  <c r="AL236"/>
  <c r="AN236" s="1"/>
  <c r="S117"/>
  <c r="AV20"/>
  <c r="S20"/>
  <c r="AZ226"/>
  <c r="AZ195"/>
  <c r="AZ164"/>
  <c r="F66"/>
  <c r="AZ36"/>
  <c r="M20"/>
  <c r="AZ34"/>
  <c r="AU33"/>
  <c r="AZ25"/>
  <c r="AZ138"/>
  <c r="AZ211"/>
  <c r="AZ153"/>
  <c r="AZ51"/>
  <c r="AZ82"/>
  <c r="AU20"/>
  <c r="AZ20" s="1"/>
  <c r="V239"/>
  <c r="P122"/>
  <c r="Y238"/>
  <c r="Y30"/>
  <c r="S66"/>
  <c r="AZ69"/>
  <c r="AO238"/>
  <c r="AO236" s="1"/>
  <c r="AZ105"/>
  <c r="T238"/>
  <c r="T254" s="1"/>
  <c r="V254" s="1"/>
  <c r="V124"/>
  <c r="S124"/>
  <c r="AZ117"/>
  <c r="AZ119"/>
  <c r="AZ125"/>
  <c r="AF236"/>
  <c r="AH236" s="1"/>
  <c r="AZ219"/>
  <c r="W236"/>
  <c r="E234"/>
  <c r="G234" s="1"/>
  <c r="N158"/>
  <c r="AT158" s="1"/>
  <c r="F122"/>
  <c r="E233"/>
  <c r="G233" s="1"/>
  <c r="N231"/>
  <c r="AT231" s="1"/>
  <c r="E191"/>
  <c r="G191" s="1"/>
  <c r="AO189"/>
  <c r="AW124"/>
  <c r="Z122"/>
  <c r="AB122" s="1"/>
  <c r="Q122"/>
  <c r="AV124"/>
  <c r="AW158"/>
  <c r="N239"/>
  <c r="N30"/>
  <c r="AT30" s="1"/>
  <c r="AV189"/>
  <c r="AX158"/>
  <c r="M158"/>
  <c r="J236"/>
  <c r="F236"/>
  <c r="AW66"/>
  <c r="AX30"/>
  <c r="AV30"/>
  <c r="AV66"/>
  <c r="AW30"/>
  <c r="AZ218"/>
  <c r="AU234"/>
  <c r="AZ234" s="1"/>
  <c r="AU233"/>
  <c r="AZ233" s="1"/>
  <c r="P161"/>
  <c r="E124"/>
  <c r="G124" s="1"/>
  <c r="AU161"/>
  <c r="AZ161" s="1"/>
  <c r="P158"/>
  <c r="AZ64"/>
  <c r="E33"/>
  <c r="G33" s="1"/>
  <c r="AW231"/>
  <c r="AO122"/>
  <c r="AQ122" s="1"/>
  <c r="T122"/>
  <c r="V122" s="1"/>
  <c r="AX66"/>
  <c r="AX239"/>
  <c r="M66"/>
  <c r="E66"/>
  <c r="AW239"/>
  <c r="P234"/>
  <c r="P233"/>
  <c r="AX231"/>
  <c r="AZ192"/>
  <c r="AX191"/>
  <c r="AZ191" s="1"/>
  <c r="N238"/>
  <c r="N254" s="1"/>
  <c r="P254" s="1"/>
  <c r="AZ23"/>
  <c r="AX124"/>
  <c r="AZ59"/>
  <c r="P33"/>
  <c r="Z238"/>
  <c r="Z254" s="1"/>
  <c r="AB254" s="1"/>
  <c r="Q238"/>
  <c r="Q254" s="1"/>
  <c r="AZ31"/>
  <c r="E161"/>
  <c r="G161" s="1"/>
  <c r="AX238" l="1"/>
  <c r="AN238"/>
  <c r="AL248"/>
  <c r="AL246" s="1"/>
  <c r="AC236"/>
  <c r="K246"/>
  <c r="M246" s="1"/>
  <c r="AO254"/>
  <c r="AQ254" s="1"/>
  <c r="AO248"/>
  <c r="AQ238"/>
  <c r="AE238"/>
  <c r="I246"/>
  <c r="AF246"/>
  <c r="AH246" s="1"/>
  <c r="W246"/>
  <c r="Y246" s="1"/>
  <c r="E189"/>
  <c r="G189" s="1"/>
  <c r="AQ189"/>
  <c r="AU247"/>
  <c r="H246"/>
  <c r="AI246"/>
  <c r="AK246" s="1"/>
  <c r="AV239"/>
  <c r="T236"/>
  <c r="V236" s="1"/>
  <c r="AZ33"/>
  <c r="AL252"/>
  <c r="AN252" s="1"/>
  <c r="T252"/>
  <c r="V252" s="1"/>
  <c r="AT239"/>
  <c r="N255"/>
  <c r="P255" s="1"/>
  <c r="S254"/>
  <c r="Q252"/>
  <c r="S252" s="1"/>
  <c r="AU158"/>
  <c r="E158"/>
  <c r="G158" s="1"/>
  <c r="J249"/>
  <c r="Z252"/>
  <c r="AB252" s="1"/>
  <c r="K252"/>
  <c r="M252" s="1"/>
  <c r="AE254"/>
  <c r="AC252"/>
  <c r="AE252" s="1"/>
  <c r="N252"/>
  <c r="P252" s="1"/>
  <c r="S239"/>
  <c r="G66"/>
  <c r="AT122"/>
  <c r="J254"/>
  <c r="I252"/>
  <c r="AT238"/>
  <c r="H252"/>
  <c r="J248"/>
  <c r="AB238"/>
  <c r="Z248"/>
  <c r="Q248"/>
  <c r="Q246" s="1"/>
  <c r="S246" s="1"/>
  <c r="V238"/>
  <c r="T248"/>
  <c r="T246" s="1"/>
  <c r="V246" s="1"/>
  <c r="AQ236"/>
  <c r="AC248"/>
  <c r="AC246" s="1"/>
  <c r="AE246" s="1"/>
  <c r="M248"/>
  <c r="F248"/>
  <c r="AW255"/>
  <c r="AV249"/>
  <c r="S249"/>
  <c r="AU254"/>
  <c r="N248"/>
  <c r="N249"/>
  <c r="E249" s="1"/>
  <c r="G249" s="1"/>
  <c r="AW249"/>
  <c r="AB249"/>
  <c r="AV255"/>
  <c r="AU249"/>
  <c r="AU248"/>
  <c r="AX248"/>
  <c r="AN248"/>
  <c r="AX254"/>
  <c r="E254"/>
  <c r="AX249"/>
  <c r="AX255"/>
  <c r="AK236"/>
  <c r="AE236"/>
  <c r="Y236"/>
  <c r="S238"/>
  <c r="S122"/>
  <c r="AZ158"/>
  <c r="AZ124"/>
  <c r="AV238"/>
  <c r="Q236"/>
  <c r="S236" s="1"/>
  <c r="AU239"/>
  <c r="AZ239" s="1"/>
  <c r="E239"/>
  <c r="G239" s="1"/>
  <c r="P239"/>
  <c r="AV122"/>
  <c r="E122"/>
  <c r="G122" s="1"/>
  <c r="AW122"/>
  <c r="P231"/>
  <c r="AU231"/>
  <c r="AZ231" s="1"/>
  <c r="E231"/>
  <c r="G231" s="1"/>
  <c r="AX122"/>
  <c r="AW238"/>
  <c r="Z236"/>
  <c r="AB236" s="1"/>
  <c r="N236"/>
  <c r="P238"/>
  <c r="AU238"/>
  <c r="E238"/>
  <c r="G238" s="1"/>
  <c r="P30"/>
  <c r="AU30"/>
  <c r="AZ30" s="1"/>
  <c r="E30"/>
  <c r="G30" s="1"/>
  <c r="AX189"/>
  <c r="AZ189" s="1"/>
  <c r="AZ66"/>
  <c r="AO252" l="1"/>
  <c r="AQ252" s="1"/>
  <c r="E248"/>
  <c r="G248" s="1"/>
  <c r="Z246"/>
  <c r="AB246" s="1"/>
  <c r="AO246"/>
  <c r="AQ246" s="1"/>
  <c r="AQ248"/>
  <c r="N246"/>
  <c r="P246" s="1"/>
  <c r="J246"/>
  <c r="AX236"/>
  <c r="E255"/>
  <c r="J252"/>
  <c r="AT249"/>
  <c r="P249"/>
  <c r="AE248"/>
  <c r="AV248"/>
  <c r="S248"/>
  <c r="AW248"/>
  <c r="AB248"/>
  <c r="AT236"/>
  <c r="AU255"/>
  <c r="AT248"/>
  <c r="V248"/>
  <c r="AV254"/>
  <c r="AW254"/>
  <c r="P248"/>
  <c r="AX252"/>
  <c r="AZ238"/>
  <c r="AW236"/>
  <c r="AV236"/>
  <c r="E236"/>
  <c r="G236" s="1"/>
  <c r="AU236"/>
  <c r="P236"/>
  <c r="AZ122"/>
  <c r="AW252" l="1"/>
  <c r="AU252"/>
  <c r="AV252"/>
  <c r="E252"/>
  <c r="AZ236"/>
  <c r="F258"/>
  <c r="F261"/>
  <c r="AT265"/>
  <c r="AM257"/>
  <c r="AT264"/>
  <c r="F260"/>
  <c r="G260" s="1"/>
  <c r="F259"/>
  <c r="F266"/>
  <c r="F263"/>
  <c r="F256" l="1"/>
  <c r="AN265"/>
  <c r="AN264"/>
  <c r="AM262"/>
  <c r="AT262" s="1"/>
  <c r="F264"/>
  <c r="G264" s="1"/>
  <c r="F265"/>
  <c r="G265" s="1"/>
  <c r="AT255" l="1"/>
  <c r="AT254"/>
  <c r="F253"/>
  <c r="G253" s="1"/>
  <c r="AN262"/>
  <c r="F262"/>
  <c r="G262" s="1"/>
  <c r="F254" l="1"/>
  <c r="G254" s="1"/>
  <c r="F255"/>
  <c r="G255" s="1"/>
  <c r="AT252"/>
  <c r="F252" l="1"/>
  <c r="G252" s="1"/>
  <c r="AX148" l="1"/>
  <c r="AN148"/>
  <c r="E148"/>
  <c r="AT148"/>
  <c r="AV148"/>
  <c r="AW148"/>
  <c r="AU148"/>
  <c r="F148"/>
  <c r="AZ148" l="1"/>
  <c r="G148"/>
  <c r="E246"/>
  <c r="AU246"/>
  <c r="AW246"/>
  <c r="AN246"/>
  <c r="AV246"/>
  <c r="AT246"/>
  <c r="AX246"/>
  <c r="F246"/>
  <c r="E257"/>
  <c r="AU257"/>
  <c r="AX257"/>
  <c r="AW257"/>
  <c r="AV257"/>
  <c r="F257"/>
  <c r="G257" l="1"/>
  <c r="G246"/>
</calcChain>
</file>

<file path=xl/sharedStrings.xml><?xml version="1.0" encoding="utf-8"?>
<sst xmlns="http://schemas.openxmlformats.org/spreadsheetml/2006/main" count="630" uniqueCount="290">
  <si>
    <t>Источники финансирования</t>
  </si>
  <si>
    <t>1.1.</t>
  </si>
  <si>
    <t>Подпрограмма I. Дошкольное образование</t>
  </si>
  <si>
    <t>Всего</t>
  </si>
  <si>
    <t>Бюджет Ханты-Мансийского автономного округа-Югры</t>
  </si>
  <si>
    <t>Бюджет городского округа Урай</t>
  </si>
  <si>
    <t>Управление образования и молодежной политики администрации города Урай</t>
  </si>
  <si>
    <t>ИТОГО по подпрограмме I:</t>
  </si>
  <si>
    <t>Подпрограмма II. Развитие современной инфраструктуры</t>
  </si>
  <si>
    <t>ИТОГО по подпрограмме II:</t>
  </si>
  <si>
    <t>Подпрограмма III. Общее и дополнительное образование</t>
  </si>
  <si>
    <t>Муниципальные общеобразовательные организации</t>
  </si>
  <si>
    <t>ИТОГО по подпрограмме III:</t>
  </si>
  <si>
    <t>Подпрограмма IV. Развитие муниципальной методической службы</t>
  </si>
  <si>
    <t>ИТОГО по подпрограмме IV:</t>
  </si>
  <si>
    <t>Подпрограмма V. "Здоровьесбережение и здоровьесозидание"</t>
  </si>
  <si>
    <t>ИТОГО по подпрограмме V:</t>
  </si>
  <si>
    <t>Подпрограмма VI. Молодежная политика</t>
  </si>
  <si>
    <t>ИТОГО по подпрограмме VI:</t>
  </si>
  <si>
    <t>Подпрограмма VII. Каникулярный отдых</t>
  </si>
  <si>
    <t>ИТОГО по подпрограмме VII:</t>
  </si>
  <si>
    <t>ИТОГО по программе:</t>
  </si>
  <si>
    <t>1.2.</t>
  </si>
  <si>
    <t>Федеральный бюджет</t>
  </si>
  <si>
    <t>Внебюджетные средства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</si>
  <si>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</si>
  <si>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</si>
  <si>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</si>
  <si>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</si>
  <si>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</si>
  <si>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</si>
  <si>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</si>
  <si>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</si>
  <si>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</si>
  <si>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</si>
  <si>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</si>
  <si>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</si>
  <si>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</si>
  <si>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</si>
  <si>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</si>
  <si>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Согласовано:</t>
  </si>
  <si>
    <t>Исполняющий обязанности начальника Управления</t>
  </si>
  <si>
    <t>Л.В. Константинова</t>
  </si>
  <si>
    <t xml:space="preserve">Комитет по финансам администрации грода Урай </t>
  </si>
  <si>
    <t>Заместитель начальника отдела ФП, БУ и О</t>
  </si>
  <si>
    <t>Г.С. Ли</t>
  </si>
  <si>
    <t>_____________________________И.В. Хусаинова</t>
  </si>
  <si>
    <t>Исполнитель Невская Ирина Евгеньевна</t>
  </si>
  <si>
    <t>план</t>
  </si>
  <si>
    <t>проверка</t>
  </si>
  <si>
    <t>Исполнение, %</t>
  </si>
  <si>
    <t>План</t>
  </si>
  <si>
    <t>Факт</t>
  </si>
  <si>
    <t>М.Н. Бусова</t>
  </si>
  <si>
    <t>Организация работы медицинского класса на базе МБОУ СОШ №4</t>
  </si>
  <si>
    <t>Обеспечение персонифицированного финансирования дополнительного образования детей</t>
  </si>
  <si>
    <t>Финансирование согласно фактически заключенных договоров на предоставление дополнительного образования\</t>
  </si>
  <si>
    <t>Проведение городской спартакиады школьников "Старты надежд"</t>
  </si>
  <si>
    <t>Экономия за счет дней карантина, актированных дней и дней пропущенных учащимися по причине болезни</t>
  </si>
  <si>
    <t>Организация питания в лагерях дневного пребывания детей в период весенних каникул</t>
  </si>
  <si>
    <t>Предоставление электронных услуг Управлением образования и молодежной политики, образовательными организациями и МАУ "Городской методический центр"</t>
  </si>
  <si>
    <t>Финансирование по фактически начисленной компенсации части родительской платы</t>
  </si>
  <si>
    <t>Предоставление метеоинформации (трансляция семи объявлений)</t>
  </si>
  <si>
    <t>Проведение городской деловой игрв "Лидер и его команда", участие в фестивале "Диалог цивилизаций"</t>
  </si>
  <si>
    <t>Обеспечение учащихся шести общеобразовательных организаций завтраками и обедами (льготная категория). Монтаж системы автоматизации учета питания учащихся общеобразовательных организаций</t>
  </si>
  <si>
    <t>Организации каникулярного отдыха и оздоровление детей за пределами  города Урай (выездной отдых)</t>
  </si>
  <si>
    <t>Приобретение спортивного оборудования и инвентаря в МБДОУ "Детский сад №12", приобретение оборудования для реализации инновационного проекта "Детский сад – цветущий сад", мебели в МБДОУ "Детский сад №21"</t>
  </si>
  <si>
    <t>Подготовка образовательных организаций к началу нового учебного года. Обеспечение антитеррористической безопасности образовательных организаций (монтаж охранной сигнализации, системы видеонаблюдения, системы контроля и управления доступом)</t>
  </si>
  <si>
    <t>Обеспечение защиты каналов связи. Приобретение расходных материалов для проведения государственной итоговой аттестации. Выплата компенсации педагогам, привлекаемым к подготовке и проведению ГИА в пунктах проведения экзаменов</t>
  </si>
  <si>
    <t>Организация работы лагеря дневного пребывания детей в период весенних и летних каникул и летнего трудового лагеря</t>
  </si>
  <si>
    <t>Местный бюджет</t>
  </si>
  <si>
    <t>1.</t>
  </si>
  <si>
    <t>1..3</t>
  </si>
  <si>
    <t>1..4</t>
  </si>
  <si>
    <t>2.1.</t>
  </si>
  <si>
    <t>2.</t>
  </si>
  <si>
    <t>2.2.</t>
  </si>
  <si>
    <t>2.3.</t>
  </si>
  <si>
    <t>2.4.</t>
  </si>
  <si>
    <t>2.5.</t>
  </si>
  <si>
    <t>2.6.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</si>
  <si>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</si>
  <si>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</si>
  <si>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</si>
  <si>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</si>
  <si>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</si>
  <si>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</si>
  <si>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</si>
  <si>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</si>
  <si>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</si>
  <si>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</si>
  <si>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</si>
  <si>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</si>
  <si>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</si>
  <si>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</si>
  <si>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</si>
  <si>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</si>
  <si>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</si>
  <si>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</si>
  <si>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</si>
  <si>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</si>
  <si>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</si>
  <si>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</si>
  <si>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</si>
  <si>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</si>
  <si>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6.</t>
  </si>
  <si>
    <t>6.1.</t>
  </si>
  <si>
    <t>6.3.</t>
  </si>
  <si>
    <t>7.</t>
  </si>
  <si>
    <t>7.1.</t>
  </si>
  <si>
    <t>7.2.</t>
  </si>
  <si>
    <t>7.3.</t>
  </si>
  <si>
    <t>Поддержка инновационной деятельности дошкольных образовательных организаций (проведение грантовых конкурсов и  др.) (1, 2, 3, 4, 5)</t>
  </si>
  <si>
    <t>Организация мероприятий, направленных на развитие воспитанников дошкольных образовательных организаций (ежегодный городской шахматный турнир «Алая ладья», соревнования «Губернаторские состязания», соревнования «Мы – спортивная семья» и др.) (1, 2, 3, 4, 5)</t>
  </si>
  <si>
    <t>Материальная поддержка воспитания и обучения детей, посещающих дошкольные образовательные организации (1, 2, 3, 4, 5)</t>
  </si>
  <si>
    <t>Создание безопасных условий доставки обучающихся на образовательные, культурно-массовые и спортивные мероприятия, к местам отдыха и обратно (обеспечение автобусным транспортом)  (6)</t>
  </si>
  <si>
    <t>Строительство, проведение капитального ремонта и реконструкции объектов образования (6, 7, 8, 9, 10,11)</t>
  </si>
  <si>
    <t>Строительство «Средняя школа в мкр. 1А (Общеобразовательная организация с универсальной безбарьерной средой)» (6, 7, 8, 9)</t>
  </si>
  <si>
    <t>Строительство «Школа в микрорайоне Земля Санникова (Общеобразовательная организация с универсальной безбарьерной средой)» (6, 7, 8, 9)</t>
  </si>
  <si>
    <t>Обеспечение безопасных и комфортных условий обучения, в том числе устранение предписаний надзорных органов (6, 7, 8, 9, 10, 11)</t>
  </si>
  <si>
    <t>Информатизация системы образования  (8)</t>
  </si>
  <si>
    <t>Поддержка инновационной деятельности  образовательных организаций (проведение грантовых конкурсов, поддержка ресурсных центров и др.) (14, 18)</t>
  </si>
  <si>
    <t>Организация и проведение мероприятий по развитию талантливых  детей и молодежи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 с участием главы города Урай, Губернатора Ханты-Мансийского автономного округа - Югры, награждение именной премией общества с ограниченной ответственностью «ЛУКОЙЛ – Западная Сибирь» 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 и др.) (13, 16, 18)</t>
  </si>
  <si>
    <t>Организация и проведение городского бала выпускников и участие в бале выпускников регионального уровня (16, 18)</t>
  </si>
  <si>
    <t>Реализация мероприятий, направленных на гражданско-патриотическое воспитание  молодежи (16, 17, 18)</t>
  </si>
  <si>
    <t>Мероприятия по профилактике правонарушений правил дорожного движения (проведение  и участие в мероприятиях городского, окружного, федерального уровней), приобретение учебного оборудования по правилам дорожного движения (16, 18)</t>
  </si>
  <si>
    <t>Мероприятия, способствующие развитию детских органов самоуправления (проведение  и участие в мероприятиях городского, окружного, федерального уровней) (16, 18, 19)</t>
  </si>
  <si>
    <t>Персонифицированное финансирование дополнительного образования детей (12, 17)</t>
  </si>
  <si>
    <t>Расходы на обеспечение проведения государственной итоговой аттестации (15, 18)</t>
  </si>
  <si>
    <t>Создание условий для повышения компетенций педагогов в контексте национальной системы учительского роста (20)</t>
  </si>
  <si>
    <t>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 (20, 21)</t>
  </si>
  <si>
    <t>Конкурсы в сфере образования. Организация и проведение профессиональных праздников  (20, 21)</t>
  </si>
  <si>
    <t>Расходы на обеспечение деятельности (оказание услуг) муниципального автономного учреждения города Урай «Городской методический центр» (20, 21, 22)</t>
  </si>
  <si>
    <t>Расходы на обеспечение деятельности Управления образования и молодежной политики администрации города Урай  (20, 21)</t>
  </si>
  <si>
    <t>Организация и участие в мероприятиях различного уровня, направленных на повышение квалификации специалистов  в сфере государственной молодежной политики (семинары, курсы повышения квалификации и др.) (20, 21)</t>
  </si>
  <si>
    <t>Мероприятия, направленные на формирование здорового образа жизни (проведение  и участие в мероприятиях городского, окружного, федерального уровней состязания, спартакиады и др.) (23)</t>
  </si>
  <si>
    <t>Мероприятия, направленные на повышение культуры безопасности, на снижение уровня детского травматизма и смертности несовершеннолетних от управляемых причин (проведение  и участие в мероприятиях городского, окружного, федерального уровней) (23)</t>
  </si>
  <si>
    <t>Обеспечение деятельности медицинского  блока образовательных организаций   (23)</t>
  </si>
  <si>
    <t>Обеспечение информирования обучающихся о неблагоприятных погодных условиях  (23)</t>
  </si>
  <si>
    <t>Организация питания обучающихся в муниципальных общеобразовательных организациях (23)</t>
  </si>
  <si>
    <t>Организация и проведение городских мероприятий, направленных на поддержку инициативы, развитие творческого, предпринимательского потенциала, повышение навыков и компетенций среди молодежи и общественных молодежных организаций (фестивали, форумы, конференции, конкурсы, встречи и др.). Награждение молодежи (выплата премий, стипендий, вознаграждений) (24)</t>
  </si>
  <si>
    <t>6.2.</t>
  </si>
  <si>
    <t>Организация участия детей и молодежи в возрасте от 14 до 30 лет во всероссийских, окружных молодежных мероприятиях (24)</t>
  </si>
  <si>
    <t>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 (конференции, форумы, сборы, походы, соревнования и др.) (24, 25, 26)</t>
  </si>
  <si>
    <t>Организация работы лагерей с дневным пребыванием детей и досуговых площадок (27)</t>
  </si>
  <si>
    <t>Организация выездного отдыха детей (27)</t>
  </si>
  <si>
    <t>Организация сплавов, походов (27)</t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</si>
  <si>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дошкольного</t>
    </r>
    <r>
      <rPr>
        <sz val="9"/>
        <rFont val="Times New Roman"/>
        <family val="1"/>
        <charset val="204"/>
      </rPr>
      <t xml:space="preserve"> образования (1, 2, 3,.4, 5)</t>
    </r>
  </si>
  <si>
    <r>
      <t>Расходы на обеспечение деятельности (оказание услуг) муниципальных о</t>
    </r>
    <r>
      <rPr>
        <b/>
        <sz val="9"/>
        <rFont val="Times New Roman"/>
        <family val="1"/>
        <charset val="204"/>
      </rPr>
      <t>бщеобразовательных</t>
    </r>
    <r>
      <rPr>
        <sz val="9"/>
        <rFont val="Times New Roman"/>
        <family val="1"/>
        <charset val="204"/>
      </rPr>
      <t xml:space="preserve"> организаций (13, 18)</t>
    </r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</si>
  <si>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дополнительного</t>
    </r>
    <r>
      <rPr>
        <sz val="9"/>
        <rFont val="Times New Roman"/>
        <family val="1"/>
        <charset val="204"/>
      </rPr>
      <t xml:space="preserve">  образования (12, 17)</t>
    </r>
  </si>
  <si>
    <t xml:space="preserve">№ </t>
  </si>
  <si>
    <t>Проведение городского конкурса "Безопасное колесо - 2019"</t>
  </si>
  <si>
    <t>Организация и проведение городских семинаров, ежегодного городского педагогического совещания</t>
  </si>
  <si>
    <t>Ю.А. Чигинцева</t>
  </si>
  <si>
    <t>Инвестиции в объекты муниципальной собственности</t>
  </si>
  <si>
    <t>Прочие расходы:</t>
  </si>
  <si>
    <t xml:space="preserve">В том числе: </t>
  </si>
  <si>
    <t xml:space="preserve">Соисполнитель 1
Муниципальное казенное учреждение «Управление капитального строительства города Урай»
</t>
  </si>
  <si>
    <t xml:space="preserve">Ответственный исполнитель
Управление образования и молодежной политики администрации города Урай
</t>
  </si>
  <si>
    <t>Соисполнитель 2
Органы администрации города Урай (управление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сводно-аналитический отдел администрации города Урай)</t>
  </si>
  <si>
    <t>Муниципальное казенное учреждение «Управление капитального строительства города Урай»</t>
  </si>
  <si>
    <t>Управление образования и молодежной политики администрации города Урай; органы администрации города Урай: сводно-аналитический отдел администрации города Урай</t>
  </si>
  <si>
    <t>Управление образования и молодежной политики администрации города Урай; муниципальное казенное учреждение «Управление капитального строительства города Урай»</t>
  </si>
  <si>
    <t>Управление образования и молодежной политики администрации города Урай; органы администрации города Урай: управление по культуре и социальным вопросам администрации города Урай, управление по физической культуре, спорту и туризму администрации города Урай</t>
  </si>
  <si>
    <t>Экономия по фактически сложившимся расходам на услуги связи и почтовые отправления</t>
  </si>
  <si>
    <t xml:space="preserve">Проведена 100% предоплата государственной экспертизы по объекту МБУ ДО «ЦМДО» </t>
  </si>
  <si>
    <t>Обеспечение деятельности восьми дошкольных образовательных учреждений в части выполнения стандарта дошкольного образования  за 12 месяцев 2019 года</t>
  </si>
  <si>
    <t>Выплата компенсации части родительской платы за 12 месяцев 2019 года</t>
  </si>
  <si>
    <t>Экономия средств по фактически сложившимся расходам на размещение информации о погодных условиях в СМИ</t>
  </si>
  <si>
    <t>Обеспечение автоперевозок детей на культурно-массовые мероприятия</t>
  </si>
  <si>
    <t>Приобретение и монтаж резинового покрытия для спортивной площадки и комплектующих к нему, замена оконных блоков в МБДОУ "Детский сад №21". Приобретение напольного покрытия, бытовой техники, бактерицидных облучателей, электрических сушилок для рук, диспенсеров в МБОУ СОШ №4. Приобретение школьной мебели в МБОУ СОШ №5. Замен оконных блоков, приобретение ковров в МБУ МО "ЦМДО"</t>
  </si>
  <si>
    <t>Посещение виртуального клуба обучающимися МБОУ СОШ №4. Приобретение оборудования и мебели в МБОУ СОШ №5, оборудования и материалов, посещение виртуального клуба, оснащение компьютерного класса в рамках проекта "Фабрика миров" в МБУ ДО "ЦМДО"</t>
  </si>
  <si>
    <t>Участие учащихся МБОУ Гимназия в региональном этапе всероссийской олимпиады школьников, в научно-технологической конференции школьников, в окружном турнире по шахматам "Белая ладья", в экологическом форуме, в IV межрегиональном турнире юных математиков. Награждение именными премиями ООО "ЛУКойл-Западная Сибирь" и премиями Главы города Урай учащихся общеобразовательных организаций , участие в научной сессии старшеклассников, в окружной конференции молодых исследователей "Шаг в будущее"</t>
  </si>
  <si>
    <t>Издание поэтического сборника "Путь памяти", участие в учебно-тренировочных сборах по дайвингу и парашютному спорту учащихся МБОУ СОШ №5</t>
  </si>
  <si>
    <t>Проведение военно-спортивной игры "Зарница". Проведение военно-полевых сборов. Организация поездки и проведение поисковой экспедиции отряда "Патриот". Приобретние парадной формы для участия в Параде Победы</t>
  </si>
  <si>
    <t>Обеспечение деятельности 6-ти общеобразовательных учреждений в части реализации стандарта (выплаты заработной платы, начислений на нее, учебных расходов) и информационного обеспечения в части доступа к образовательным ресурсам сети Интернет за 12 месяцев 2019 года</t>
  </si>
  <si>
    <t>Обеспечение деятельности 6-ти общеобразовательных учреждений в части содержания зданий и сооружений и прочих общехозяйственных расходов за 12 месяцев 2019 года</t>
  </si>
  <si>
    <t>Обеспечение деятельности МБУ ДО "ЦМДО" в части содержания зданий и сооружений и прочих общехозяйственных расходов за 12 месяцев 2019 года</t>
  </si>
  <si>
    <t>Проведение тестирования руководителя МБДОУ "Детский сад №10 "Снежинка"</t>
  </si>
  <si>
    <t>Участие в в региональном этапе Всероссийского конкурса проф.мастерства в сфере образования ХМАО - Югры «Педагог года Югры-2019». Обновление доски почета работников образованич и молодежной политики города Урай. Организация и проведение мероприятий в рамках празднования профессиональных праздников «День дошкольного работника» и «День учителя». Организация конкурса «Менеджер в образовании»</t>
  </si>
  <si>
    <t>Осуществление деятельности по выплате компенсации части родительской платы (администрирование) за 12 месяцев 2019 года</t>
  </si>
  <si>
    <t>Расходы по содержанию аппарата Управления образования и молодежной политики за 12 месяцев 2019 года</t>
  </si>
  <si>
    <t>Вручениееже ежегодной  молодежной премии Главы "Лауреат премии главы города" Проведение городского слета волонтеров "Волонтер - это стиль жизни". Проведение городского молодежного фестиваля "Моя идея"</t>
  </si>
  <si>
    <t>Организация муниципального этапа окружного иолодежного проекта "Лига молодых управленцев".Участие во всероссийском форуме "Доброволец России-2019". Участие в VII Всероссийском конкурсе-фестивале "Вершина творчества".Участие в первенстве по хоккею среди мужских команд муниципальных образований. Участие в форуме молодежи коренных народов Севера, Сибири и Дальнего Востока РФ "Российский север".Участие в марафоне "Week-end meeting или 24 часа профессионального общения"</t>
  </si>
  <si>
    <t>Осуществление деятельности муниципального ресурсного Центра развития и поддержки добровольчества (волонтерства) города Урай. Организация и проведение городского велоквеста для молодежи в рамках городского велопробега. Организация и проведение летнего Форума-квеста в национальной стилистике народов ХМАО. Организация конференции для молодежи в рамках Форума "Урай наш общий дом"</t>
  </si>
  <si>
    <t>Остаток средств по фактическим расходам на проезд сопровождающего</t>
  </si>
  <si>
    <t>Обеспечение деятельности МАУ "Городской методический центр" в части исполнения муниципального  задания за 12 месяцев 2019 года</t>
  </si>
  <si>
    <t>Начальник УОиМП</t>
  </si>
  <si>
    <t>Заместитель начальника УОиМП</t>
  </si>
  <si>
    <t>тел.2-31-86 (доп 822)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</si>
  <si>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</si>
  <si>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 / соисполнитель</t>
  </si>
  <si>
    <t>Финансовые затараты на реализацию (тыс.рублей)</t>
  </si>
  <si>
    <t>Отчет о ходе исполнения комплексного плана (сетевого графика) реализации муниципальной программы "Развитие образования и молодежной политики в городе Урай " на 2019-2030 годы за 2019 год</t>
  </si>
  <si>
    <t>Обеспечение деятельности восьми дошкольных образовательных учреждений в части содержания здания и прочих общехозяйственных расходов за 12 месяцев 2019 года</t>
  </si>
  <si>
    <t xml:space="preserve">Неосвоение денежных средств связано с длительной процедурой внесения дополнений, согласования технических заданий с УОиМП на проектирование работ по капитальному ремонту зданий МБУ ДО "ЦМДО" и МБОУ СОШ №6, несвоевременным получением Управлением ГЗиП исходных данных (технических условий) от ОАО "ЮТЭК- Региональные сети", в связи с чем работы по проектированию были приостановлены и возобновлены только через месяц. Соответственно срок  выполнения проектных работ продлен до 31.01.2020 года </t>
  </si>
  <si>
    <t xml:space="preserve">Средства в сумме 3 400 млн. руб не освоены по причине неисполнения подрядчиком  своих обязательств по договору на оказание услуг по ремонту центрального крыльца в МБУ ДО "ЦМДО".Ведется работа по расторжению договора с подрядчиком. Пакет документов был направлен в ФАС г.Ханты-Мансийск для вынесения решения.. </t>
  </si>
  <si>
    <t>Таблица 1</t>
  </si>
  <si>
    <t>Таблица 2</t>
  </si>
  <si>
    <t>ОТЧЕТ</t>
  </si>
  <si>
    <t>№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</si>
  <si>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</si>
  <si>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</si>
  <si>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</si>
  <si>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 &lt;2&gt;, %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</si>
  <si>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</si>
  <si>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%</t>
  </si>
  <si>
    <t>Всем желающим детям предоставлена возможность посещать дошкольную образовательную организацию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</si>
  <si>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</si>
  <si>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Доля детей в возрасте от 2 месяцев до 7 лет, стоящих на учете для определения в муниципальные дошкольные образовательные организации, в общей численности детей в возрасте от 2 месяцев до 7 лет</t>
  </si>
  <si>
    <t>По данным актуального спроса (число желающих родителей посещать детский сад в 2019 году)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</si>
  <si>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</si>
  <si>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Доля детей в возрасте от 1 до 6 лет, получающих дошкольную образовательную услугу и (или) услугу по их содержанию в муниципальных образовательных организациях, в общей численности детей в возрасте от 1до 6 лет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</si>
  <si>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</si>
  <si>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Доля детей в возрасте от 1 до 6 лет, стоящих на учете для определения в муниципальные дошкольные образовательные организации, в общей численности детей в возрасте от 1 до 6 лет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</si>
  <si>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</si>
  <si>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</si>
  <si>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Доля муниципальных образовательных организаций, соответствующих современным требованиям обучения, в общем количестве муниципальных образовательных организаций</t>
  </si>
  <si>
    <t>Показатель перевыполнен за счет  принятого решения о выделении денежных средств на проведение капитального ремонта МБОУ СОШ №6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</si>
  <si>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</si>
  <si>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организациях</t>
  </si>
  <si>
    <t>Показатель перевыполнен за счет эффективной организации образовательного процесса</t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</si>
  <si>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</si>
  <si>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Доля муниципальных общеобразовательных организаций, имеющих современную и безопасную цифровую образовательную среду, в общем количестве муниципальных общеобразовательных организаций</t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</si>
  <si>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</si>
  <si>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числе муниципальных общеобразовательных организаций</t>
  </si>
  <si>
    <t>Показатель перевыполнен за счет  выполненных работ капитального характера на объектах: МБОУ СОШ №2,4,12, Гимназия</t>
  </si>
  <si>
    <r>
      <t>10.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</si>
  <si>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</si>
  <si>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Показатель перевыполнен за счет  выполненных работ капитального характера на объектах: МБДОУ №6,19,21</t>
  </si>
  <si>
    <r>
      <t>11.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</si>
  <si>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Доля негосударственных, в том числе некоммерческих, организаций, предоставляющих услуги в сфере   образования, в общем числе организаций, предоставляющих услуги в сфере  образования</t>
  </si>
  <si>
    <t xml:space="preserve">Показатель перевыполнен за счет  увеличения количества негосударственных организаций, предоставляющих услуги в сфере   образования </t>
  </si>
  <si>
    <r>
      <t>12.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</si>
  <si>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Доля детей в возрасте от 5 до 18 лет, обучающихся по дополнительным общеобразовательным программам естественнонаучной и технической направленности</t>
  </si>
  <si>
    <r>
      <t>13.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</si>
  <si>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Доля обучающихся, воспитанников, ставших победителями и призерами в мероприятиях на региональном, всероссийском уровне, от общего количества участников от города Урай</t>
  </si>
  <si>
    <t>Показатель перевыполнен за счет  увеличения количества победителей и призеров</t>
  </si>
  <si>
    <r>
      <t>14.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</si>
  <si>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Доля образовательных организаций, реализующих инновационные программы, обеспечивающих отработку новых технологий содержания обучения и воспитания по итогам конкурса</t>
  </si>
  <si>
    <r>
      <t>15.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</si>
  <si>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Доля выпускников муниципальных общеобразовательных организаций,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сдававших единый государственный экзамен по данным предметам</t>
  </si>
  <si>
    <r>
      <t>16.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</si>
  <si>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 xml:space="preserve">Доля обучающихся, участвующих в мероприятиях и проектах различного уровня, направленных на развитие и  воспитание детей и подростков, в общей численности обучающихся в муниципальных общеобразовательных организациях    </t>
  </si>
  <si>
    <t>Показатель перевыполнен за счет  увеличения обучающихся, участвующих в мероприятиях и проектах различного уровня</t>
  </si>
  <si>
    <r>
      <t>17.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</si>
  <si>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Доля детей в возрасте от 5 до 18 лет, получающих услуги по дополнительному образованию в организациях различной организационно-правовой формы собственности, в общей численности детей данной возрастной группы</t>
  </si>
  <si>
    <r>
      <t>18.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</si>
  <si>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Расходы бюджета муниципального образования на общее образование в расчете на 1 обучающегося в муниципальных общеобразовательных организациях</t>
  </si>
  <si>
    <t>Тыс.руб.</t>
  </si>
  <si>
    <r>
      <t>19.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</si>
  <si>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Доля учителей, охваченных национальной системой профессионального роста педагогических работников, от общего количества учителей муниципальных общеобразовательных организаций</t>
  </si>
  <si>
    <t>Показатель перевыполнен за счет увеличения количества педагогических работников, охваченных национальной системой профессионального роста</t>
  </si>
  <si>
    <r>
      <t>20.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</si>
  <si>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Доля педагогических работников, повысивших уровень квалификации через участие в курсах повышения квалификации, стажировках, семинарах</t>
  </si>
  <si>
    <t>Показатель перевыполнен за счет увеличения количества педагогических работников, повысивших уровень квалификации</t>
  </si>
  <si>
    <r>
      <t>21.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</si>
  <si>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Доля детей, получивших психолого-педагогическую, диагностическую помощь, от общего числа детей, обучающихся в муниципальных образовательных организациях</t>
  </si>
  <si>
    <t>Доля детей первой и второй групп здоровья в общей численности обучающихся в муниципальных общеобразовательных организациях</t>
  </si>
  <si>
    <t>Доля детей и молодежи (14-30 лет), участвующих в молодежных проектах и мероприятиях, направленных на поддержку, развитие созидательной активности детей и молодежи, реализацию ее творческого потенциала, по отношению к общей численности указанной категории</t>
  </si>
  <si>
    <t>Показатель перевыполнен за счет  увеличения детей и молодежи, участвующих в молодежных проектах и мероприятиях</t>
  </si>
  <si>
    <t>Доля детей и молодежи в возрасте от 14 до 30 лет, вовлеченных в мероприятия, направленные на пропаганду здорового образа жизни, по отношению к общей численности указанной категории</t>
  </si>
  <si>
    <t>Показатель перевыполнен за счет  увеличения детей и молодежи, вовлеченных в мероприятия, направленные на пропаганду здорового образа жизни</t>
  </si>
  <si>
    <t>Доля детей, прошедших оздоровление в организациях отдыха детей и их оздоровления, расположенных в городе Урай и за его пределами, от общей численности детей</t>
  </si>
  <si>
    <r>
      <t>«</t>
    </r>
    <r>
      <rPr>
        <u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» января 2020г.  подпись____________М.Н. Бусова</t>
    </r>
  </si>
  <si>
    <t>Исполнитель: Грунина И.Ю.</t>
  </si>
  <si>
    <t>Тел.: 8(34676) 23169 (доб.803)</t>
  </si>
  <si>
    <t>Обоснование отклонений значений целевого показателя на конец отчетного года (при наличии)</t>
  </si>
  <si>
    <t>отчетный год (план)</t>
  </si>
  <si>
    <t>отчетный год (факт)</t>
  </si>
  <si>
    <t>Ответственный исполнитель (соисполнитель) муниципальной программы:</t>
  </si>
  <si>
    <t>Показатель перевыполнен за счет  реализации плана межведомственного взаимодействия, направленного на решение вопросов по формированию ценности здорового и безопасного образа жизни детей и подростков на 2018-2020 годы, внедрения здоровьесберегающих технологий</t>
  </si>
  <si>
    <t>о достижении целевых показателей муниципальной программы за 2019 год</t>
  </si>
  <si>
    <t>Численность воспитанников в возрасте до трех лет, посещающих муниципальные организации, осуществляющие образовательную деятельность по образовательным программам дошкольного образования, присмотр и уход</t>
  </si>
  <si>
    <t>Чел.</t>
  </si>
  <si>
    <t xml:space="preserve">Доступность дошкольного образования для детей в возрасте от полутора до трех лет </t>
  </si>
  <si>
    <t>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 профессионального образования</t>
  </si>
  <si>
    <t>Млн.чел</t>
  </si>
  <si>
    <t>Показатель перевыполнен за счет  увеличения охвата обучающихся, вовлеченных в деятельность общественных объединений</t>
  </si>
  <si>
    <t>22.</t>
  </si>
  <si>
    <t>23.</t>
  </si>
  <si>
    <t>24.</t>
  </si>
  <si>
    <t>25.</t>
  </si>
  <si>
    <t>26.</t>
  </si>
  <si>
    <t>27.</t>
  </si>
  <si>
    <t>Доля детей и молодежи (14-30 лет),  вовлеченных в добровольческую деятельность &lt;4&gt;</t>
  </si>
  <si>
    <t>Показатель перевыполнен за счет  увеличения детей и молодежи,  вовлеченных в добровольческую деятельность</t>
  </si>
  <si>
    <t>Показатель не выполнен ввиду снижения охвата детей в ведомстве «Спорт», а также увеличении общей численности детей данной возрастной группы</t>
  </si>
  <si>
    <t>Показатель не выполнен ввиду нехватки мест дислокации при организации отдыха детей</t>
  </si>
  <si>
    <t>Показатель выполнен за счет увеличения количества детей, прошедших обследование в территориальной психолого – медико – педагогической комиссии города Урай</t>
  </si>
</sst>
</file>

<file path=xl/styles.xml><?xml version="1.0" encoding="utf-8"?>
<styleSheet xmlns="http://schemas.openxmlformats.org/spreadsheetml/2006/main">
  <numFmts count="17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0_р_._-;\-* #,##0.000_р_._-;_-* &quot;-&quot;?_р_._-;_-@_-"/>
    <numFmt numFmtId="168" formatCode="0.000"/>
    <numFmt numFmtId="169" formatCode="_(* #,##0.00_);_(* \(#,##0.00\);_(* &quot;-&quot;??_);_(@_)"/>
    <numFmt numFmtId="170" formatCode="0.0%"/>
    <numFmt numFmtId="171" formatCode="_-* #,##0.00000_р_._-;\-* #,##0.00000_р_._-;_-* &quot;-&quot;?_р_._-;_-@_-"/>
    <numFmt numFmtId="172" formatCode="_-* #,##0_р_._-;\-* #,##0_р_._-;_-* &quot;-&quot;??_р_._-;_-@_-"/>
    <numFmt numFmtId="173" formatCode="_-* #,##0.000000_р_._-;\-* #,##0.000000_р_._-;_-* &quot;-&quot;?_р_._-;_-@_-"/>
    <numFmt numFmtId="174" formatCode="_-* #,##0.00000_р_._-;\-* #,##0.00000_р_._-;_-* &quot;-&quot;??_р_._-;_-@_-"/>
    <numFmt numFmtId="175" formatCode="_-* #,##0.0000_р_._-;\-* #,##0.0000_р_._-;_-* &quot;-&quot;?_р_._-;_-@_-"/>
    <numFmt numFmtId="176" formatCode="_-* #,##0.00000_р_._-;\-* #,##0.00000_р_._-;_-* &quot;-&quot;???_р_._-;_-@_-"/>
    <numFmt numFmtId="177" formatCode="_-* #,##0.0000_р_._-;\-* #,##0.0000_р_._-;_-* &quot;-&quot;??_р_._-;_-@_-"/>
    <numFmt numFmtId="178" formatCode="_-* #,##0.00_р_._-;\-* #,##0.00_р_._-;_-* &quot;-&quot;?_р_._-;_-@_-"/>
    <numFmt numFmtId="179" formatCode="0.0"/>
  </numFmts>
  <fonts count="25">
    <font>
      <sz val="11"/>
      <color theme="1"/>
      <name val="Calibri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9">
    <xf numFmtId="0" fontId="0" fillId="0" borderId="0" xfId="0"/>
    <xf numFmtId="166" fontId="7" fillId="2" borderId="0" xfId="1" applyNumberFormat="1" applyFont="1" applyFill="1" applyBorder="1" applyAlignment="1">
      <alignment vertical="center" wrapText="1"/>
    </xf>
    <xf numFmtId="166" fontId="7" fillId="2" borderId="0" xfId="1" applyNumberFormat="1" applyFont="1" applyFill="1" applyAlignment="1">
      <alignment vertical="center"/>
    </xf>
    <xf numFmtId="166" fontId="7" fillId="2" borderId="8" xfId="1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166" fontId="7" fillId="2" borderId="0" xfId="1" applyNumberFormat="1" applyFont="1" applyFill="1" applyAlignment="1">
      <alignment horizontal="left" vertical="center"/>
    </xf>
    <xf numFmtId="166" fontId="7" fillId="2" borderId="0" xfId="1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horizontal="right" vertical="center"/>
    </xf>
    <xf numFmtId="166" fontId="8" fillId="2" borderId="0" xfId="1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6" fontId="7" fillId="2" borderId="6" xfId="1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166" fontId="7" fillId="2" borderId="6" xfId="0" applyNumberFormat="1" applyFont="1" applyFill="1" applyBorder="1" applyAlignment="1">
      <alignment horizontal="left" vertical="center"/>
    </xf>
    <xf numFmtId="166" fontId="7" fillId="2" borderId="0" xfId="1" applyNumberFormat="1" applyFont="1" applyFill="1" applyBorder="1" applyAlignment="1">
      <alignment horizontal="left" vertical="center"/>
    </xf>
    <xf numFmtId="166" fontId="7" fillId="2" borderId="0" xfId="0" applyNumberFormat="1" applyFont="1" applyFill="1" applyBorder="1" applyAlignment="1">
      <alignment vertical="center"/>
    </xf>
    <xf numFmtId="166" fontId="8" fillId="2" borderId="0" xfId="1" applyNumberFormat="1" applyFont="1" applyFill="1" applyBorder="1" applyAlignment="1">
      <alignment vertical="center"/>
    </xf>
    <xf numFmtId="166" fontId="6" fillId="2" borderId="0" xfId="1" applyNumberFormat="1" applyFont="1" applyFill="1" applyAlignment="1">
      <alignment vertical="center"/>
    </xf>
    <xf numFmtId="166" fontId="7" fillId="2" borderId="0" xfId="1" applyNumberFormat="1" applyFont="1" applyFill="1" applyAlignment="1">
      <alignment horizontal="right" vertical="center"/>
    </xf>
    <xf numFmtId="166" fontId="8" fillId="2" borderId="0" xfId="1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66" fontId="3" fillId="2" borderId="0" xfId="1" applyNumberFormat="1" applyFont="1" applyFill="1" applyBorder="1" applyAlignment="1">
      <alignment vertical="center" wrapText="1"/>
    </xf>
    <xf numFmtId="166" fontId="8" fillId="2" borderId="6" xfId="1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166" fontId="8" fillId="2" borderId="6" xfId="1" applyNumberFormat="1" applyFont="1" applyFill="1" applyBorder="1" applyAlignment="1">
      <alignment vertical="center"/>
    </xf>
    <xf numFmtId="166" fontId="8" fillId="2" borderId="0" xfId="1" applyNumberFormat="1" applyFont="1" applyFill="1" applyAlignment="1">
      <alignment horizontal="left" vertical="center"/>
    </xf>
    <xf numFmtId="166" fontId="2" fillId="2" borderId="0" xfId="1" applyNumberFormat="1" applyFont="1" applyFill="1"/>
    <xf numFmtId="166" fontId="2" fillId="2" borderId="0" xfId="1" applyNumberFormat="1" applyFont="1" applyFill="1" applyAlignment="1">
      <alignment horizontal="left"/>
    </xf>
    <xf numFmtId="166" fontId="8" fillId="2" borderId="0" xfId="1" applyNumberFormat="1" applyFont="1" applyFill="1" applyAlignment="1">
      <alignment horizontal="right" vertical="center"/>
    </xf>
    <xf numFmtId="166" fontId="2" fillId="2" borderId="0" xfId="1" applyNumberFormat="1" applyFont="1" applyFill="1" applyBorder="1" applyAlignment="1">
      <alignment horizontal="left" vertical="center"/>
    </xf>
    <xf numFmtId="166" fontId="2" fillId="2" borderId="0" xfId="1" applyNumberFormat="1" applyFont="1" applyFill="1" applyAlignment="1">
      <alignment horizontal="right" vertical="center"/>
    </xf>
    <xf numFmtId="166" fontId="6" fillId="2" borderId="0" xfId="1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64" fontId="2" fillId="2" borderId="0" xfId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166" fontId="7" fillId="2" borderId="0" xfId="0" applyNumberFormat="1" applyFont="1" applyFill="1" applyBorder="1" applyAlignment="1">
      <alignment horizontal="left" vertical="center"/>
    </xf>
    <xf numFmtId="170" fontId="3" fillId="2" borderId="1" xfId="3" applyNumberFormat="1" applyFont="1" applyFill="1" applyBorder="1" applyAlignment="1">
      <alignment horizontal="center" vertical="top" wrapText="1"/>
    </xf>
    <xf numFmtId="170" fontId="11" fillId="2" borderId="1" xfId="3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/>
    </xf>
    <xf numFmtId="164" fontId="11" fillId="2" borderId="1" xfId="1" applyNumberFormat="1" applyFont="1" applyFill="1" applyBorder="1" applyAlignment="1">
      <alignment horizontal="center" vertical="top"/>
    </xf>
    <xf numFmtId="9" fontId="13" fillId="2" borderId="0" xfId="3" applyFont="1" applyFill="1" applyBorder="1"/>
    <xf numFmtId="0" fontId="1" fillId="2" borderId="0" xfId="0" applyFont="1" applyFill="1"/>
    <xf numFmtId="0" fontId="14" fillId="2" borderId="8" xfId="0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64" fontId="14" fillId="2" borderId="8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1" fillId="2" borderId="1" xfId="0" applyFont="1" applyFill="1" applyBorder="1"/>
    <xf numFmtId="0" fontId="16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justify" vertical="top" wrapText="1"/>
    </xf>
    <xf numFmtId="167" fontId="1" fillId="2" borderId="0" xfId="0" applyNumberFormat="1" applyFont="1" applyFill="1"/>
    <xf numFmtId="168" fontId="1" fillId="2" borderId="0" xfId="0" applyNumberFormat="1" applyFont="1" applyFill="1"/>
    <xf numFmtId="171" fontId="1" fillId="2" borderId="0" xfId="0" applyNumberFormat="1" applyFont="1" applyFill="1"/>
    <xf numFmtId="0" fontId="12" fillId="2" borderId="1" xfId="0" applyFont="1" applyFill="1" applyBorder="1" applyAlignment="1">
      <alignment horizontal="justify" vertical="top" wrapText="1"/>
    </xf>
    <xf numFmtId="164" fontId="11" fillId="2" borderId="1" xfId="1" applyNumberFormat="1" applyFont="1" applyFill="1" applyBorder="1" applyAlignment="1">
      <alignment horizontal="center" vertical="top" wrapText="1"/>
    </xf>
    <xf numFmtId="164" fontId="11" fillId="2" borderId="9" xfId="1" applyNumberFormat="1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horizontal="justify" vertical="top" wrapText="1"/>
    </xf>
    <xf numFmtId="164" fontId="3" fillId="2" borderId="10" xfId="1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43" fontId="3" fillId="2" borderId="1" xfId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/>
    </xf>
    <xf numFmtId="166" fontId="11" fillId="2" borderId="9" xfId="1" applyNumberFormat="1" applyFont="1" applyFill="1" applyBorder="1" applyAlignment="1">
      <alignment horizontal="left" vertical="top" wrapText="1"/>
    </xf>
    <xf numFmtId="166" fontId="3" fillId="2" borderId="1" xfId="1" applyNumberFormat="1" applyFont="1" applyFill="1" applyBorder="1" applyAlignment="1">
      <alignment horizontal="justify" vertical="top"/>
    </xf>
    <xf numFmtId="166" fontId="3" fillId="2" borderId="10" xfId="1" applyNumberFormat="1" applyFont="1" applyFill="1" applyBorder="1" applyAlignment="1">
      <alignment horizontal="justify" vertical="top"/>
    </xf>
    <xf numFmtId="164" fontId="11" fillId="2" borderId="1" xfId="1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vertical="top"/>
    </xf>
    <xf numFmtId="164" fontId="12" fillId="2" borderId="1" xfId="1" applyNumberFormat="1" applyFont="1" applyFill="1" applyBorder="1" applyAlignment="1">
      <alignment horizontal="center" vertical="top" wrapText="1"/>
    </xf>
    <xf numFmtId="164" fontId="12" fillId="2" borderId="9" xfId="1" applyNumberFormat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justify" vertical="top" wrapText="1"/>
    </xf>
    <xf numFmtId="164" fontId="2" fillId="2" borderId="10" xfId="1" applyNumberFormat="1" applyFont="1" applyFill="1" applyBorder="1" applyAlignment="1">
      <alignment horizontal="justify" vertical="top" wrapText="1"/>
    </xf>
    <xf numFmtId="0" fontId="7" fillId="2" borderId="0" xfId="0" applyFont="1" applyFill="1" applyAlignment="1">
      <alignment horizontal="justify"/>
    </xf>
    <xf numFmtId="0" fontId="1" fillId="2" borderId="0" xfId="0" applyFont="1" applyFill="1" applyAlignment="1">
      <alignment horizontal="center"/>
    </xf>
    <xf numFmtId="164" fontId="6" fillId="2" borderId="1" xfId="1" applyNumberFormat="1" applyFont="1" applyFill="1" applyBorder="1" applyAlignment="1">
      <alignment horizontal="center" vertical="top" wrapText="1"/>
    </xf>
    <xf numFmtId="173" fontId="1" fillId="2" borderId="0" xfId="0" applyNumberFormat="1" applyFont="1" applyFill="1"/>
    <xf numFmtId="165" fontId="12" fillId="2" borderId="8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 vertical="top" wrapText="1"/>
    </xf>
    <xf numFmtId="176" fontId="1" fillId="2" borderId="0" xfId="0" applyNumberFormat="1" applyFont="1" applyFill="1"/>
    <xf numFmtId="177" fontId="1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/>
    <xf numFmtId="174" fontId="3" fillId="2" borderId="1" xfId="1" applyNumberFormat="1" applyFont="1" applyFill="1" applyBorder="1" applyAlignment="1">
      <alignment horizontal="center" vertical="top" wrapText="1"/>
    </xf>
    <xf numFmtId="175" fontId="1" fillId="2" borderId="0" xfId="0" applyNumberFormat="1" applyFont="1" applyFill="1"/>
    <xf numFmtId="164" fontId="3" fillId="2" borderId="1" xfId="1" applyNumberFormat="1" applyFont="1" applyFill="1" applyBorder="1" applyAlignment="1">
      <alignment horizontal="justify" vertical="top"/>
    </xf>
    <xf numFmtId="164" fontId="3" fillId="2" borderId="10" xfId="1" applyNumberFormat="1" applyFont="1" applyFill="1" applyBorder="1" applyAlignment="1">
      <alignment horizontal="justify" vertical="top"/>
    </xf>
    <xf numFmtId="164" fontId="11" fillId="2" borderId="1" xfId="1" applyNumberFormat="1" applyFont="1" applyFill="1" applyBorder="1" applyAlignment="1">
      <alignment horizontal="justify" vertical="top"/>
    </xf>
    <xf numFmtId="172" fontId="8" fillId="2" borderId="0" xfId="1" applyNumberFormat="1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/>
    <xf numFmtId="165" fontId="2" fillId="2" borderId="1" xfId="0" applyNumberFormat="1" applyFont="1" applyFill="1" applyBorder="1" applyAlignment="1">
      <alignment horizontal="left" vertical="top" wrapText="1"/>
    </xf>
    <xf numFmtId="167" fontId="17" fillId="2" borderId="0" xfId="0" applyNumberFormat="1" applyFont="1" applyFill="1"/>
    <xf numFmtId="167" fontId="18" fillId="2" borderId="0" xfId="0" applyNumberFormat="1" applyFont="1" applyFill="1"/>
    <xf numFmtId="171" fontId="18" fillId="2" borderId="0" xfId="0" applyNumberFormat="1" applyFont="1" applyFill="1"/>
    <xf numFmtId="178" fontId="1" fillId="2" borderId="0" xfId="0" applyNumberFormat="1" applyFont="1" applyFill="1"/>
    <xf numFmtId="178" fontId="17" fillId="2" borderId="0" xfId="0" applyNumberFormat="1" applyFont="1" applyFill="1"/>
    <xf numFmtId="167" fontId="19" fillId="2" borderId="0" xfId="0" applyNumberFormat="1" applyFont="1" applyFill="1"/>
    <xf numFmtId="43" fontId="1" fillId="2" borderId="0" xfId="1" applyFont="1" applyFill="1"/>
    <xf numFmtId="43" fontId="17" fillId="2" borderId="0" xfId="1" applyFont="1" applyFill="1"/>
    <xf numFmtId="178" fontId="18" fillId="2" borderId="0" xfId="0" applyNumberFormat="1" applyFont="1" applyFill="1"/>
    <xf numFmtId="178" fontId="19" fillId="2" borderId="0" xfId="0" applyNumberFormat="1" applyFont="1" applyFill="1"/>
    <xf numFmtId="164" fontId="3" fillId="2" borderId="1" xfId="3" applyNumberFormat="1" applyFont="1" applyFill="1" applyBorder="1" applyAlignment="1">
      <alignment horizontal="center" vertical="top" wrapText="1"/>
    </xf>
    <xf numFmtId="164" fontId="11" fillId="2" borderId="1" xfId="3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vertical="top"/>
    </xf>
    <xf numFmtId="164" fontId="11" fillId="2" borderId="1" xfId="0" applyNumberFormat="1" applyFont="1" applyFill="1" applyBorder="1" applyAlignment="1">
      <alignment vertical="top"/>
    </xf>
    <xf numFmtId="166" fontId="2" fillId="2" borderId="0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right"/>
    </xf>
    <xf numFmtId="166" fontId="7" fillId="2" borderId="8" xfId="1" applyNumberFormat="1" applyFont="1" applyFill="1" applyBorder="1" applyAlignment="1">
      <alignment horizontal="left" vertical="center" wrapText="1"/>
    </xf>
    <xf numFmtId="166" fontId="7" fillId="2" borderId="0" xfId="1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0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20" fillId="0" borderId="2" xfId="0" applyFont="1" applyBorder="1" applyAlignment="1">
      <alignment horizontal="justify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0" fillId="0" borderId="2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179" fontId="20" fillId="0" borderId="1" xfId="0" applyNumberFormat="1" applyFont="1" applyBorder="1" applyAlignment="1">
      <alignment horizontal="center" vertical="top" wrapText="1"/>
    </xf>
    <xf numFmtId="179" fontId="20" fillId="0" borderId="2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166" fontId="2" fillId="2" borderId="0" xfId="1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top"/>
    </xf>
    <xf numFmtId="0" fontId="20" fillId="0" borderId="2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</cellXfs>
  <cellStyles count="4">
    <cellStyle name="Обычный" xfId="0" builtinId="0"/>
    <cellStyle name="Процентный" xfId="3" builtinId="5"/>
    <cellStyle name="Финансовый" xfId="1" builtin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77"/>
  <sheetViews>
    <sheetView tabSelected="1" zoomScaleSheetLayoutView="100"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B10" sqref="B10:B14"/>
    </sheetView>
  </sheetViews>
  <sheetFormatPr defaultColWidth="9.140625" defaultRowHeight="15"/>
  <cols>
    <col min="1" max="1" width="4.28515625" style="44" customWidth="1"/>
    <col min="2" max="2" width="42.7109375" style="44" customWidth="1"/>
    <col min="3" max="3" width="22.85546875" style="44" customWidth="1"/>
    <col min="4" max="4" width="24.140625" style="44" customWidth="1"/>
    <col min="5" max="5" width="10.5703125" style="44" customWidth="1"/>
    <col min="6" max="6" width="10.7109375" style="44" customWidth="1"/>
    <col min="7" max="7" width="9.85546875" style="44" customWidth="1"/>
    <col min="8" max="9" width="8.5703125" style="44" customWidth="1"/>
    <col min="10" max="10" width="9.7109375" style="44" customWidth="1"/>
    <col min="11" max="12" width="9.42578125" style="44" customWidth="1"/>
    <col min="13" max="13" width="9.85546875" style="44" customWidth="1"/>
    <col min="14" max="14" width="10.28515625" style="44" customWidth="1"/>
    <col min="15" max="15" width="9.28515625" style="44" customWidth="1"/>
    <col min="16" max="16" width="10" style="44" customWidth="1"/>
    <col min="17" max="17" width="10.28515625" style="44" customWidth="1"/>
    <col min="18" max="18" width="9.5703125" style="44" bestFit="1" customWidth="1"/>
    <col min="19" max="19" width="9.7109375" style="44" customWidth="1"/>
    <col min="20" max="20" width="10.42578125" style="44" customWidth="1"/>
    <col min="21" max="22" width="10.5703125" style="44" customWidth="1"/>
    <col min="23" max="23" width="10.140625" style="44" customWidth="1"/>
    <col min="24" max="24" width="9.85546875" style="44" customWidth="1"/>
    <col min="25" max="25" width="10.5703125" style="44" customWidth="1"/>
    <col min="26" max="26" width="9.5703125" style="44" customWidth="1"/>
    <col min="27" max="27" width="9.28515625" style="44" customWidth="1"/>
    <col min="28" max="28" width="10" style="44" customWidth="1"/>
    <col min="29" max="29" width="8.5703125" style="44" customWidth="1"/>
    <col min="30" max="30" width="9.42578125" style="44" customWidth="1"/>
    <col min="31" max="31" width="10.5703125" style="44" customWidth="1"/>
    <col min="32" max="32" width="8.42578125" style="44" customWidth="1"/>
    <col min="33" max="33" width="8.5703125" style="44" customWidth="1"/>
    <col min="34" max="34" width="9.7109375" style="44" customWidth="1"/>
    <col min="35" max="35" width="9.5703125" style="44" customWidth="1"/>
    <col min="36" max="36" width="9.85546875" style="44" customWidth="1"/>
    <col min="37" max="37" width="9.7109375" style="44" customWidth="1"/>
    <col min="38" max="38" width="9.42578125" style="44" customWidth="1"/>
    <col min="39" max="39" width="9.28515625" style="44" customWidth="1"/>
    <col min="40" max="40" width="9.7109375" style="44" customWidth="1"/>
    <col min="41" max="41" width="9.5703125" style="44" customWidth="1"/>
    <col min="42" max="43" width="10.7109375" style="44" customWidth="1"/>
    <col min="44" max="44" width="20.7109375" style="44" customWidth="1"/>
    <col min="45" max="45" width="23" style="44" customWidth="1"/>
    <col min="46" max="46" width="9.28515625" style="44" customWidth="1"/>
    <col min="47" max="50" width="17.140625" style="44" customWidth="1"/>
    <col min="51" max="51" width="15.140625" style="44" customWidth="1"/>
    <col min="52" max="52" width="18" style="44" customWidth="1"/>
    <col min="53" max="16384" width="9.140625" style="44"/>
  </cols>
  <sheetData>
    <row r="1" spans="1:52">
      <c r="AS1" s="120" t="s">
        <v>197</v>
      </c>
    </row>
    <row r="2" spans="1:52">
      <c r="A2" s="144" t="s">
        <v>193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17"/>
    </row>
    <row r="3" spans="1:52" ht="12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</row>
    <row r="4" spans="1:52" ht="12.75" customHeight="1">
      <c r="A4" s="144" t="s">
        <v>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17"/>
    </row>
    <row r="5" spans="1:52" ht="12.75" customHeight="1">
      <c r="A5" s="45"/>
      <c r="B5" s="45"/>
      <c r="C5" s="45"/>
      <c r="D5" s="45"/>
      <c r="E5" s="46"/>
      <c r="F5" s="87"/>
      <c r="G5" s="46"/>
      <c r="H5" s="47"/>
      <c r="I5" s="47"/>
      <c r="J5" s="47"/>
      <c r="K5" s="48"/>
      <c r="L5" s="48"/>
      <c r="M5" s="48"/>
      <c r="N5" s="45"/>
      <c r="O5" s="45"/>
      <c r="P5" s="45"/>
      <c r="Q5" s="45"/>
      <c r="R5" s="45"/>
      <c r="S5" s="45"/>
      <c r="T5" s="45"/>
      <c r="U5" s="45"/>
      <c r="V5" s="45"/>
      <c r="W5" s="84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9"/>
      <c r="AP5" s="50"/>
      <c r="AQ5" s="50"/>
      <c r="AU5" s="86"/>
    </row>
    <row r="6" spans="1:52" ht="11.25" customHeight="1">
      <c r="A6" s="145" t="s">
        <v>150</v>
      </c>
      <c r="B6" s="145" t="s">
        <v>190</v>
      </c>
      <c r="C6" s="145" t="s">
        <v>191</v>
      </c>
      <c r="D6" s="145" t="s">
        <v>0</v>
      </c>
      <c r="E6" s="145" t="s">
        <v>192</v>
      </c>
      <c r="F6" s="145"/>
      <c r="G6" s="145"/>
      <c r="H6" s="146" t="s">
        <v>37</v>
      </c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8"/>
      <c r="AR6" s="149" t="s">
        <v>38</v>
      </c>
      <c r="AS6" s="149" t="s">
        <v>39</v>
      </c>
      <c r="AT6" s="51"/>
    </row>
    <row r="7" spans="1:52" ht="12.75" customHeight="1">
      <c r="A7" s="145"/>
      <c r="B7" s="145"/>
      <c r="C7" s="145"/>
      <c r="D7" s="145"/>
      <c r="E7" s="145"/>
      <c r="F7" s="145"/>
      <c r="G7" s="145"/>
      <c r="H7" s="145" t="s">
        <v>25</v>
      </c>
      <c r="I7" s="145"/>
      <c r="J7" s="145"/>
      <c r="K7" s="145" t="s">
        <v>26</v>
      </c>
      <c r="L7" s="145"/>
      <c r="M7" s="145"/>
      <c r="N7" s="145" t="s">
        <v>27</v>
      </c>
      <c r="O7" s="145"/>
      <c r="P7" s="145"/>
      <c r="Q7" s="145" t="s">
        <v>28</v>
      </c>
      <c r="R7" s="145"/>
      <c r="S7" s="145"/>
      <c r="T7" s="145" t="s">
        <v>29</v>
      </c>
      <c r="U7" s="145"/>
      <c r="V7" s="145"/>
      <c r="W7" s="145" t="s">
        <v>30</v>
      </c>
      <c r="X7" s="145"/>
      <c r="Y7" s="145"/>
      <c r="Z7" s="145" t="s">
        <v>31</v>
      </c>
      <c r="AA7" s="145"/>
      <c r="AB7" s="145"/>
      <c r="AC7" s="145" t="s">
        <v>32</v>
      </c>
      <c r="AD7" s="145"/>
      <c r="AE7" s="145"/>
      <c r="AF7" s="145" t="s">
        <v>33</v>
      </c>
      <c r="AG7" s="145"/>
      <c r="AH7" s="145"/>
      <c r="AI7" s="145" t="s">
        <v>34</v>
      </c>
      <c r="AJ7" s="145"/>
      <c r="AK7" s="145"/>
      <c r="AL7" s="145" t="s">
        <v>35</v>
      </c>
      <c r="AM7" s="145"/>
      <c r="AN7" s="145"/>
      <c r="AO7" s="145" t="s">
        <v>36</v>
      </c>
      <c r="AP7" s="145"/>
      <c r="AQ7" s="145"/>
      <c r="AR7" s="150"/>
      <c r="AS7" s="150"/>
      <c r="AT7" s="51"/>
    </row>
    <row r="8" spans="1:52" ht="24.75">
      <c r="A8" s="145"/>
      <c r="B8" s="145"/>
      <c r="C8" s="145"/>
      <c r="D8" s="145"/>
      <c r="E8" s="88" t="s">
        <v>51</v>
      </c>
      <c r="F8" s="88" t="s">
        <v>52</v>
      </c>
      <c r="G8" s="89" t="s">
        <v>50</v>
      </c>
      <c r="H8" s="88" t="s">
        <v>51</v>
      </c>
      <c r="I8" s="88" t="s">
        <v>52</v>
      </c>
      <c r="J8" s="89" t="s">
        <v>50</v>
      </c>
      <c r="K8" s="88" t="s">
        <v>51</v>
      </c>
      <c r="L8" s="88" t="s">
        <v>52</v>
      </c>
      <c r="M8" s="89" t="s">
        <v>50</v>
      </c>
      <c r="N8" s="88" t="s">
        <v>51</v>
      </c>
      <c r="O8" s="88" t="s">
        <v>52</v>
      </c>
      <c r="P8" s="89" t="s">
        <v>50</v>
      </c>
      <c r="Q8" s="88" t="s">
        <v>51</v>
      </c>
      <c r="R8" s="88" t="s">
        <v>52</v>
      </c>
      <c r="S8" s="89" t="s">
        <v>50</v>
      </c>
      <c r="T8" s="88" t="s">
        <v>51</v>
      </c>
      <c r="U8" s="88" t="s">
        <v>52</v>
      </c>
      <c r="V8" s="89" t="s">
        <v>50</v>
      </c>
      <c r="W8" s="88" t="s">
        <v>51</v>
      </c>
      <c r="X8" s="88" t="s">
        <v>52</v>
      </c>
      <c r="Y8" s="89" t="s">
        <v>50</v>
      </c>
      <c r="Z8" s="88" t="s">
        <v>51</v>
      </c>
      <c r="AA8" s="88" t="s">
        <v>52</v>
      </c>
      <c r="AB8" s="89" t="s">
        <v>50</v>
      </c>
      <c r="AC8" s="88" t="s">
        <v>51</v>
      </c>
      <c r="AD8" s="88" t="s">
        <v>52</v>
      </c>
      <c r="AE8" s="89" t="s">
        <v>50</v>
      </c>
      <c r="AF8" s="88" t="s">
        <v>51</v>
      </c>
      <c r="AG8" s="88" t="s">
        <v>52</v>
      </c>
      <c r="AH8" s="89" t="s">
        <v>50</v>
      </c>
      <c r="AI8" s="88" t="s">
        <v>51</v>
      </c>
      <c r="AJ8" s="88" t="s">
        <v>52</v>
      </c>
      <c r="AK8" s="89" t="s">
        <v>50</v>
      </c>
      <c r="AL8" s="88" t="s">
        <v>51</v>
      </c>
      <c r="AM8" s="88" t="s">
        <v>52</v>
      </c>
      <c r="AN8" s="89" t="s">
        <v>50</v>
      </c>
      <c r="AO8" s="88" t="s">
        <v>51</v>
      </c>
      <c r="AP8" s="88" t="s">
        <v>52</v>
      </c>
      <c r="AQ8" s="89" t="s">
        <v>50</v>
      </c>
      <c r="AR8" s="151"/>
      <c r="AS8" s="151"/>
      <c r="AT8" s="51"/>
      <c r="AU8" s="81">
        <v>1</v>
      </c>
      <c r="AV8" s="81">
        <v>2</v>
      </c>
      <c r="AW8" s="81">
        <v>3</v>
      </c>
      <c r="AX8" s="81">
        <v>4</v>
      </c>
    </row>
    <row r="9" spans="1:52" ht="15.75">
      <c r="A9" s="115" t="s">
        <v>71</v>
      </c>
      <c r="B9" s="53" t="s">
        <v>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2"/>
      <c r="AS9" s="52"/>
      <c r="AT9" s="43"/>
      <c r="AY9" s="44" t="s">
        <v>48</v>
      </c>
      <c r="AZ9" s="44" t="s">
        <v>49</v>
      </c>
    </row>
    <row r="10" spans="1:52" ht="14.25" customHeight="1">
      <c r="A10" s="152" t="s">
        <v>1</v>
      </c>
      <c r="B10" s="152" t="s">
        <v>112</v>
      </c>
      <c r="C10" s="152" t="s">
        <v>6</v>
      </c>
      <c r="D10" s="54" t="s">
        <v>3</v>
      </c>
      <c r="E10" s="40">
        <f>H10+K10+N10+Q10+T10+W10+Z10+AC10+AF10+AI10+AL10+AO10</f>
        <v>263</v>
      </c>
      <c r="F10" s="40">
        <f>I10+L10+O10+R10+U10+X10+AA10+AD10+AG10+AJ10+AM10+AP10</f>
        <v>263</v>
      </c>
      <c r="G10" s="41">
        <f>F10/E10*100</f>
        <v>100</v>
      </c>
      <c r="H10" s="40">
        <f>H11+H12+H13+H14</f>
        <v>0</v>
      </c>
      <c r="I10" s="40"/>
      <c r="J10" s="40"/>
      <c r="K10" s="40">
        <f t="shared" ref="K10:AO10" si="0">K11+K12+K13+K14</f>
        <v>0</v>
      </c>
      <c r="L10" s="40"/>
      <c r="M10" s="40"/>
      <c r="N10" s="40">
        <f t="shared" si="0"/>
        <v>0</v>
      </c>
      <c r="O10" s="40"/>
      <c r="P10" s="40"/>
      <c r="Q10" s="40">
        <f t="shared" si="0"/>
        <v>150</v>
      </c>
      <c r="R10" s="40">
        <f t="shared" si="0"/>
        <v>150</v>
      </c>
      <c r="S10" s="41">
        <f>R10/Q10*100</f>
        <v>100</v>
      </c>
      <c r="T10" s="40">
        <f t="shared" si="0"/>
        <v>0</v>
      </c>
      <c r="U10" s="40"/>
      <c r="V10" s="40"/>
      <c r="W10" s="40">
        <f t="shared" si="0"/>
        <v>113</v>
      </c>
      <c r="X10" s="40">
        <f t="shared" si="0"/>
        <v>113</v>
      </c>
      <c r="Y10" s="41">
        <f>X10/W10*100</f>
        <v>100</v>
      </c>
      <c r="Z10" s="40">
        <f t="shared" si="0"/>
        <v>0</v>
      </c>
      <c r="AA10" s="40"/>
      <c r="AB10" s="40"/>
      <c r="AC10" s="40">
        <f t="shared" si="0"/>
        <v>0</v>
      </c>
      <c r="AD10" s="40"/>
      <c r="AE10" s="40"/>
      <c r="AF10" s="40">
        <f t="shared" si="0"/>
        <v>0</v>
      </c>
      <c r="AG10" s="40"/>
      <c r="AH10" s="40"/>
      <c r="AI10" s="40">
        <f t="shared" si="0"/>
        <v>0</v>
      </c>
      <c r="AJ10" s="40"/>
      <c r="AK10" s="40"/>
      <c r="AL10" s="40">
        <f t="shared" si="0"/>
        <v>0</v>
      </c>
      <c r="AM10" s="40"/>
      <c r="AN10" s="40"/>
      <c r="AO10" s="40">
        <f t="shared" si="0"/>
        <v>0</v>
      </c>
      <c r="AP10" s="40"/>
      <c r="AQ10" s="40"/>
      <c r="AR10" s="52"/>
      <c r="AS10" s="52"/>
      <c r="AT10" s="43">
        <f t="shared" ref="AT10:AT20" si="1">(I10+L10+O10+R10+U10+X10+AA10+AD10+AG10+AJ10+AM10)/(H10+K10+N10+Q10+T10+W10+Z10+AC10+AF10+AI10+AL10)</f>
        <v>1</v>
      </c>
      <c r="AU10" s="55">
        <f>H10+K10+N10</f>
        <v>0</v>
      </c>
      <c r="AV10" s="55">
        <f>Q10+T10+W10</f>
        <v>263</v>
      </c>
      <c r="AW10" s="55">
        <f>Z10+AC10+AF10</f>
        <v>0</v>
      </c>
      <c r="AX10" s="55">
        <f>AI10+AL10+AO10</f>
        <v>0</v>
      </c>
      <c r="AZ10" s="55">
        <f>AY10-AU10-AV10-AW10-AX10</f>
        <v>-263</v>
      </c>
    </row>
    <row r="11" spans="1:52" ht="14.25" customHeight="1">
      <c r="A11" s="152"/>
      <c r="B11" s="152"/>
      <c r="C11" s="152"/>
      <c r="D11" s="54" t="s">
        <v>23</v>
      </c>
      <c r="E11" s="40">
        <f t="shared" ref="E11:F29" si="2">H11+K11+N11+Q11+T11+W11+Z11+AC11+AF11+AI11+AL11+AO11</f>
        <v>0</v>
      </c>
      <c r="F11" s="40">
        <f t="shared" si="2"/>
        <v>0</v>
      </c>
      <c r="G11" s="11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38"/>
      <c r="T11" s="40"/>
      <c r="U11" s="40"/>
      <c r="V11" s="40"/>
      <c r="W11" s="40"/>
      <c r="X11" s="40"/>
      <c r="Y11" s="38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52"/>
      <c r="AS11" s="52"/>
      <c r="AT11" s="43"/>
      <c r="AU11" s="55">
        <f t="shared" ref="AU11:AU72" si="3">H11+K11+N11</f>
        <v>0</v>
      </c>
      <c r="AV11" s="55">
        <f t="shared" ref="AV11:AV72" si="4">Q11+T11+W11</f>
        <v>0</v>
      </c>
      <c r="AW11" s="55">
        <f t="shared" ref="AW11:AW72" si="5">Z11+AC11+AF11</f>
        <v>0</v>
      </c>
      <c r="AX11" s="55">
        <f t="shared" ref="AX11:AX72" si="6">AI11+AL11+AO11</f>
        <v>0</v>
      </c>
      <c r="AZ11" s="55">
        <f t="shared" ref="AZ11:AZ72" si="7">AY11-AU11-AV11-AW11-AX11</f>
        <v>0</v>
      </c>
    </row>
    <row r="12" spans="1:52" ht="121.5" customHeight="1">
      <c r="A12" s="152"/>
      <c r="B12" s="152"/>
      <c r="C12" s="152"/>
      <c r="D12" s="54" t="s">
        <v>4</v>
      </c>
      <c r="E12" s="40">
        <f t="shared" si="2"/>
        <v>263</v>
      </c>
      <c r="F12" s="40">
        <f t="shared" si="2"/>
        <v>263</v>
      </c>
      <c r="G12" s="41">
        <f>F12/E12*100</f>
        <v>100</v>
      </c>
      <c r="H12" s="40"/>
      <c r="I12" s="40"/>
      <c r="J12" s="40"/>
      <c r="K12" s="40"/>
      <c r="L12" s="40"/>
      <c r="M12" s="40"/>
      <c r="N12" s="40"/>
      <c r="O12" s="40"/>
      <c r="P12" s="40"/>
      <c r="Q12" s="40">
        <v>150</v>
      </c>
      <c r="R12" s="40">
        <v>150</v>
      </c>
      <c r="S12" s="41">
        <f>R12/Q12*100</f>
        <v>100</v>
      </c>
      <c r="T12" s="40"/>
      <c r="U12" s="40"/>
      <c r="V12" s="40"/>
      <c r="W12" s="40">
        <v>113</v>
      </c>
      <c r="X12" s="40">
        <v>113</v>
      </c>
      <c r="Y12" s="41">
        <f>X12/W12*100</f>
        <v>100</v>
      </c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116" t="s">
        <v>66</v>
      </c>
      <c r="AS12" s="52"/>
      <c r="AT12" s="43">
        <f t="shared" si="1"/>
        <v>1</v>
      </c>
      <c r="AU12" s="55">
        <f t="shared" si="3"/>
        <v>0</v>
      </c>
      <c r="AV12" s="55">
        <f t="shared" si="4"/>
        <v>263</v>
      </c>
      <c r="AW12" s="55">
        <f t="shared" si="5"/>
        <v>0</v>
      </c>
      <c r="AX12" s="55">
        <f t="shared" si="6"/>
        <v>0</v>
      </c>
      <c r="AZ12" s="55">
        <f t="shared" si="7"/>
        <v>-263</v>
      </c>
    </row>
    <row r="13" spans="1:52" ht="14.25" customHeight="1">
      <c r="A13" s="152"/>
      <c r="B13" s="152"/>
      <c r="C13" s="152"/>
      <c r="D13" s="54" t="s">
        <v>70</v>
      </c>
      <c r="E13" s="40">
        <f t="shared" si="2"/>
        <v>0</v>
      </c>
      <c r="F13" s="40">
        <f t="shared" si="2"/>
        <v>0</v>
      </c>
      <c r="G13" s="11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52"/>
      <c r="AS13" s="52"/>
      <c r="AT13" s="43"/>
      <c r="AU13" s="55">
        <f t="shared" si="3"/>
        <v>0</v>
      </c>
      <c r="AV13" s="55">
        <f t="shared" si="4"/>
        <v>0</v>
      </c>
      <c r="AW13" s="55">
        <f t="shared" si="5"/>
        <v>0</v>
      </c>
      <c r="AX13" s="55">
        <f t="shared" si="6"/>
        <v>0</v>
      </c>
      <c r="AZ13" s="55">
        <f t="shared" si="7"/>
        <v>0</v>
      </c>
    </row>
    <row r="14" spans="1:52" ht="14.25" customHeight="1">
      <c r="A14" s="152"/>
      <c r="B14" s="152"/>
      <c r="C14" s="152"/>
      <c r="D14" s="54" t="s">
        <v>24</v>
      </c>
      <c r="E14" s="40">
        <f t="shared" si="2"/>
        <v>0</v>
      </c>
      <c r="F14" s="40">
        <f t="shared" si="2"/>
        <v>0</v>
      </c>
      <c r="G14" s="11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52"/>
      <c r="AS14" s="52"/>
      <c r="AT14" s="43"/>
      <c r="AU14" s="55">
        <f t="shared" si="3"/>
        <v>0</v>
      </c>
      <c r="AV14" s="55">
        <f t="shared" si="4"/>
        <v>0</v>
      </c>
      <c r="AW14" s="55">
        <f t="shared" si="5"/>
        <v>0</v>
      </c>
      <c r="AX14" s="55">
        <f t="shared" si="6"/>
        <v>0</v>
      </c>
      <c r="AZ14" s="55">
        <f t="shared" si="7"/>
        <v>0</v>
      </c>
    </row>
    <row r="15" spans="1:52" ht="15" customHeight="1">
      <c r="A15" s="152" t="s">
        <v>22</v>
      </c>
      <c r="B15" s="152" t="s">
        <v>113</v>
      </c>
      <c r="C15" s="152" t="s">
        <v>6</v>
      </c>
      <c r="D15" s="54" t="s">
        <v>3</v>
      </c>
      <c r="E15" s="40">
        <f t="shared" si="2"/>
        <v>0</v>
      </c>
      <c r="F15" s="40">
        <f t="shared" si="2"/>
        <v>0</v>
      </c>
      <c r="G15" s="110"/>
      <c r="H15" s="40">
        <f>H16+H17+H18+H19</f>
        <v>0</v>
      </c>
      <c r="I15" s="40"/>
      <c r="J15" s="40"/>
      <c r="K15" s="40">
        <f t="shared" ref="K15:AO15" si="8">K16+K17+K18+K19</f>
        <v>0</v>
      </c>
      <c r="L15" s="40"/>
      <c r="M15" s="40"/>
      <c r="N15" s="40">
        <f t="shared" si="8"/>
        <v>0</v>
      </c>
      <c r="O15" s="40"/>
      <c r="P15" s="40"/>
      <c r="Q15" s="40">
        <f t="shared" si="8"/>
        <v>0</v>
      </c>
      <c r="R15" s="40"/>
      <c r="S15" s="40"/>
      <c r="T15" s="40">
        <f t="shared" si="8"/>
        <v>0</v>
      </c>
      <c r="U15" s="40"/>
      <c r="V15" s="40"/>
      <c r="W15" s="40">
        <f t="shared" si="8"/>
        <v>0</v>
      </c>
      <c r="X15" s="40"/>
      <c r="Y15" s="40"/>
      <c r="Z15" s="40">
        <f t="shared" si="8"/>
        <v>0</v>
      </c>
      <c r="AA15" s="40"/>
      <c r="AB15" s="40"/>
      <c r="AC15" s="40">
        <f t="shared" si="8"/>
        <v>0</v>
      </c>
      <c r="AD15" s="40"/>
      <c r="AE15" s="40"/>
      <c r="AF15" s="40">
        <f t="shared" si="8"/>
        <v>0</v>
      </c>
      <c r="AG15" s="40"/>
      <c r="AH15" s="40"/>
      <c r="AI15" s="40">
        <f t="shared" si="8"/>
        <v>0</v>
      </c>
      <c r="AJ15" s="40"/>
      <c r="AK15" s="40"/>
      <c r="AL15" s="40">
        <f t="shared" si="8"/>
        <v>0</v>
      </c>
      <c r="AM15" s="40"/>
      <c r="AN15" s="40"/>
      <c r="AO15" s="40">
        <f t="shared" si="8"/>
        <v>0</v>
      </c>
      <c r="AP15" s="40"/>
      <c r="AQ15" s="40"/>
      <c r="AR15" s="52"/>
      <c r="AS15" s="52"/>
      <c r="AT15" s="43"/>
      <c r="AU15" s="55">
        <f t="shared" si="3"/>
        <v>0</v>
      </c>
      <c r="AV15" s="55">
        <f t="shared" si="4"/>
        <v>0</v>
      </c>
      <c r="AW15" s="55">
        <f t="shared" si="5"/>
        <v>0</v>
      </c>
      <c r="AX15" s="55">
        <f t="shared" si="6"/>
        <v>0</v>
      </c>
      <c r="AZ15" s="55">
        <f t="shared" si="7"/>
        <v>0</v>
      </c>
    </row>
    <row r="16" spans="1:52" ht="16.5" customHeight="1">
      <c r="A16" s="152"/>
      <c r="B16" s="152"/>
      <c r="C16" s="152"/>
      <c r="D16" s="54" t="s">
        <v>23</v>
      </c>
      <c r="E16" s="40">
        <f t="shared" si="2"/>
        <v>0</v>
      </c>
      <c r="F16" s="40">
        <f t="shared" si="2"/>
        <v>0</v>
      </c>
      <c r="G16" s="11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52"/>
      <c r="AS16" s="52"/>
      <c r="AT16" s="43"/>
      <c r="AU16" s="55">
        <f t="shared" si="3"/>
        <v>0</v>
      </c>
      <c r="AV16" s="55">
        <f t="shared" si="4"/>
        <v>0</v>
      </c>
      <c r="AW16" s="55">
        <f t="shared" si="5"/>
        <v>0</v>
      </c>
      <c r="AX16" s="55">
        <f t="shared" si="6"/>
        <v>0</v>
      </c>
      <c r="AZ16" s="55">
        <f t="shared" si="7"/>
        <v>0</v>
      </c>
    </row>
    <row r="17" spans="1:52" ht="24">
      <c r="A17" s="152"/>
      <c r="B17" s="152"/>
      <c r="C17" s="152"/>
      <c r="D17" s="54" t="s">
        <v>4</v>
      </c>
      <c r="E17" s="40">
        <f t="shared" si="2"/>
        <v>0</v>
      </c>
      <c r="F17" s="40">
        <f t="shared" si="2"/>
        <v>0</v>
      </c>
      <c r="G17" s="11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52"/>
      <c r="AS17" s="52"/>
      <c r="AT17" s="43"/>
      <c r="AU17" s="55">
        <f t="shared" si="3"/>
        <v>0</v>
      </c>
      <c r="AV17" s="55">
        <f t="shared" si="4"/>
        <v>0</v>
      </c>
      <c r="AW17" s="55">
        <f t="shared" si="5"/>
        <v>0</v>
      </c>
      <c r="AX17" s="55">
        <f t="shared" si="6"/>
        <v>0</v>
      </c>
      <c r="AZ17" s="55">
        <f t="shared" si="7"/>
        <v>0</v>
      </c>
    </row>
    <row r="18" spans="1:52" ht="15" customHeight="1">
      <c r="A18" s="152"/>
      <c r="B18" s="152"/>
      <c r="C18" s="152"/>
      <c r="D18" s="54" t="s">
        <v>70</v>
      </c>
      <c r="E18" s="40">
        <f t="shared" si="2"/>
        <v>0</v>
      </c>
      <c r="F18" s="40">
        <f t="shared" si="2"/>
        <v>0</v>
      </c>
      <c r="G18" s="11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52"/>
      <c r="AS18" s="52"/>
      <c r="AT18" s="43"/>
      <c r="AU18" s="55">
        <f t="shared" si="3"/>
        <v>0</v>
      </c>
      <c r="AV18" s="55">
        <f t="shared" si="4"/>
        <v>0</v>
      </c>
      <c r="AW18" s="55">
        <f t="shared" si="5"/>
        <v>0</v>
      </c>
      <c r="AX18" s="55">
        <f t="shared" si="6"/>
        <v>0</v>
      </c>
      <c r="AZ18" s="55">
        <f t="shared" si="7"/>
        <v>0</v>
      </c>
    </row>
    <row r="19" spans="1:52" ht="15" customHeight="1">
      <c r="A19" s="152"/>
      <c r="B19" s="152"/>
      <c r="C19" s="152"/>
      <c r="D19" s="54" t="s">
        <v>24</v>
      </c>
      <c r="E19" s="40">
        <f t="shared" si="2"/>
        <v>0</v>
      </c>
      <c r="F19" s="40">
        <f t="shared" si="2"/>
        <v>0</v>
      </c>
      <c r="G19" s="11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52"/>
      <c r="AS19" s="52"/>
      <c r="AT19" s="43"/>
      <c r="AU19" s="55">
        <f t="shared" si="3"/>
        <v>0</v>
      </c>
      <c r="AV19" s="55">
        <f t="shared" si="4"/>
        <v>0</v>
      </c>
      <c r="AW19" s="55">
        <f t="shared" si="5"/>
        <v>0</v>
      </c>
      <c r="AX19" s="55">
        <f t="shared" si="6"/>
        <v>0</v>
      </c>
      <c r="AZ19" s="55">
        <f t="shared" si="7"/>
        <v>0</v>
      </c>
    </row>
    <row r="20" spans="1:52" ht="14.25" customHeight="1">
      <c r="A20" s="152" t="s">
        <v>72</v>
      </c>
      <c r="B20" s="152" t="s">
        <v>147</v>
      </c>
      <c r="C20" s="152" t="s">
        <v>6</v>
      </c>
      <c r="D20" s="54" t="s">
        <v>3</v>
      </c>
      <c r="E20" s="40">
        <f>H20+K20+N20+Q20+T20+W20+Z20+AC20+AF20+AI20+AL20+AO20</f>
        <v>626888.6</v>
      </c>
      <c r="F20" s="40">
        <f>I20+L20+O20+R20+U20+X20+AA20+AD20+AG20+AJ20+AM20+AP20</f>
        <v>626888.6</v>
      </c>
      <c r="G20" s="41">
        <f>F20/E20*100</f>
        <v>100</v>
      </c>
      <c r="H20" s="40">
        <f>H21+H22+H23+H24</f>
        <v>14432.5</v>
      </c>
      <c r="I20" s="40">
        <f>I21+I22+I23+I24</f>
        <v>14432.5</v>
      </c>
      <c r="J20" s="41">
        <f>I20/H20*100</f>
        <v>100</v>
      </c>
      <c r="K20" s="40">
        <f t="shared" ref="K20:AP20" si="9">K21+K22+K23+K24</f>
        <v>47083.4</v>
      </c>
      <c r="L20" s="40">
        <f t="shared" si="9"/>
        <v>47083.4</v>
      </c>
      <c r="M20" s="41">
        <f>L20/K20*100</f>
        <v>100</v>
      </c>
      <c r="N20" s="40">
        <f t="shared" si="9"/>
        <v>48153.9</v>
      </c>
      <c r="O20" s="40">
        <f t="shared" si="9"/>
        <v>48153.9</v>
      </c>
      <c r="P20" s="41">
        <f>O20/N20*100</f>
        <v>100</v>
      </c>
      <c r="Q20" s="40">
        <f t="shared" si="9"/>
        <v>55595.9</v>
      </c>
      <c r="R20" s="40">
        <f t="shared" si="9"/>
        <v>55595.9</v>
      </c>
      <c r="S20" s="41">
        <f>R20/Q20*100</f>
        <v>100</v>
      </c>
      <c r="T20" s="40">
        <f t="shared" si="9"/>
        <v>74621.7</v>
      </c>
      <c r="U20" s="40">
        <f t="shared" si="9"/>
        <v>75047.7</v>
      </c>
      <c r="V20" s="41">
        <f>U20/T20*100</f>
        <v>100.57087951628012</v>
      </c>
      <c r="W20" s="40">
        <f t="shared" si="9"/>
        <v>75349.100000000006</v>
      </c>
      <c r="X20" s="40">
        <f t="shared" si="9"/>
        <v>74923.100000000006</v>
      </c>
      <c r="Y20" s="41">
        <f>X20/W20*100</f>
        <v>99.434631601439179</v>
      </c>
      <c r="Z20" s="40">
        <f t="shared" si="9"/>
        <v>61969.3</v>
      </c>
      <c r="AA20" s="40">
        <f t="shared" si="9"/>
        <v>65369.299999999974</v>
      </c>
      <c r="AB20" s="41">
        <f>AA20/Z20*100</f>
        <v>105.48658771359362</v>
      </c>
      <c r="AC20" s="40">
        <f t="shared" si="9"/>
        <v>40083.4</v>
      </c>
      <c r="AD20" s="40">
        <f t="shared" si="9"/>
        <v>37013.4</v>
      </c>
      <c r="AE20" s="41">
        <f>AD20/AC20*100</f>
        <v>92.340969079469303</v>
      </c>
      <c r="AF20" s="40">
        <f t="shared" si="9"/>
        <v>37823.300000000003</v>
      </c>
      <c r="AG20" s="40">
        <f t="shared" si="9"/>
        <v>37493.299999999988</v>
      </c>
      <c r="AH20" s="41">
        <f>AG20/AF20*100</f>
        <v>99.127521924316454</v>
      </c>
      <c r="AI20" s="40">
        <f t="shared" si="9"/>
        <v>44835.1</v>
      </c>
      <c r="AJ20" s="40">
        <f t="shared" si="9"/>
        <v>45095.1</v>
      </c>
      <c r="AK20" s="41">
        <f>AJ20/AI20*100</f>
        <v>100.57990279936924</v>
      </c>
      <c r="AL20" s="40">
        <f>AL21+AL22+AL23+AL24</f>
        <v>55031.7</v>
      </c>
      <c r="AM20" s="40">
        <f>AM21+AM22+AM23+AM24</f>
        <v>52910.100000000006</v>
      </c>
      <c r="AN20" s="41">
        <f>AM20/AL20*100</f>
        <v>96.144767470385261</v>
      </c>
      <c r="AO20" s="40">
        <f t="shared" si="9"/>
        <v>71909.3</v>
      </c>
      <c r="AP20" s="40">
        <f t="shared" si="9"/>
        <v>73770.899999999994</v>
      </c>
      <c r="AQ20" s="41">
        <f>AP20/AO20*100</f>
        <v>102.58881674553916</v>
      </c>
      <c r="AR20" s="52"/>
      <c r="AS20" s="52"/>
      <c r="AT20" s="43">
        <f t="shared" si="1"/>
        <v>0.99664564065722816</v>
      </c>
      <c r="AU20" s="55">
        <f t="shared" si="3"/>
        <v>109669.8</v>
      </c>
      <c r="AV20" s="55">
        <f t="shared" si="4"/>
        <v>205566.7</v>
      </c>
      <c r="AW20" s="55">
        <f t="shared" si="5"/>
        <v>139876</v>
      </c>
      <c r="AX20" s="55">
        <f>AI20+AL20+AO20</f>
        <v>171776.09999999998</v>
      </c>
      <c r="AY20" s="56">
        <f>AY22+AY23</f>
        <v>593390.6</v>
      </c>
      <c r="AZ20" s="55">
        <f t="shared" si="7"/>
        <v>-33498</v>
      </c>
    </row>
    <row r="21" spans="1:52" ht="14.25" customHeight="1">
      <c r="A21" s="152"/>
      <c r="B21" s="152"/>
      <c r="C21" s="152"/>
      <c r="D21" s="54" t="s">
        <v>23</v>
      </c>
      <c r="E21" s="40">
        <f t="shared" si="2"/>
        <v>0</v>
      </c>
      <c r="F21" s="40">
        <f t="shared" si="2"/>
        <v>0</v>
      </c>
      <c r="G21" s="110"/>
      <c r="H21" s="40"/>
      <c r="I21" s="40"/>
      <c r="J21" s="38"/>
      <c r="K21" s="40"/>
      <c r="L21" s="40"/>
      <c r="M21" s="38"/>
      <c r="N21" s="40"/>
      <c r="O21" s="40"/>
      <c r="P21" s="38"/>
      <c r="Q21" s="40"/>
      <c r="R21" s="40"/>
      <c r="S21" s="38"/>
      <c r="T21" s="40"/>
      <c r="U21" s="40"/>
      <c r="V21" s="38"/>
      <c r="W21" s="40"/>
      <c r="X21" s="40"/>
      <c r="Y21" s="38"/>
      <c r="Z21" s="40"/>
      <c r="AA21" s="40"/>
      <c r="AB21" s="38"/>
      <c r="AC21" s="40"/>
      <c r="AD21" s="40"/>
      <c r="AE21" s="38"/>
      <c r="AF21" s="40"/>
      <c r="AG21" s="40"/>
      <c r="AH21" s="38"/>
      <c r="AI21" s="40"/>
      <c r="AJ21" s="40"/>
      <c r="AK21" s="38"/>
      <c r="AL21" s="40"/>
      <c r="AM21" s="40"/>
      <c r="AN21" s="38"/>
      <c r="AO21" s="40"/>
      <c r="AP21" s="40"/>
      <c r="AQ21" s="38"/>
      <c r="AR21" s="52"/>
      <c r="AS21" s="52"/>
      <c r="AT21" s="43"/>
      <c r="AU21" s="55">
        <f t="shared" si="3"/>
        <v>0</v>
      </c>
      <c r="AV21" s="55">
        <f t="shared" si="4"/>
        <v>0</v>
      </c>
      <c r="AW21" s="55">
        <f t="shared" si="5"/>
        <v>0</v>
      </c>
      <c r="AX21" s="55">
        <f t="shared" si="6"/>
        <v>0</v>
      </c>
      <c r="AZ21" s="55">
        <f t="shared" si="7"/>
        <v>0</v>
      </c>
    </row>
    <row r="22" spans="1:52" ht="84">
      <c r="A22" s="152"/>
      <c r="B22" s="152"/>
      <c r="C22" s="152"/>
      <c r="D22" s="54" t="s">
        <v>4</v>
      </c>
      <c r="E22" s="40">
        <f t="shared" si="2"/>
        <v>516191.6</v>
      </c>
      <c r="F22" s="40">
        <f t="shared" si="2"/>
        <v>516191.60000000003</v>
      </c>
      <c r="G22" s="41">
        <f>F22/E22*100</f>
        <v>100.00000000000003</v>
      </c>
      <c r="H22" s="40">
        <v>12694</v>
      </c>
      <c r="I22" s="40">
        <v>12694</v>
      </c>
      <c r="J22" s="41">
        <f>I22/H22*100</f>
        <v>100</v>
      </c>
      <c r="K22" s="40">
        <v>36979.4</v>
      </c>
      <c r="L22" s="40">
        <v>36979.4</v>
      </c>
      <c r="M22" s="41">
        <f>L22/K22*100</f>
        <v>100</v>
      </c>
      <c r="N22" s="40">
        <v>39201.800000000003</v>
      </c>
      <c r="O22" s="40">
        <v>39201.800000000003</v>
      </c>
      <c r="P22" s="41">
        <f>O22/N22*100</f>
        <v>100</v>
      </c>
      <c r="Q22" s="40">
        <f>40890+3664</f>
        <v>44554</v>
      </c>
      <c r="R22" s="40">
        <v>44554</v>
      </c>
      <c r="S22" s="41">
        <f>R22/Q22*100</f>
        <v>100</v>
      </c>
      <c r="T22" s="40">
        <f>63358+2071.6</f>
        <v>65429.599999999999</v>
      </c>
      <c r="U22" s="40">
        <v>65429.599999999999</v>
      </c>
      <c r="V22" s="41">
        <f>U22/T22*100</f>
        <v>100</v>
      </c>
      <c r="W22" s="40">
        <f>63077+1604</f>
        <v>64681</v>
      </c>
      <c r="X22" s="40">
        <v>64681</v>
      </c>
      <c r="Y22" s="41">
        <f>X22/W22*100</f>
        <v>100</v>
      </c>
      <c r="Z22" s="40">
        <f>46986.5+3867.6</f>
        <v>50854.1</v>
      </c>
      <c r="AA22" s="40">
        <v>53854.099999999977</v>
      </c>
      <c r="AB22" s="41">
        <f>AA22/Z22*100</f>
        <v>105.89922936400404</v>
      </c>
      <c r="AC22" s="40">
        <f>31871+354</f>
        <v>32225</v>
      </c>
      <c r="AD22" s="40">
        <v>29225</v>
      </c>
      <c r="AE22" s="41">
        <f>AD22/AC22*100</f>
        <v>90.69045771916214</v>
      </c>
      <c r="AF22" s="40">
        <f>30093.8+612</f>
        <v>30705.8</v>
      </c>
      <c r="AG22" s="40">
        <v>30705.799999999988</v>
      </c>
      <c r="AH22" s="41">
        <f>AG22/AF22*100</f>
        <v>99.999999999999972</v>
      </c>
      <c r="AI22" s="40">
        <v>34983.599999999999</v>
      </c>
      <c r="AJ22" s="40">
        <v>34983.599999999999</v>
      </c>
      <c r="AK22" s="41">
        <f>AJ22/AI22*100</f>
        <v>100</v>
      </c>
      <c r="AL22" s="40">
        <f>35909+104+10000</f>
        <v>46013</v>
      </c>
      <c r="AM22" s="40">
        <v>43891.4</v>
      </c>
      <c r="AN22" s="41">
        <f>AM22/AL22*100</f>
        <v>95.38912915915067</v>
      </c>
      <c r="AO22" s="40">
        <f>51215.9+1273.9+5380.5</f>
        <v>57870.3</v>
      </c>
      <c r="AP22" s="40">
        <v>59991.9</v>
      </c>
      <c r="AQ22" s="41">
        <f>AP22/AO22*100</f>
        <v>103.66612925801317</v>
      </c>
      <c r="AR22" s="115" t="s">
        <v>166</v>
      </c>
      <c r="AS22" s="52"/>
      <c r="AT22" s="43">
        <f>(I22+L22+O22+R22+U22+X22+AA22+AD22+AG22+AJ22+AM22)/(H22+K22+N22+Q22+T22+W22+Z22+AC22+AF22+AI22+AL22)</f>
        <v>0.99537093301140489</v>
      </c>
      <c r="AU22" s="55">
        <f t="shared" si="3"/>
        <v>88875.200000000012</v>
      </c>
      <c r="AV22" s="55">
        <f t="shared" si="4"/>
        <v>174664.6</v>
      </c>
      <c r="AW22" s="55">
        <f t="shared" si="5"/>
        <v>113784.90000000001</v>
      </c>
      <c r="AX22" s="55">
        <f t="shared" si="6"/>
        <v>138866.90000000002</v>
      </c>
      <c r="AY22" s="56">
        <v>485526.4</v>
      </c>
      <c r="AZ22" s="55">
        <f t="shared" si="7"/>
        <v>-30665.200000000026</v>
      </c>
    </row>
    <row r="23" spans="1:52" ht="96" customHeight="1">
      <c r="A23" s="152"/>
      <c r="B23" s="152"/>
      <c r="C23" s="152"/>
      <c r="D23" s="54" t="s">
        <v>70</v>
      </c>
      <c r="E23" s="40">
        <f t="shared" si="2"/>
        <v>110696.99999999999</v>
      </c>
      <c r="F23" s="40">
        <f t="shared" si="2"/>
        <v>110696.99999999999</v>
      </c>
      <c r="G23" s="41">
        <f>F23/E23*100</f>
        <v>100</v>
      </c>
      <c r="H23" s="40">
        <v>1738.5</v>
      </c>
      <c r="I23" s="40">
        <v>1738.5</v>
      </c>
      <c r="J23" s="41">
        <f>I23/H23*100</f>
        <v>100</v>
      </c>
      <c r="K23" s="40">
        <v>10104</v>
      </c>
      <c r="L23" s="40">
        <v>10104</v>
      </c>
      <c r="M23" s="41">
        <f>L23/K23*100</f>
        <v>100</v>
      </c>
      <c r="N23" s="40">
        <v>8952.1</v>
      </c>
      <c r="O23" s="40">
        <v>8952.1</v>
      </c>
      <c r="P23" s="41">
        <f>O23/N23*100</f>
        <v>100</v>
      </c>
      <c r="Q23" s="40">
        <v>11041.9</v>
      </c>
      <c r="R23" s="40">
        <v>11041.9</v>
      </c>
      <c r="S23" s="41">
        <f>R23/Q23*100</f>
        <v>100</v>
      </c>
      <c r="T23" s="40">
        <v>9192.1</v>
      </c>
      <c r="U23" s="40">
        <v>9618.1</v>
      </c>
      <c r="V23" s="41">
        <f>U23/T23*100</f>
        <v>104.63441433404772</v>
      </c>
      <c r="W23" s="40">
        <v>10668.1</v>
      </c>
      <c r="X23" s="40">
        <v>10242.1</v>
      </c>
      <c r="Y23" s="41">
        <f>X23/W23*100</f>
        <v>96.006786588052222</v>
      </c>
      <c r="Z23" s="40">
        <v>11115.2</v>
      </c>
      <c r="AA23" s="40">
        <v>11515.2</v>
      </c>
      <c r="AB23" s="41">
        <f>AA23/Z23*100</f>
        <v>103.59867568734707</v>
      </c>
      <c r="AC23" s="40">
        <v>7858.4</v>
      </c>
      <c r="AD23" s="40">
        <v>7788.4</v>
      </c>
      <c r="AE23" s="41">
        <f>AD23/AC23*100</f>
        <v>99.109233431741828</v>
      </c>
      <c r="AF23" s="40">
        <v>7117.5</v>
      </c>
      <c r="AG23" s="40">
        <v>6787.5</v>
      </c>
      <c r="AH23" s="41">
        <f>AG23/AF23*100</f>
        <v>95.363540569020017</v>
      </c>
      <c r="AI23" s="40">
        <v>9851.5</v>
      </c>
      <c r="AJ23" s="40">
        <v>10111.5</v>
      </c>
      <c r="AK23" s="41">
        <f>AJ23/AI23*100</f>
        <v>102.63919200121809</v>
      </c>
      <c r="AL23" s="40">
        <v>9018.7000000000007</v>
      </c>
      <c r="AM23" s="40">
        <v>9018.7000000000007</v>
      </c>
      <c r="AN23" s="41">
        <f>AM23/AL23*100</f>
        <v>100</v>
      </c>
      <c r="AO23" s="40">
        <f>14038.9+0.1</f>
        <v>14039</v>
      </c>
      <c r="AP23" s="40">
        <f>13778.9+0.1</f>
        <v>13779</v>
      </c>
      <c r="AQ23" s="41">
        <f>AP23/AO23*100</f>
        <v>98.14801624047297</v>
      </c>
      <c r="AR23" s="115" t="s">
        <v>194</v>
      </c>
      <c r="AS23" s="52"/>
      <c r="AT23" s="43">
        <f t="shared" ref="AT23:AT80" si="10">(I23+L23+O23+R23+U23+X23+AA23+AD23+AG23+AJ23+AM23)/(H23+K23+N23+Q23+T23+W23+Z23+AC23+AF23+AI23+AL23)</f>
        <v>1.0026898963355335</v>
      </c>
      <c r="AU23" s="55">
        <f t="shared" si="3"/>
        <v>20794.599999999999</v>
      </c>
      <c r="AV23" s="55">
        <f t="shared" si="4"/>
        <v>30902.1</v>
      </c>
      <c r="AW23" s="55">
        <f t="shared" si="5"/>
        <v>26091.1</v>
      </c>
      <c r="AX23" s="55">
        <f t="shared" si="6"/>
        <v>32909.199999999997</v>
      </c>
      <c r="AY23" s="56">
        <v>107864.2</v>
      </c>
      <c r="AZ23" s="57">
        <f t="shared" si="7"/>
        <v>-2832.7999999999884</v>
      </c>
    </row>
    <row r="24" spans="1:52" ht="15" customHeight="1">
      <c r="A24" s="152"/>
      <c r="B24" s="152"/>
      <c r="C24" s="152"/>
      <c r="D24" s="54" t="s">
        <v>24</v>
      </c>
      <c r="E24" s="40">
        <f t="shared" si="2"/>
        <v>0</v>
      </c>
      <c r="F24" s="40">
        <f t="shared" si="2"/>
        <v>0</v>
      </c>
      <c r="G24" s="110"/>
      <c r="H24" s="40"/>
      <c r="I24" s="40"/>
      <c r="J24" s="40"/>
      <c r="K24" s="40"/>
      <c r="L24" s="40"/>
      <c r="M24" s="41"/>
      <c r="N24" s="40"/>
      <c r="O24" s="40"/>
      <c r="P24" s="41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38"/>
      <c r="AI24" s="40"/>
      <c r="AJ24" s="40"/>
      <c r="AK24" s="38"/>
      <c r="AL24" s="40"/>
      <c r="AM24" s="40"/>
      <c r="AN24" s="40"/>
      <c r="AO24" s="40"/>
      <c r="AP24" s="40"/>
      <c r="AQ24" s="40"/>
      <c r="AR24" s="52"/>
      <c r="AS24" s="52"/>
      <c r="AT24" s="43"/>
      <c r="AU24" s="55">
        <f t="shared" si="3"/>
        <v>0</v>
      </c>
      <c r="AV24" s="55">
        <f t="shared" si="4"/>
        <v>0</v>
      </c>
      <c r="AW24" s="55">
        <f t="shared" si="5"/>
        <v>0</v>
      </c>
      <c r="AX24" s="55">
        <f t="shared" si="6"/>
        <v>0</v>
      </c>
      <c r="AZ24" s="55">
        <f t="shared" si="7"/>
        <v>0</v>
      </c>
    </row>
    <row r="25" spans="1:52" ht="15.75" customHeight="1">
      <c r="A25" s="152" t="s">
        <v>73</v>
      </c>
      <c r="B25" s="152" t="s">
        <v>114</v>
      </c>
      <c r="C25" s="152" t="s">
        <v>6</v>
      </c>
      <c r="D25" s="54" t="s">
        <v>3</v>
      </c>
      <c r="E25" s="40">
        <f t="shared" si="2"/>
        <v>31500</v>
      </c>
      <c r="F25" s="40">
        <f t="shared" si="2"/>
        <v>31117.599999999991</v>
      </c>
      <c r="G25" s="41">
        <f>F25/E25*100</f>
        <v>98.786031746031725</v>
      </c>
      <c r="H25" s="40">
        <f>H26+H27+H28+H29</f>
        <v>0</v>
      </c>
      <c r="I25" s="40"/>
      <c r="J25" s="40"/>
      <c r="K25" s="40">
        <f t="shared" ref="K25:AP25" si="11">K26+K27+K28+K29</f>
        <v>3000</v>
      </c>
      <c r="L25" s="40">
        <f t="shared" si="11"/>
        <v>2829.1</v>
      </c>
      <c r="M25" s="41">
        <f t="shared" ref="M25:M27" si="12">L25/K25*100</f>
        <v>94.303333333333327</v>
      </c>
      <c r="N25" s="40">
        <f t="shared" si="11"/>
        <v>3000</v>
      </c>
      <c r="O25" s="40">
        <f t="shared" si="11"/>
        <v>2505.6</v>
      </c>
      <c r="P25" s="41">
        <f t="shared" ref="P25:P27" si="13">O25/N25*100</f>
        <v>83.52</v>
      </c>
      <c r="Q25" s="40">
        <f t="shared" si="11"/>
        <v>3000</v>
      </c>
      <c r="R25" s="40">
        <f t="shared" si="11"/>
        <v>2903.1</v>
      </c>
      <c r="S25" s="41">
        <f>R25/Q25*100</f>
        <v>96.77</v>
      </c>
      <c r="T25" s="40">
        <f t="shared" si="11"/>
        <v>3000</v>
      </c>
      <c r="U25" s="40">
        <f t="shared" si="11"/>
        <v>3204.4</v>
      </c>
      <c r="V25" s="41">
        <f>U25/T25*100</f>
        <v>106.81333333333333</v>
      </c>
      <c r="W25" s="40">
        <f t="shared" si="11"/>
        <v>2800</v>
      </c>
      <c r="X25" s="40">
        <f t="shared" si="11"/>
        <v>2726.7</v>
      </c>
      <c r="Y25" s="41">
        <f>X25/W25*100</f>
        <v>97.382142857142853</v>
      </c>
      <c r="Z25" s="40">
        <f t="shared" si="11"/>
        <v>1700</v>
      </c>
      <c r="AA25" s="40">
        <f t="shared" si="11"/>
        <v>1727.9</v>
      </c>
      <c r="AB25" s="41">
        <f>AA25/Z25*100</f>
        <v>101.64117647058823</v>
      </c>
      <c r="AC25" s="40">
        <f t="shared" si="11"/>
        <v>1300</v>
      </c>
      <c r="AD25" s="40">
        <f t="shared" si="11"/>
        <v>1323.2</v>
      </c>
      <c r="AE25" s="41">
        <f>AD25/AC25*100</f>
        <v>101.78461538461538</v>
      </c>
      <c r="AF25" s="40">
        <f t="shared" si="11"/>
        <v>2500</v>
      </c>
      <c r="AG25" s="40">
        <f t="shared" si="11"/>
        <v>1485.1</v>
      </c>
      <c r="AH25" s="41">
        <f>AG25/AF25*100</f>
        <v>59.404000000000003</v>
      </c>
      <c r="AI25" s="40">
        <f t="shared" si="11"/>
        <v>2800</v>
      </c>
      <c r="AJ25" s="40">
        <f t="shared" si="11"/>
        <v>2467.6</v>
      </c>
      <c r="AK25" s="41">
        <f>AJ25/AI25*100</f>
        <v>88.128571428571419</v>
      </c>
      <c r="AL25" s="40">
        <f t="shared" si="11"/>
        <v>2007</v>
      </c>
      <c r="AM25" s="40">
        <f t="shared" si="11"/>
        <v>3521.6</v>
      </c>
      <c r="AN25" s="41">
        <f>AM25/AL25*100</f>
        <v>175.46586945690083</v>
      </c>
      <c r="AO25" s="40">
        <f t="shared" si="11"/>
        <v>6393</v>
      </c>
      <c r="AP25" s="40">
        <f t="shared" si="11"/>
        <v>6423.3</v>
      </c>
      <c r="AQ25" s="41">
        <f>AP25/AO25*100</f>
        <v>100.47395588925387</v>
      </c>
      <c r="AR25" s="52"/>
      <c r="AS25" s="52"/>
      <c r="AT25" s="43">
        <f t="shared" si="10"/>
        <v>0.98356235312860918</v>
      </c>
      <c r="AU25" s="55">
        <f t="shared" si="3"/>
        <v>6000</v>
      </c>
      <c r="AV25" s="55">
        <f t="shared" si="4"/>
        <v>8800</v>
      </c>
      <c r="AW25" s="55">
        <f t="shared" si="5"/>
        <v>5500</v>
      </c>
      <c r="AX25" s="55">
        <f t="shared" si="6"/>
        <v>11200</v>
      </c>
      <c r="AY25" s="56">
        <f>AY27</f>
        <v>25107</v>
      </c>
      <c r="AZ25" s="55">
        <f t="shared" si="7"/>
        <v>-6393</v>
      </c>
    </row>
    <row r="26" spans="1:52" ht="13.5" customHeight="1">
      <c r="A26" s="152"/>
      <c r="B26" s="152"/>
      <c r="C26" s="152"/>
      <c r="D26" s="54" t="s">
        <v>23</v>
      </c>
      <c r="E26" s="40">
        <f t="shared" si="2"/>
        <v>0</v>
      </c>
      <c r="F26" s="40">
        <f t="shared" si="2"/>
        <v>0</v>
      </c>
      <c r="G26" s="110"/>
      <c r="H26" s="40"/>
      <c r="I26" s="40"/>
      <c r="J26" s="40"/>
      <c r="K26" s="40"/>
      <c r="L26" s="40"/>
      <c r="M26" s="41"/>
      <c r="N26" s="40"/>
      <c r="O26" s="40"/>
      <c r="P26" s="41"/>
      <c r="Q26" s="40"/>
      <c r="R26" s="40"/>
      <c r="S26" s="38"/>
      <c r="T26" s="40"/>
      <c r="U26" s="40"/>
      <c r="V26" s="38"/>
      <c r="W26" s="40"/>
      <c r="X26" s="40"/>
      <c r="Y26" s="38"/>
      <c r="Z26" s="40"/>
      <c r="AA26" s="40"/>
      <c r="AB26" s="38"/>
      <c r="AC26" s="40"/>
      <c r="AD26" s="40"/>
      <c r="AE26" s="38"/>
      <c r="AF26" s="40"/>
      <c r="AG26" s="40"/>
      <c r="AH26" s="38"/>
      <c r="AI26" s="40"/>
      <c r="AJ26" s="40"/>
      <c r="AK26" s="38"/>
      <c r="AL26" s="40"/>
      <c r="AM26" s="40"/>
      <c r="AN26" s="38"/>
      <c r="AO26" s="40"/>
      <c r="AP26" s="40"/>
      <c r="AQ26" s="38"/>
      <c r="AR26" s="52"/>
      <c r="AS26" s="52"/>
      <c r="AT26" s="43"/>
      <c r="AU26" s="55">
        <f t="shared" si="3"/>
        <v>0</v>
      </c>
      <c r="AV26" s="55">
        <f t="shared" si="4"/>
        <v>0</v>
      </c>
      <c r="AW26" s="55">
        <f t="shared" si="5"/>
        <v>0</v>
      </c>
      <c r="AX26" s="55">
        <f t="shared" si="6"/>
        <v>0</v>
      </c>
      <c r="AZ26" s="55">
        <f t="shared" si="7"/>
        <v>0</v>
      </c>
    </row>
    <row r="27" spans="1:52" ht="48">
      <c r="A27" s="152"/>
      <c r="B27" s="152"/>
      <c r="C27" s="152"/>
      <c r="D27" s="54" t="s">
        <v>4</v>
      </c>
      <c r="E27" s="40">
        <f t="shared" si="2"/>
        <v>31500</v>
      </c>
      <c r="F27" s="40">
        <f t="shared" si="2"/>
        <v>31117.599999999991</v>
      </c>
      <c r="G27" s="41">
        <f>F27/E27*100</f>
        <v>98.786031746031725</v>
      </c>
      <c r="H27" s="40">
        <v>0</v>
      </c>
      <c r="I27" s="40"/>
      <c r="J27" s="40"/>
      <c r="K27" s="40">
        <v>3000</v>
      </c>
      <c r="L27" s="40">
        <v>2829.1</v>
      </c>
      <c r="M27" s="41">
        <f t="shared" si="12"/>
        <v>94.303333333333327</v>
      </c>
      <c r="N27" s="40">
        <v>3000</v>
      </c>
      <c r="O27" s="40">
        <v>2505.6</v>
      </c>
      <c r="P27" s="41">
        <f t="shared" si="13"/>
        <v>83.52</v>
      </c>
      <c r="Q27" s="40">
        <v>3000</v>
      </c>
      <c r="R27" s="40">
        <v>2903.1</v>
      </c>
      <c r="S27" s="41">
        <f>R27/Q27*100</f>
        <v>96.77</v>
      </c>
      <c r="T27" s="40">
        <v>3000</v>
      </c>
      <c r="U27" s="40">
        <v>3204.4</v>
      </c>
      <c r="V27" s="41">
        <f>U27/T27*100</f>
        <v>106.81333333333333</v>
      </c>
      <c r="W27" s="40">
        <f>2800</f>
        <v>2800</v>
      </c>
      <c r="X27" s="40">
        <v>2726.7</v>
      </c>
      <c r="Y27" s="41">
        <f>X27/W27*100</f>
        <v>97.382142857142853</v>
      </c>
      <c r="Z27" s="40">
        <f>1700</f>
        <v>1700</v>
      </c>
      <c r="AA27" s="40">
        <v>1727.9</v>
      </c>
      <c r="AB27" s="41">
        <f>AA27/Z27*100</f>
        <v>101.64117647058823</v>
      </c>
      <c r="AC27" s="40">
        <v>1300</v>
      </c>
      <c r="AD27" s="40">
        <v>1323.2</v>
      </c>
      <c r="AE27" s="41">
        <f>AD27/AC27*100</f>
        <v>101.78461538461538</v>
      </c>
      <c r="AF27" s="40">
        <v>2500</v>
      </c>
      <c r="AG27" s="40">
        <v>1485.1</v>
      </c>
      <c r="AH27" s="41">
        <f>AG27/AF27*100</f>
        <v>59.404000000000003</v>
      </c>
      <c r="AI27" s="40">
        <v>2800</v>
      </c>
      <c r="AJ27" s="40">
        <v>2467.6</v>
      </c>
      <c r="AK27" s="41">
        <f>AJ27/AI27*100</f>
        <v>88.128571428571419</v>
      </c>
      <c r="AL27" s="40">
        <v>2007</v>
      </c>
      <c r="AM27" s="40">
        <v>3521.6</v>
      </c>
      <c r="AN27" s="41">
        <f>AM27/AL27*100</f>
        <v>175.46586945690083</v>
      </c>
      <c r="AO27" s="40">
        <v>6393</v>
      </c>
      <c r="AP27" s="40">
        <v>6423.3</v>
      </c>
      <c r="AQ27" s="41">
        <f>AP27/AO27*100</f>
        <v>100.47395588925387</v>
      </c>
      <c r="AR27" s="115" t="s">
        <v>167</v>
      </c>
      <c r="AS27" s="115" t="s">
        <v>61</v>
      </c>
      <c r="AT27" s="43">
        <f t="shared" si="10"/>
        <v>0.98356235312860918</v>
      </c>
      <c r="AU27" s="55">
        <f t="shared" si="3"/>
        <v>6000</v>
      </c>
      <c r="AV27" s="55">
        <f t="shared" si="4"/>
        <v>8800</v>
      </c>
      <c r="AW27" s="55">
        <f t="shared" si="5"/>
        <v>5500</v>
      </c>
      <c r="AX27" s="55">
        <f t="shared" si="6"/>
        <v>11200</v>
      </c>
      <c r="AY27" s="56">
        <v>25107</v>
      </c>
      <c r="AZ27" s="55">
        <f t="shared" si="7"/>
        <v>-6393</v>
      </c>
    </row>
    <row r="28" spans="1:52" ht="15.75">
      <c r="A28" s="152"/>
      <c r="B28" s="152"/>
      <c r="C28" s="152"/>
      <c r="D28" s="54" t="s">
        <v>70</v>
      </c>
      <c r="E28" s="40">
        <f t="shared" si="2"/>
        <v>0</v>
      </c>
      <c r="F28" s="40">
        <f t="shared" si="2"/>
        <v>0</v>
      </c>
      <c r="G28" s="41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40"/>
      <c r="U28" s="40"/>
      <c r="V28" s="41"/>
      <c r="W28" s="40"/>
      <c r="X28" s="40"/>
      <c r="Y28" s="41"/>
      <c r="Z28" s="40"/>
      <c r="AA28" s="40"/>
      <c r="AB28" s="41"/>
      <c r="AC28" s="40"/>
      <c r="AD28" s="40"/>
      <c r="AE28" s="40"/>
      <c r="AF28" s="40"/>
      <c r="AG28" s="40"/>
      <c r="AH28" s="41"/>
      <c r="AI28" s="40"/>
      <c r="AJ28" s="40"/>
      <c r="AK28" s="40"/>
      <c r="AL28" s="40"/>
      <c r="AM28" s="40"/>
      <c r="AN28" s="41"/>
      <c r="AO28" s="40"/>
      <c r="AP28" s="40"/>
      <c r="AQ28" s="40"/>
      <c r="AR28" s="52"/>
      <c r="AS28" s="52"/>
      <c r="AT28" s="43"/>
      <c r="AU28" s="55">
        <f t="shared" si="3"/>
        <v>0</v>
      </c>
      <c r="AV28" s="55">
        <f t="shared" si="4"/>
        <v>0</v>
      </c>
      <c r="AW28" s="55">
        <f t="shared" si="5"/>
        <v>0</v>
      </c>
      <c r="AX28" s="55">
        <f t="shared" si="6"/>
        <v>0</v>
      </c>
      <c r="AY28" s="56"/>
      <c r="AZ28" s="55">
        <f t="shared" si="7"/>
        <v>0</v>
      </c>
    </row>
    <row r="29" spans="1:52" ht="16.5" thickBot="1">
      <c r="A29" s="152"/>
      <c r="B29" s="152"/>
      <c r="C29" s="152"/>
      <c r="D29" s="54" t="s">
        <v>24</v>
      </c>
      <c r="E29" s="40">
        <f t="shared" si="2"/>
        <v>0</v>
      </c>
      <c r="F29" s="40">
        <f t="shared" si="2"/>
        <v>0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52"/>
      <c r="AS29" s="52"/>
      <c r="AT29" s="43"/>
      <c r="AU29" s="55">
        <f t="shared" si="3"/>
        <v>0</v>
      </c>
      <c r="AV29" s="55">
        <f t="shared" si="4"/>
        <v>0</v>
      </c>
      <c r="AW29" s="55">
        <f t="shared" si="5"/>
        <v>0</v>
      </c>
      <c r="AX29" s="55">
        <f t="shared" si="6"/>
        <v>0</v>
      </c>
      <c r="AZ29" s="55">
        <f t="shared" si="7"/>
        <v>0</v>
      </c>
    </row>
    <row r="30" spans="1:52" ht="12.75" customHeight="1">
      <c r="A30" s="153" t="s">
        <v>7</v>
      </c>
      <c r="B30" s="153"/>
      <c r="C30" s="153"/>
      <c r="D30" s="58" t="s">
        <v>3</v>
      </c>
      <c r="E30" s="59">
        <f t="shared" ref="E30:F34" si="14">H30+K30+N30+Q30+T30+W30+Z30+AC30+AF30+AI30+AL30+AO30</f>
        <v>658651.6</v>
      </c>
      <c r="F30" s="59">
        <f t="shared" si="14"/>
        <v>658269.19999999984</v>
      </c>
      <c r="G30" s="42">
        <f>F30/E30*100</f>
        <v>99.941941991790486</v>
      </c>
      <c r="H30" s="59">
        <f>H32+H31+H33+H34</f>
        <v>14432.5</v>
      </c>
      <c r="I30" s="59">
        <f>I32+I31+I33+I34</f>
        <v>14432.5</v>
      </c>
      <c r="J30" s="42">
        <f>I30/H30*100</f>
        <v>100</v>
      </c>
      <c r="K30" s="59">
        <f t="shared" ref="K30:AO30" si="15">K32+K31+K33+K34</f>
        <v>50083.4</v>
      </c>
      <c r="L30" s="59">
        <f t="shared" si="15"/>
        <v>49912.5</v>
      </c>
      <c r="M30" s="42">
        <f>L30/K30*100</f>
        <v>99.658769173019408</v>
      </c>
      <c r="N30" s="59">
        <f t="shared" si="15"/>
        <v>51153.9</v>
      </c>
      <c r="O30" s="59">
        <f t="shared" si="15"/>
        <v>50659.5</v>
      </c>
      <c r="P30" s="42">
        <f>O30/N30*100</f>
        <v>99.033504776761887</v>
      </c>
      <c r="Q30" s="59">
        <f t="shared" si="15"/>
        <v>58745.9</v>
      </c>
      <c r="R30" s="59">
        <f t="shared" ref="R30" si="16">R32+R31+R33+R34</f>
        <v>58649</v>
      </c>
      <c r="S30" s="42">
        <f>R30/Q30*100</f>
        <v>99.835052318544783</v>
      </c>
      <c r="T30" s="59">
        <f t="shared" si="15"/>
        <v>77621.700000000012</v>
      </c>
      <c r="U30" s="59">
        <f t="shared" ref="U30" si="17">U32+U31+U33+U34</f>
        <v>78252.100000000006</v>
      </c>
      <c r="V30" s="42">
        <f>U30/T30*100</f>
        <v>100.81214402673477</v>
      </c>
      <c r="W30" s="59">
        <f t="shared" si="15"/>
        <v>78262.100000000006</v>
      </c>
      <c r="X30" s="59">
        <f t="shared" ref="X30" si="18">X32+X31+X33+X34</f>
        <v>77762.8</v>
      </c>
      <c r="Y30" s="42">
        <f>X30/W30*100</f>
        <v>99.362015586088276</v>
      </c>
      <c r="Z30" s="59">
        <f t="shared" si="15"/>
        <v>63669.3</v>
      </c>
      <c r="AA30" s="59">
        <f t="shared" ref="AA30" si="19">AA32+AA31+AA33+AA34</f>
        <v>67097.199999999983</v>
      </c>
      <c r="AB30" s="42">
        <f>AA30/Z30*100</f>
        <v>105.38391344022939</v>
      </c>
      <c r="AC30" s="59">
        <f t="shared" si="15"/>
        <v>41383.4</v>
      </c>
      <c r="AD30" s="59">
        <f t="shared" ref="AD30" si="20">AD32+AD31+AD33+AD34</f>
        <v>38336.6</v>
      </c>
      <c r="AE30" s="42">
        <f>AD30/AC30*100</f>
        <v>92.637627647800798</v>
      </c>
      <c r="AF30" s="59">
        <f t="shared" si="15"/>
        <v>40323.300000000003</v>
      </c>
      <c r="AG30" s="59">
        <f t="shared" ref="AG30" si="21">AG32+AG31+AG33+AG34</f>
        <v>38978.399999999987</v>
      </c>
      <c r="AH30" s="42">
        <f>AG30/AF30*100</f>
        <v>96.664707501618125</v>
      </c>
      <c r="AI30" s="59">
        <f t="shared" si="15"/>
        <v>47635.1</v>
      </c>
      <c r="AJ30" s="59">
        <f t="shared" ref="AJ30" si="22">AJ32+AJ31+AJ33+AJ34</f>
        <v>47562.7</v>
      </c>
      <c r="AK30" s="42">
        <f>AJ30/AI30*100</f>
        <v>99.848011235412542</v>
      </c>
      <c r="AL30" s="59">
        <f t="shared" si="15"/>
        <v>57038.7</v>
      </c>
      <c r="AM30" s="59">
        <f t="shared" ref="AM30" si="23">AM32+AM31+AM33+AM34</f>
        <v>56431.7</v>
      </c>
      <c r="AN30" s="42">
        <f>AM30/AL30*100</f>
        <v>98.935810248129769</v>
      </c>
      <c r="AO30" s="59">
        <f t="shared" si="15"/>
        <v>78302.3</v>
      </c>
      <c r="AP30" s="59">
        <f t="shared" ref="AP30" si="24">AP32+AP31+AP33+AP34</f>
        <v>80194.2</v>
      </c>
      <c r="AQ30" s="42">
        <f>AP30/AO30*100</f>
        <v>102.41614869550446</v>
      </c>
      <c r="AR30" s="52"/>
      <c r="AS30" s="52"/>
      <c r="AT30" s="43">
        <f t="shared" si="10"/>
        <v>0.99608115319515322</v>
      </c>
      <c r="AU30" s="108">
        <f t="shared" si="3"/>
        <v>115669.8</v>
      </c>
      <c r="AV30" s="108">
        <f t="shared" si="4"/>
        <v>214629.7</v>
      </c>
      <c r="AW30" s="108">
        <f t="shared" si="5"/>
        <v>145376</v>
      </c>
      <c r="AX30" s="108">
        <f t="shared" si="6"/>
        <v>182976.09999999998</v>
      </c>
      <c r="AY30" s="60">
        <f t="shared" ref="AY30" si="25">AY32+AY31+AY33+AY34</f>
        <v>618497.6</v>
      </c>
      <c r="AZ30" s="55">
        <f t="shared" si="7"/>
        <v>-40154</v>
      </c>
    </row>
    <row r="31" spans="1:52" ht="12.75" customHeight="1">
      <c r="A31" s="153"/>
      <c r="B31" s="153"/>
      <c r="C31" s="153"/>
      <c r="D31" s="58" t="s">
        <v>23</v>
      </c>
      <c r="E31" s="59">
        <f t="shared" si="14"/>
        <v>0</v>
      </c>
      <c r="F31" s="59">
        <f t="shared" si="14"/>
        <v>0</v>
      </c>
      <c r="G31" s="111"/>
      <c r="H31" s="59">
        <f t="shared" ref="H31:I34" si="26">H11+H16+H21+H26</f>
        <v>0</v>
      </c>
      <c r="I31" s="59">
        <f t="shared" si="26"/>
        <v>0</v>
      </c>
      <c r="J31" s="39"/>
      <c r="K31" s="59">
        <f t="shared" ref="K31:AO34" si="27">K11+K16+K21+K26</f>
        <v>0</v>
      </c>
      <c r="L31" s="59">
        <f t="shared" si="27"/>
        <v>0</v>
      </c>
      <c r="M31" s="39"/>
      <c r="N31" s="59">
        <f t="shared" si="27"/>
        <v>0</v>
      </c>
      <c r="O31" s="59">
        <f t="shared" si="27"/>
        <v>0</v>
      </c>
      <c r="P31" s="39"/>
      <c r="Q31" s="59">
        <f t="shared" si="27"/>
        <v>0</v>
      </c>
      <c r="R31" s="59">
        <f t="shared" ref="R31" si="28">R11+R16+R21+R26</f>
        <v>0</v>
      </c>
      <c r="S31" s="39"/>
      <c r="T31" s="59">
        <f t="shared" si="27"/>
        <v>0</v>
      </c>
      <c r="U31" s="59">
        <f t="shared" ref="U31" si="29">U11+U16+U21+U26</f>
        <v>0</v>
      </c>
      <c r="V31" s="39"/>
      <c r="W31" s="59">
        <f t="shared" si="27"/>
        <v>0</v>
      </c>
      <c r="X31" s="59">
        <f t="shared" ref="X31" si="30">X11+X16+X21+X26</f>
        <v>0</v>
      </c>
      <c r="Y31" s="39"/>
      <c r="Z31" s="59">
        <f t="shared" si="27"/>
        <v>0</v>
      </c>
      <c r="AA31" s="59">
        <f t="shared" ref="AA31" si="31">AA11+AA16+AA21+AA26</f>
        <v>0</v>
      </c>
      <c r="AB31" s="39"/>
      <c r="AC31" s="59">
        <f t="shared" si="27"/>
        <v>0</v>
      </c>
      <c r="AD31" s="59">
        <f t="shared" ref="AD31" si="32">AD11+AD16+AD21+AD26</f>
        <v>0</v>
      </c>
      <c r="AE31" s="39"/>
      <c r="AF31" s="59">
        <f t="shared" si="27"/>
        <v>0</v>
      </c>
      <c r="AG31" s="59">
        <f t="shared" ref="AG31" si="33">AG11+AG16+AG21+AG26</f>
        <v>0</v>
      </c>
      <c r="AH31" s="39"/>
      <c r="AI31" s="59">
        <f t="shared" si="27"/>
        <v>0</v>
      </c>
      <c r="AJ31" s="59">
        <f t="shared" ref="AJ31" si="34">AJ11+AJ16+AJ21+AJ26</f>
        <v>0</v>
      </c>
      <c r="AK31" s="39"/>
      <c r="AL31" s="59">
        <f t="shared" si="27"/>
        <v>0</v>
      </c>
      <c r="AM31" s="59">
        <f t="shared" ref="AM31" si="35">AM11+AM16+AM21+AM26</f>
        <v>0</v>
      </c>
      <c r="AN31" s="39"/>
      <c r="AO31" s="59">
        <f t="shared" si="27"/>
        <v>0</v>
      </c>
      <c r="AP31" s="59">
        <f t="shared" ref="AP31" si="36">AP11+AP16+AP21+AP26</f>
        <v>0</v>
      </c>
      <c r="AQ31" s="39"/>
      <c r="AR31" s="52"/>
      <c r="AS31" s="52"/>
      <c r="AT31" s="43"/>
      <c r="AU31" s="108">
        <f t="shared" si="3"/>
        <v>0</v>
      </c>
      <c r="AV31" s="108">
        <f t="shared" si="4"/>
        <v>0</v>
      </c>
      <c r="AW31" s="108">
        <f t="shared" si="5"/>
        <v>0</v>
      </c>
      <c r="AX31" s="108">
        <f t="shared" si="6"/>
        <v>0</v>
      </c>
      <c r="AY31" s="61">
        <f t="shared" ref="AY31:AY34" si="37">AY11+AY16+AY21+AY26</f>
        <v>0</v>
      </c>
      <c r="AZ31" s="55">
        <f t="shared" si="7"/>
        <v>0</v>
      </c>
    </row>
    <row r="32" spans="1:52" ht="24">
      <c r="A32" s="153"/>
      <c r="B32" s="153"/>
      <c r="C32" s="153"/>
      <c r="D32" s="58" t="s">
        <v>4</v>
      </c>
      <c r="E32" s="59">
        <f t="shared" si="14"/>
        <v>547954.6</v>
      </c>
      <c r="F32" s="59">
        <f t="shared" si="14"/>
        <v>547572.19999999995</v>
      </c>
      <c r="G32" s="42">
        <f>F32/E32*100</f>
        <v>99.930213196494748</v>
      </c>
      <c r="H32" s="59">
        <f t="shared" si="26"/>
        <v>12694</v>
      </c>
      <c r="I32" s="59">
        <f t="shared" si="26"/>
        <v>12694</v>
      </c>
      <c r="J32" s="42">
        <f>I32/H32*100</f>
        <v>100</v>
      </c>
      <c r="K32" s="59">
        <f t="shared" si="27"/>
        <v>39979.4</v>
      </c>
      <c r="L32" s="59">
        <f t="shared" si="27"/>
        <v>39808.5</v>
      </c>
      <c r="M32" s="42">
        <f>L32/K32*100</f>
        <v>99.572529852874226</v>
      </c>
      <c r="N32" s="59">
        <f t="shared" si="27"/>
        <v>42201.8</v>
      </c>
      <c r="O32" s="59">
        <f t="shared" si="27"/>
        <v>41707.4</v>
      </c>
      <c r="P32" s="42">
        <f>O32/N32*100</f>
        <v>98.828485988749293</v>
      </c>
      <c r="Q32" s="59">
        <f t="shared" si="27"/>
        <v>47704</v>
      </c>
      <c r="R32" s="59">
        <f t="shared" ref="R32" si="38">R12+R17+R22+R27</f>
        <v>47607.1</v>
      </c>
      <c r="S32" s="42">
        <f>R32/Q32*100</f>
        <v>99.796872379674667</v>
      </c>
      <c r="T32" s="59">
        <f t="shared" si="27"/>
        <v>68429.600000000006</v>
      </c>
      <c r="U32" s="59">
        <f t="shared" ref="U32" si="39">U12+U17+U22+U27</f>
        <v>68634</v>
      </c>
      <c r="V32" s="42">
        <f>U32/T32*100</f>
        <v>100.29870114687212</v>
      </c>
      <c r="W32" s="59">
        <f t="shared" si="27"/>
        <v>67594</v>
      </c>
      <c r="X32" s="59">
        <f t="shared" ref="X32" si="40">X12+X17+X22+X27</f>
        <v>67520.7</v>
      </c>
      <c r="Y32" s="42">
        <f>X32/W32*100</f>
        <v>99.89155842234517</v>
      </c>
      <c r="Z32" s="59">
        <f t="shared" si="27"/>
        <v>52554.1</v>
      </c>
      <c r="AA32" s="59">
        <f t="shared" ref="AA32" si="41">AA12+AA17+AA22+AA27</f>
        <v>55581.999999999978</v>
      </c>
      <c r="AB32" s="42">
        <f>AA32/Z32*100</f>
        <v>105.7614914916248</v>
      </c>
      <c r="AC32" s="59">
        <f t="shared" si="27"/>
        <v>33525</v>
      </c>
      <c r="AD32" s="59">
        <f t="shared" ref="AD32" si="42">AD12+AD17+AD22+AD27</f>
        <v>30548.2</v>
      </c>
      <c r="AE32" s="42">
        <f>AD32/AC32*100</f>
        <v>91.120656226696497</v>
      </c>
      <c r="AF32" s="59">
        <f t="shared" si="27"/>
        <v>33205.800000000003</v>
      </c>
      <c r="AG32" s="59">
        <f t="shared" ref="AG32" si="43">AG12+AG17+AG22+AG27</f>
        <v>32190.899999999987</v>
      </c>
      <c r="AH32" s="42">
        <f>AG32/AF32*100</f>
        <v>96.943606237464493</v>
      </c>
      <c r="AI32" s="59">
        <f t="shared" si="27"/>
        <v>37783.599999999999</v>
      </c>
      <c r="AJ32" s="59">
        <f t="shared" ref="AJ32" si="44">AJ12+AJ17+AJ22+AJ27</f>
        <v>37451.199999999997</v>
      </c>
      <c r="AK32" s="42">
        <f>AJ32/AI32*100</f>
        <v>99.120253231560781</v>
      </c>
      <c r="AL32" s="59">
        <f t="shared" si="27"/>
        <v>48020</v>
      </c>
      <c r="AM32" s="59">
        <f t="shared" ref="AM32" si="45">AM12+AM17+AM22+AM27</f>
        <v>47413</v>
      </c>
      <c r="AN32" s="42">
        <f>AM32/AL32*100</f>
        <v>98.735943356934612</v>
      </c>
      <c r="AO32" s="59">
        <f t="shared" si="27"/>
        <v>64263.3</v>
      </c>
      <c r="AP32" s="59">
        <f t="shared" ref="AP32" si="46">AP12+AP17+AP22+AP27</f>
        <v>66415.199999999997</v>
      </c>
      <c r="AQ32" s="42">
        <f>AP32/AO32*100</f>
        <v>103.34856753388013</v>
      </c>
      <c r="AR32" s="52"/>
      <c r="AS32" s="52"/>
      <c r="AT32" s="43">
        <f t="shared" si="10"/>
        <v>0.99476050117089143</v>
      </c>
      <c r="AU32" s="108">
        <f t="shared" si="3"/>
        <v>94875.200000000012</v>
      </c>
      <c r="AV32" s="108">
        <f t="shared" si="4"/>
        <v>183727.6</v>
      </c>
      <c r="AW32" s="108">
        <f t="shared" si="5"/>
        <v>119284.90000000001</v>
      </c>
      <c r="AX32" s="108">
        <f t="shared" si="6"/>
        <v>150066.90000000002</v>
      </c>
      <c r="AY32" s="61">
        <f t="shared" si="37"/>
        <v>510633.4</v>
      </c>
      <c r="AZ32" s="55">
        <f t="shared" si="7"/>
        <v>-37321.200000000026</v>
      </c>
    </row>
    <row r="33" spans="1:52" ht="12.75" customHeight="1">
      <c r="A33" s="153"/>
      <c r="B33" s="153"/>
      <c r="C33" s="153"/>
      <c r="D33" s="58" t="s">
        <v>70</v>
      </c>
      <c r="E33" s="59">
        <f t="shared" si="14"/>
        <v>110696.99999999999</v>
      </c>
      <c r="F33" s="59">
        <f t="shared" si="14"/>
        <v>110696.99999999999</v>
      </c>
      <c r="G33" s="42">
        <f>F33/E33*100</f>
        <v>100</v>
      </c>
      <c r="H33" s="59">
        <f t="shared" si="26"/>
        <v>1738.5</v>
      </c>
      <c r="I33" s="59">
        <f t="shared" si="26"/>
        <v>1738.5</v>
      </c>
      <c r="J33" s="42">
        <f>I33/H33*100</f>
        <v>100</v>
      </c>
      <c r="K33" s="59">
        <f t="shared" si="27"/>
        <v>10104</v>
      </c>
      <c r="L33" s="59">
        <f t="shared" si="27"/>
        <v>10104</v>
      </c>
      <c r="M33" s="42">
        <f>L33/K33*100</f>
        <v>100</v>
      </c>
      <c r="N33" s="59">
        <f t="shared" si="27"/>
        <v>8952.1</v>
      </c>
      <c r="O33" s="59">
        <f t="shared" si="27"/>
        <v>8952.1</v>
      </c>
      <c r="P33" s="42">
        <f>O33/N33*100</f>
        <v>100</v>
      </c>
      <c r="Q33" s="59">
        <f t="shared" si="27"/>
        <v>11041.9</v>
      </c>
      <c r="R33" s="59">
        <f t="shared" ref="R33" si="47">R13+R18+R23+R28</f>
        <v>11041.9</v>
      </c>
      <c r="S33" s="42">
        <f>R33/Q33*100</f>
        <v>100</v>
      </c>
      <c r="T33" s="59">
        <f t="shared" si="27"/>
        <v>9192.1</v>
      </c>
      <c r="U33" s="59">
        <f t="shared" ref="U33" si="48">U13+U18+U23+U28</f>
        <v>9618.1</v>
      </c>
      <c r="V33" s="42">
        <f>U33/T33*100</f>
        <v>104.63441433404772</v>
      </c>
      <c r="W33" s="59">
        <f t="shared" si="27"/>
        <v>10668.1</v>
      </c>
      <c r="X33" s="59">
        <f t="shared" ref="X33" si="49">X13+X18+X23+X28</f>
        <v>10242.1</v>
      </c>
      <c r="Y33" s="42">
        <f>X33/W33*100</f>
        <v>96.006786588052222</v>
      </c>
      <c r="Z33" s="59">
        <f t="shared" si="27"/>
        <v>11115.2</v>
      </c>
      <c r="AA33" s="59">
        <f t="shared" ref="AA33" si="50">AA13+AA18+AA23+AA28</f>
        <v>11515.2</v>
      </c>
      <c r="AB33" s="42">
        <f>AA33/Z33*100</f>
        <v>103.59867568734707</v>
      </c>
      <c r="AC33" s="59">
        <f t="shared" si="27"/>
        <v>7858.4</v>
      </c>
      <c r="AD33" s="59">
        <f t="shared" ref="AD33" si="51">AD13+AD18+AD23+AD28</f>
        <v>7788.4</v>
      </c>
      <c r="AE33" s="42">
        <f>AD33/AC33*100</f>
        <v>99.109233431741828</v>
      </c>
      <c r="AF33" s="59">
        <f t="shared" si="27"/>
        <v>7117.5</v>
      </c>
      <c r="AG33" s="59">
        <f t="shared" ref="AG33" si="52">AG13+AG18+AG23+AG28</f>
        <v>6787.5</v>
      </c>
      <c r="AH33" s="42">
        <f>AG33/AF33*100</f>
        <v>95.363540569020017</v>
      </c>
      <c r="AI33" s="59">
        <f t="shared" si="27"/>
        <v>9851.5</v>
      </c>
      <c r="AJ33" s="59">
        <f t="shared" ref="AJ33" si="53">AJ13+AJ18+AJ23+AJ28</f>
        <v>10111.5</v>
      </c>
      <c r="AK33" s="42">
        <f>AJ33/AI33*100</f>
        <v>102.63919200121809</v>
      </c>
      <c r="AL33" s="59">
        <f t="shared" si="27"/>
        <v>9018.7000000000007</v>
      </c>
      <c r="AM33" s="59">
        <f t="shared" ref="AM33" si="54">AM13+AM18+AM23+AM28</f>
        <v>9018.7000000000007</v>
      </c>
      <c r="AN33" s="42">
        <f>AM33/AL33*100</f>
        <v>100</v>
      </c>
      <c r="AO33" s="59">
        <f t="shared" si="27"/>
        <v>14039</v>
      </c>
      <c r="AP33" s="59">
        <f t="shared" ref="AP33" si="55">AP13+AP18+AP23+AP28</f>
        <v>13779</v>
      </c>
      <c r="AQ33" s="42">
        <f>AP33/AO33*100</f>
        <v>98.14801624047297</v>
      </c>
      <c r="AR33" s="52"/>
      <c r="AS33" s="52"/>
      <c r="AT33" s="43">
        <f t="shared" si="10"/>
        <v>1.0026898963355335</v>
      </c>
      <c r="AU33" s="108">
        <f t="shared" si="3"/>
        <v>20794.599999999999</v>
      </c>
      <c r="AV33" s="108">
        <f t="shared" si="4"/>
        <v>30902.1</v>
      </c>
      <c r="AW33" s="108">
        <f t="shared" si="5"/>
        <v>26091.1</v>
      </c>
      <c r="AX33" s="109">
        <f t="shared" si="6"/>
        <v>32909.199999999997</v>
      </c>
      <c r="AY33" s="61">
        <f t="shared" si="37"/>
        <v>107864.2</v>
      </c>
      <c r="AZ33" s="55">
        <f t="shared" si="7"/>
        <v>-2832.7999999999884</v>
      </c>
    </row>
    <row r="34" spans="1:52" ht="12.75" customHeight="1" thickBot="1">
      <c r="A34" s="153"/>
      <c r="B34" s="153"/>
      <c r="C34" s="153"/>
      <c r="D34" s="58" t="s">
        <v>24</v>
      </c>
      <c r="E34" s="59">
        <f t="shared" si="14"/>
        <v>0</v>
      </c>
      <c r="F34" s="59">
        <f t="shared" si="14"/>
        <v>0</v>
      </c>
      <c r="G34" s="111"/>
      <c r="H34" s="59">
        <f t="shared" si="26"/>
        <v>0</v>
      </c>
      <c r="I34" s="59">
        <f t="shared" si="26"/>
        <v>0</v>
      </c>
      <c r="J34" s="59"/>
      <c r="K34" s="59">
        <f t="shared" si="27"/>
        <v>0</v>
      </c>
      <c r="L34" s="59">
        <f t="shared" si="27"/>
        <v>0</v>
      </c>
      <c r="M34" s="59"/>
      <c r="N34" s="59">
        <f t="shared" si="27"/>
        <v>0</v>
      </c>
      <c r="O34" s="59">
        <f t="shared" si="27"/>
        <v>0</v>
      </c>
      <c r="P34" s="59"/>
      <c r="Q34" s="59">
        <f t="shared" si="27"/>
        <v>0</v>
      </c>
      <c r="R34" s="59">
        <f t="shared" ref="R34" si="56">R14+R19+R24+R29</f>
        <v>0</v>
      </c>
      <c r="S34" s="59"/>
      <c r="T34" s="59">
        <f t="shared" si="27"/>
        <v>0</v>
      </c>
      <c r="U34" s="59">
        <f t="shared" ref="U34" si="57">U14+U19+U24+U29</f>
        <v>0</v>
      </c>
      <c r="V34" s="59"/>
      <c r="W34" s="59">
        <f t="shared" si="27"/>
        <v>0</v>
      </c>
      <c r="X34" s="59">
        <f t="shared" si="27"/>
        <v>0</v>
      </c>
      <c r="Y34" s="59"/>
      <c r="Z34" s="59">
        <f t="shared" si="27"/>
        <v>0</v>
      </c>
      <c r="AA34" s="59">
        <f t="shared" ref="AA34" si="58">AA14+AA19+AA24+AA29</f>
        <v>0</v>
      </c>
      <c r="AB34" s="59"/>
      <c r="AC34" s="59">
        <f t="shared" si="27"/>
        <v>0</v>
      </c>
      <c r="AD34" s="59">
        <f t="shared" ref="AD34" si="59">AD14+AD19+AD24+AD29</f>
        <v>0</v>
      </c>
      <c r="AE34" s="59"/>
      <c r="AF34" s="59">
        <f t="shared" si="27"/>
        <v>0</v>
      </c>
      <c r="AG34" s="59"/>
      <c r="AH34" s="59"/>
      <c r="AI34" s="59">
        <f t="shared" si="27"/>
        <v>0</v>
      </c>
      <c r="AJ34" s="59"/>
      <c r="AK34" s="59"/>
      <c r="AL34" s="59">
        <f t="shared" si="27"/>
        <v>0</v>
      </c>
      <c r="AM34" s="59"/>
      <c r="AN34" s="59"/>
      <c r="AO34" s="59">
        <f t="shared" si="27"/>
        <v>0</v>
      </c>
      <c r="AP34" s="59">
        <f t="shared" ref="AP34" si="60">AP14+AP19+AP24+AP29</f>
        <v>0</v>
      </c>
      <c r="AQ34" s="40"/>
      <c r="AR34" s="52"/>
      <c r="AS34" s="52"/>
      <c r="AT34" s="43"/>
      <c r="AU34" s="55">
        <f t="shared" si="3"/>
        <v>0</v>
      </c>
      <c r="AV34" s="55">
        <f t="shared" si="4"/>
        <v>0</v>
      </c>
      <c r="AW34" s="55">
        <f t="shared" si="5"/>
        <v>0</v>
      </c>
      <c r="AX34" s="55">
        <f t="shared" si="6"/>
        <v>0</v>
      </c>
      <c r="AY34" s="62">
        <f t="shared" si="37"/>
        <v>0</v>
      </c>
      <c r="AZ34" s="55">
        <f t="shared" si="7"/>
        <v>0</v>
      </c>
    </row>
    <row r="35" spans="1:52" ht="15.75" customHeight="1">
      <c r="A35" s="115" t="s">
        <v>75</v>
      </c>
      <c r="B35" s="53" t="s">
        <v>8</v>
      </c>
      <c r="C35" s="53"/>
      <c r="D35" s="53"/>
      <c r="E35" s="112"/>
      <c r="F35" s="112"/>
      <c r="G35" s="11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2"/>
      <c r="AS35" s="52"/>
      <c r="AT35" s="43"/>
      <c r="AU35" s="55">
        <f t="shared" si="3"/>
        <v>0</v>
      </c>
      <c r="AV35" s="55">
        <f t="shared" si="4"/>
        <v>0</v>
      </c>
      <c r="AW35" s="55">
        <f t="shared" si="5"/>
        <v>0</v>
      </c>
      <c r="AX35" s="55">
        <f t="shared" si="6"/>
        <v>0</v>
      </c>
      <c r="AZ35" s="55">
        <f t="shared" si="7"/>
        <v>0</v>
      </c>
    </row>
    <row r="36" spans="1:52" ht="15.75" customHeight="1">
      <c r="A36" s="152" t="s">
        <v>74</v>
      </c>
      <c r="B36" s="152" t="s">
        <v>115</v>
      </c>
      <c r="C36" s="152" t="s">
        <v>6</v>
      </c>
      <c r="D36" s="54" t="s">
        <v>3</v>
      </c>
      <c r="E36" s="40">
        <f t="shared" ref="E36:F51" si="61">H36+K36+N36+Q36+T36+W36+Z36+AC36+AF36+AI36+AL36+AO36</f>
        <v>31.2</v>
      </c>
      <c r="F36" s="40">
        <f t="shared" si="61"/>
        <v>31.2</v>
      </c>
      <c r="G36" s="41">
        <f>F36/E36*100</f>
        <v>100</v>
      </c>
      <c r="H36" s="40">
        <f>H37+H38+H39+H40</f>
        <v>0</v>
      </c>
      <c r="I36" s="40"/>
      <c r="J36" s="40"/>
      <c r="K36" s="40">
        <f t="shared" ref="K36:AP36" si="62">K37+K38+K39+K40</f>
        <v>0</v>
      </c>
      <c r="L36" s="40"/>
      <c r="M36" s="40"/>
      <c r="N36" s="40">
        <f t="shared" si="62"/>
        <v>0</v>
      </c>
      <c r="O36" s="40"/>
      <c r="P36" s="40"/>
      <c r="Q36" s="40">
        <f t="shared" si="62"/>
        <v>0</v>
      </c>
      <c r="R36" s="40"/>
      <c r="S36" s="40"/>
      <c r="T36" s="40">
        <f t="shared" si="62"/>
        <v>0</v>
      </c>
      <c r="U36" s="40"/>
      <c r="V36" s="40"/>
      <c r="W36" s="40">
        <f t="shared" si="62"/>
        <v>0</v>
      </c>
      <c r="X36" s="40"/>
      <c r="Y36" s="40"/>
      <c r="Z36" s="40">
        <f t="shared" si="62"/>
        <v>0</v>
      </c>
      <c r="AA36" s="40"/>
      <c r="AB36" s="40"/>
      <c r="AC36" s="40">
        <f t="shared" si="62"/>
        <v>0</v>
      </c>
      <c r="AD36" s="40"/>
      <c r="AE36" s="40"/>
      <c r="AF36" s="40">
        <f t="shared" si="62"/>
        <v>0</v>
      </c>
      <c r="AG36" s="40"/>
      <c r="AH36" s="40"/>
      <c r="AI36" s="40">
        <f t="shared" si="62"/>
        <v>0</v>
      </c>
      <c r="AJ36" s="40"/>
      <c r="AK36" s="40"/>
      <c r="AL36" s="40">
        <f t="shared" si="62"/>
        <v>0</v>
      </c>
      <c r="AM36" s="40"/>
      <c r="AN36" s="40"/>
      <c r="AO36" s="40">
        <f t="shared" si="62"/>
        <v>31.2</v>
      </c>
      <c r="AP36" s="40">
        <f t="shared" si="62"/>
        <v>31.2</v>
      </c>
      <c r="AQ36" s="41">
        <f>AP36/AO36*100</f>
        <v>100</v>
      </c>
      <c r="AR36" s="52"/>
      <c r="AS36" s="52"/>
      <c r="AT36" s="43"/>
      <c r="AU36" s="55">
        <f t="shared" si="3"/>
        <v>0</v>
      </c>
      <c r="AV36" s="55">
        <f t="shared" si="4"/>
        <v>0</v>
      </c>
      <c r="AW36" s="55">
        <f t="shared" si="5"/>
        <v>0</v>
      </c>
      <c r="AX36" s="55">
        <f t="shared" si="6"/>
        <v>31.2</v>
      </c>
      <c r="AZ36" s="55">
        <f t="shared" si="7"/>
        <v>-31.2</v>
      </c>
    </row>
    <row r="37" spans="1:52" ht="13.5" customHeight="1">
      <c r="A37" s="152"/>
      <c r="B37" s="152"/>
      <c r="C37" s="152"/>
      <c r="D37" s="54" t="s">
        <v>23</v>
      </c>
      <c r="E37" s="40">
        <f t="shared" si="61"/>
        <v>0</v>
      </c>
      <c r="F37" s="40">
        <f t="shared" si="61"/>
        <v>0</v>
      </c>
      <c r="G37" s="11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38"/>
      <c r="AR37" s="52"/>
      <c r="AS37" s="52"/>
      <c r="AT37" s="43"/>
      <c r="AU37" s="55">
        <f t="shared" si="3"/>
        <v>0</v>
      </c>
      <c r="AV37" s="55">
        <f t="shared" si="4"/>
        <v>0</v>
      </c>
      <c r="AW37" s="55">
        <f t="shared" si="5"/>
        <v>0</v>
      </c>
      <c r="AX37" s="55">
        <f t="shared" si="6"/>
        <v>0</v>
      </c>
      <c r="AZ37" s="55">
        <f t="shared" si="7"/>
        <v>0</v>
      </c>
    </row>
    <row r="38" spans="1:52" ht="24">
      <c r="A38" s="152"/>
      <c r="B38" s="152"/>
      <c r="C38" s="152"/>
      <c r="D38" s="54" t="s">
        <v>4</v>
      </c>
      <c r="E38" s="40">
        <f t="shared" si="61"/>
        <v>0</v>
      </c>
      <c r="F38" s="40">
        <f t="shared" si="61"/>
        <v>0</v>
      </c>
      <c r="G38" s="41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41"/>
      <c r="AR38" s="52"/>
      <c r="AS38" s="52"/>
      <c r="AT38" s="43"/>
      <c r="AU38" s="55">
        <f t="shared" si="3"/>
        <v>0</v>
      </c>
      <c r="AV38" s="55">
        <f t="shared" si="4"/>
        <v>0</v>
      </c>
      <c r="AW38" s="55">
        <f t="shared" si="5"/>
        <v>0</v>
      </c>
      <c r="AX38" s="55">
        <f t="shared" si="6"/>
        <v>0</v>
      </c>
      <c r="AZ38" s="55">
        <f t="shared" si="7"/>
        <v>0</v>
      </c>
    </row>
    <row r="39" spans="1:52" ht="48">
      <c r="A39" s="152"/>
      <c r="B39" s="152"/>
      <c r="C39" s="152"/>
      <c r="D39" s="54" t="s">
        <v>70</v>
      </c>
      <c r="E39" s="40">
        <f t="shared" si="61"/>
        <v>31.2</v>
      </c>
      <c r="F39" s="40">
        <f t="shared" si="61"/>
        <v>31.2</v>
      </c>
      <c r="G39" s="41">
        <f>F39/E39*100</f>
        <v>100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>
        <v>31.2</v>
      </c>
      <c r="AP39" s="40">
        <v>31.2</v>
      </c>
      <c r="AQ39" s="41">
        <f>AP39/AO39*100</f>
        <v>100</v>
      </c>
      <c r="AR39" s="116" t="s">
        <v>169</v>
      </c>
      <c r="AS39" s="52"/>
      <c r="AT39" s="43"/>
      <c r="AU39" s="55">
        <f t="shared" si="3"/>
        <v>0</v>
      </c>
      <c r="AV39" s="55">
        <f t="shared" si="4"/>
        <v>0</v>
      </c>
      <c r="AW39" s="55">
        <f t="shared" si="5"/>
        <v>0</v>
      </c>
      <c r="AX39" s="55">
        <f t="shared" si="6"/>
        <v>31.2</v>
      </c>
      <c r="AZ39" s="55">
        <f t="shared" si="7"/>
        <v>-31.2</v>
      </c>
    </row>
    <row r="40" spans="1:52" ht="15.75">
      <c r="A40" s="152"/>
      <c r="B40" s="152"/>
      <c r="C40" s="152"/>
      <c r="D40" s="54" t="s">
        <v>24</v>
      </c>
      <c r="E40" s="40">
        <f t="shared" si="61"/>
        <v>0</v>
      </c>
      <c r="F40" s="40">
        <f t="shared" si="61"/>
        <v>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52"/>
      <c r="AS40" s="52"/>
      <c r="AT40" s="43"/>
      <c r="AU40" s="55">
        <f t="shared" si="3"/>
        <v>0</v>
      </c>
      <c r="AV40" s="55">
        <f t="shared" si="4"/>
        <v>0</v>
      </c>
      <c r="AW40" s="55">
        <f t="shared" si="5"/>
        <v>0</v>
      </c>
      <c r="AX40" s="55">
        <f t="shared" si="6"/>
        <v>0</v>
      </c>
      <c r="AZ40" s="55">
        <f t="shared" si="7"/>
        <v>0</v>
      </c>
    </row>
    <row r="41" spans="1:52" ht="15" customHeight="1">
      <c r="A41" s="152" t="s">
        <v>76</v>
      </c>
      <c r="B41" s="152" t="s">
        <v>116</v>
      </c>
      <c r="C41" s="152" t="s">
        <v>160</v>
      </c>
      <c r="D41" s="54" t="s">
        <v>3</v>
      </c>
      <c r="E41" s="40">
        <f t="shared" si="61"/>
        <v>6396.5</v>
      </c>
      <c r="F41" s="40">
        <f t="shared" si="61"/>
        <v>24</v>
      </c>
      <c r="G41" s="41">
        <f>F41/E41*100</f>
        <v>0.37520519033846639</v>
      </c>
      <c r="H41" s="40">
        <f>H42+H43+H44+H45</f>
        <v>0</v>
      </c>
      <c r="I41" s="40"/>
      <c r="J41" s="40"/>
      <c r="K41" s="40">
        <f t="shared" ref="K41:AP41" si="63">K42+K43+K44+K45</f>
        <v>0</v>
      </c>
      <c r="L41" s="40"/>
      <c r="M41" s="40"/>
      <c r="N41" s="40">
        <f t="shared" si="63"/>
        <v>0</v>
      </c>
      <c r="O41" s="40"/>
      <c r="P41" s="40"/>
      <c r="Q41" s="40">
        <f t="shared" si="63"/>
        <v>0</v>
      </c>
      <c r="R41" s="40"/>
      <c r="S41" s="40"/>
      <c r="T41" s="40">
        <f t="shared" si="63"/>
        <v>0</v>
      </c>
      <c r="U41" s="40"/>
      <c r="V41" s="40"/>
      <c r="W41" s="40">
        <f t="shared" si="63"/>
        <v>0</v>
      </c>
      <c r="X41" s="40"/>
      <c r="Y41" s="40"/>
      <c r="Z41" s="40">
        <f t="shared" si="63"/>
        <v>0</v>
      </c>
      <c r="AA41" s="40"/>
      <c r="AB41" s="40"/>
      <c r="AC41" s="40">
        <f t="shared" si="63"/>
        <v>0</v>
      </c>
      <c r="AD41" s="40"/>
      <c r="AE41" s="40"/>
      <c r="AF41" s="40">
        <f t="shared" si="63"/>
        <v>0</v>
      </c>
      <c r="AG41" s="40"/>
      <c r="AH41" s="40"/>
      <c r="AI41" s="40">
        <f t="shared" si="63"/>
        <v>0</v>
      </c>
      <c r="AJ41" s="40"/>
      <c r="AK41" s="40"/>
      <c r="AL41" s="40">
        <f t="shared" si="63"/>
        <v>0</v>
      </c>
      <c r="AM41" s="40"/>
      <c r="AN41" s="40"/>
      <c r="AO41" s="40">
        <f t="shared" si="63"/>
        <v>6396.5</v>
      </c>
      <c r="AP41" s="40">
        <f t="shared" si="63"/>
        <v>24</v>
      </c>
      <c r="AQ41" s="40">
        <f t="shared" ref="AQ41:AQ44" si="64">AT41+AW41+AZ41+BC41+BF41+BI41+BL41+BO41+BR41+BU41+BX41+CA41</f>
        <v>-2944.5</v>
      </c>
      <c r="AR41" s="90"/>
      <c r="AS41" s="90"/>
      <c r="AT41" s="43"/>
      <c r="AU41" s="55">
        <f t="shared" si="3"/>
        <v>0</v>
      </c>
      <c r="AV41" s="55">
        <f t="shared" si="4"/>
        <v>0</v>
      </c>
      <c r="AW41" s="55">
        <f t="shared" si="5"/>
        <v>0</v>
      </c>
      <c r="AX41" s="55">
        <f t="shared" si="6"/>
        <v>6396.5</v>
      </c>
      <c r="AY41" s="56">
        <f>AY44</f>
        <v>3452</v>
      </c>
      <c r="AZ41" s="55">
        <f t="shared" si="7"/>
        <v>-2944.5</v>
      </c>
    </row>
    <row r="42" spans="1:52" ht="15" customHeight="1">
      <c r="A42" s="152"/>
      <c r="B42" s="152"/>
      <c r="C42" s="152"/>
      <c r="D42" s="54" t="s">
        <v>23</v>
      </c>
      <c r="E42" s="40">
        <f t="shared" si="61"/>
        <v>0</v>
      </c>
      <c r="F42" s="40">
        <f t="shared" si="61"/>
        <v>0</v>
      </c>
      <c r="G42" s="11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>
        <f t="shared" si="64"/>
        <v>0</v>
      </c>
      <c r="AR42" s="52"/>
      <c r="AS42" s="52"/>
      <c r="AT42" s="43"/>
      <c r="AU42" s="55">
        <f t="shared" si="3"/>
        <v>0</v>
      </c>
      <c r="AV42" s="55">
        <f t="shared" si="4"/>
        <v>0</v>
      </c>
      <c r="AW42" s="55">
        <f t="shared" si="5"/>
        <v>0</v>
      </c>
      <c r="AX42" s="55">
        <f t="shared" si="6"/>
        <v>0</v>
      </c>
      <c r="AZ42" s="55">
        <f t="shared" si="7"/>
        <v>0</v>
      </c>
    </row>
    <row r="43" spans="1:52" ht="24">
      <c r="A43" s="152"/>
      <c r="B43" s="152"/>
      <c r="C43" s="152"/>
      <c r="D43" s="54" t="s">
        <v>4</v>
      </c>
      <c r="E43" s="40">
        <f t="shared" si="61"/>
        <v>0</v>
      </c>
      <c r="F43" s="40">
        <f t="shared" si="61"/>
        <v>0</v>
      </c>
      <c r="G43" s="41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>
        <f t="shared" si="64"/>
        <v>0</v>
      </c>
      <c r="AR43" s="52"/>
      <c r="AS43" s="52"/>
      <c r="AT43" s="43"/>
      <c r="AU43" s="55">
        <f t="shared" si="3"/>
        <v>0</v>
      </c>
      <c r="AV43" s="55">
        <f t="shared" si="4"/>
        <v>0</v>
      </c>
      <c r="AW43" s="55">
        <f t="shared" si="5"/>
        <v>0</v>
      </c>
      <c r="AX43" s="55">
        <f t="shared" si="6"/>
        <v>0</v>
      </c>
      <c r="AZ43" s="55">
        <f t="shared" si="7"/>
        <v>0</v>
      </c>
    </row>
    <row r="44" spans="1:52" ht="252" customHeight="1">
      <c r="A44" s="152"/>
      <c r="B44" s="152"/>
      <c r="C44" s="152"/>
      <c r="D44" s="54" t="s">
        <v>70</v>
      </c>
      <c r="E44" s="40">
        <f t="shared" si="61"/>
        <v>6396.5</v>
      </c>
      <c r="F44" s="40">
        <f t="shared" si="61"/>
        <v>24</v>
      </c>
      <c r="G44" s="41">
        <f>F44/E44*100</f>
        <v>0.37520519033846639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>
        <f>5600-4400-1200</f>
        <v>0</v>
      </c>
      <c r="AJ44" s="40"/>
      <c r="AK44" s="40"/>
      <c r="AL44" s="40"/>
      <c r="AM44" s="40"/>
      <c r="AN44" s="40"/>
      <c r="AO44" s="40">
        <v>6396.5</v>
      </c>
      <c r="AP44" s="40">
        <v>24</v>
      </c>
      <c r="AQ44" s="40">
        <f t="shared" si="64"/>
        <v>-2944.5</v>
      </c>
      <c r="AR44" s="99" t="s">
        <v>165</v>
      </c>
      <c r="AS44" s="119" t="s">
        <v>195</v>
      </c>
      <c r="AT44" s="43"/>
      <c r="AU44" s="55">
        <f t="shared" si="3"/>
        <v>0</v>
      </c>
      <c r="AV44" s="55">
        <f t="shared" si="4"/>
        <v>0</v>
      </c>
      <c r="AW44" s="55">
        <f t="shared" si="5"/>
        <v>0</v>
      </c>
      <c r="AX44" s="57">
        <f t="shared" si="6"/>
        <v>6396.5</v>
      </c>
      <c r="AY44" s="56">
        <v>3452</v>
      </c>
      <c r="AZ44" s="55">
        <f t="shared" si="7"/>
        <v>-2944.5</v>
      </c>
    </row>
    <row r="45" spans="1:52" ht="16.5" customHeight="1">
      <c r="A45" s="152"/>
      <c r="B45" s="152"/>
      <c r="C45" s="152"/>
      <c r="D45" s="54" t="s">
        <v>24</v>
      </c>
      <c r="E45" s="40">
        <f t="shared" si="61"/>
        <v>0</v>
      </c>
      <c r="F45" s="40">
        <f t="shared" si="61"/>
        <v>0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90"/>
      <c r="AS45" s="90"/>
      <c r="AT45" s="43"/>
      <c r="AU45" s="55">
        <f t="shared" si="3"/>
        <v>0</v>
      </c>
      <c r="AV45" s="55">
        <f t="shared" si="4"/>
        <v>0</v>
      </c>
      <c r="AW45" s="55">
        <f t="shared" si="5"/>
        <v>0</v>
      </c>
      <c r="AX45" s="55">
        <f t="shared" si="6"/>
        <v>0</v>
      </c>
      <c r="AZ45" s="55">
        <f t="shared" si="7"/>
        <v>0</v>
      </c>
    </row>
    <row r="46" spans="1:52" ht="15.75" customHeight="1">
      <c r="A46" s="152" t="s">
        <v>77</v>
      </c>
      <c r="B46" s="152" t="s">
        <v>117</v>
      </c>
      <c r="C46" s="152" t="s">
        <v>161</v>
      </c>
      <c r="D46" s="54" t="s">
        <v>3</v>
      </c>
      <c r="E46" s="40">
        <f t="shared" si="61"/>
        <v>0</v>
      </c>
      <c r="F46" s="40">
        <f t="shared" si="61"/>
        <v>0</v>
      </c>
      <c r="G46" s="40"/>
      <c r="H46" s="40">
        <f>H47+H48+H49+H50</f>
        <v>0</v>
      </c>
      <c r="I46" s="40"/>
      <c r="J46" s="40"/>
      <c r="K46" s="40">
        <f t="shared" ref="K46:AO46" si="65">K47+K48+K49+K50</f>
        <v>0</v>
      </c>
      <c r="L46" s="40"/>
      <c r="M46" s="40"/>
      <c r="N46" s="40">
        <f t="shared" si="65"/>
        <v>0</v>
      </c>
      <c r="O46" s="40"/>
      <c r="P46" s="40"/>
      <c r="Q46" s="40">
        <f t="shared" si="65"/>
        <v>0</v>
      </c>
      <c r="R46" s="40"/>
      <c r="S46" s="40"/>
      <c r="T46" s="40">
        <f t="shared" si="65"/>
        <v>0</v>
      </c>
      <c r="U46" s="40"/>
      <c r="V46" s="40"/>
      <c r="W46" s="40">
        <f t="shared" si="65"/>
        <v>0</v>
      </c>
      <c r="X46" s="40"/>
      <c r="Y46" s="40"/>
      <c r="Z46" s="40">
        <f t="shared" si="65"/>
        <v>0</v>
      </c>
      <c r="AA46" s="40"/>
      <c r="AB46" s="40"/>
      <c r="AC46" s="40">
        <f t="shared" si="65"/>
        <v>0</v>
      </c>
      <c r="AD46" s="40"/>
      <c r="AE46" s="40"/>
      <c r="AF46" s="40">
        <f t="shared" si="65"/>
        <v>0</v>
      </c>
      <c r="AG46" s="40"/>
      <c r="AH46" s="40"/>
      <c r="AI46" s="40">
        <f t="shared" si="65"/>
        <v>0</v>
      </c>
      <c r="AJ46" s="40"/>
      <c r="AK46" s="40"/>
      <c r="AL46" s="40">
        <f t="shared" si="65"/>
        <v>0</v>
      </c>
      <c r="AM46" s="40"/>
      <c r="AN46" s="40"/>
      <c r="AO46" s="40">
        <f t="shared" si="65"/>
        <v>0</v>
      </c>
      <c r="AP46" s="40"/>
      <c r="AQ46" s="40"/>
      <c r="AR46" s="52"/>
      <c r="AS46" s="52"/>
      <c r="AT46" s="43"/>
      <c r="AU46" s="55">
        <f t="shared" si="3"/>
        <v>0</v>
      </c>
      <c r="AV46" s="55">
        <f t="shared" si="4"/>
        <v>0</v>
      </c>
      <c r="AW46" s="55">
        <f t="shared" si="5"/>
        <v>0</v>
      </c>
      <c r="AX46" s="55">
        <f t="shared" si="6"/>
        <v>0</v>
      </c>
      <c r="AZ46" s="55">
        <f t="shared" si="7"/>
        <v>0</v>
      </c>
    </row>
    <row r="47" spans="1:52" ht="15.75">
      <c r="A47" s="152"/>
      <c r="B47" s="152"/>
      <c r="C47" s="152"/>
      <c r="D47" s="54" t="s">
        <v>23</v>
      </c>
      <c r="E47" s="40">
        <f t="shared" si="61"/>
        <v>0</v>
      </c>
      <c r="F47" s="40">
        <f t="shared" si="61"/>
        <v>0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52"/>
      <c r="AS47" s="52"/>
      <c r="AT47" s="43"/>
      <c r="AU47" s="55">
        <f t="shared" si="3"/>
        <v>0</v>
      </c>
      <c r="AV47" s="55">
        <f t="shared" si="4"/>
        <v>0</v>
      </c>
      <c r="AW47" s="55">
        <f t="shared" si="5"/>
        <v>0</v>
      </c>
      <c r="AX47" s="55">
        <f t="shared" si="6"/>
        <v>0</v>
      </c>
      <c r="AZ47" s="55">
        <f t="shared" si="7"/>
        <v>0</v>
      </c>
    </row>
    <row r="48" spans="1:52" ht="24">
      <c r="A48" s="152"/>
      <c r="B48" s="152"/>
      <c r="C48" s="152"/>
      <c r="D48" s="54" t="s">
        <v>4</v>
      </c>
      <c r="E48" s="40">
        <f t="shared" si="61"/>
        <v>0</v>
      </c>
      <c r="F48" s="40">
        <f t="shared" si="61"/>
        <v>0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52"/>
      <c r="AS48" s="52"/>
      <c r="AT48" s="43"/>
      <c r="AU48" s="55">
        <f t="shared" si="3"/>
        <v>0</v>
      </c>
      <c r="AV48" s="55">
        <f t="shared" si="4"/>
        <v>0</v>
      </c>
      <c r="AW48" s="55">
        <f t="shared" si="5"/>
        <v>0</v>
      </c>
      <c r="AX48" s="55">
        <f t="shared" si="6"/>
        <v>0</v>
      </c>
      <c r="AZ48" s="55">
        <f t="shared" si="7"/>
        <v>0</v>
      </c>
    </row>
    <row r="49" spans="1:52" ht="14.25" customHeight="1">
      <c r="A49" s="152"/>
      <c r="B49" s="152"/>
      <c r="C49" s="152"/>
      <c r="D49" s="54" t="s">
        <v>70</v>
      </c>
      <c r="E49" s="40">
        <f t="shared" si="61"/>
        <v>0</v>
      </c>
      <c r="F49" s="40">
        <f t="shared" si="61"/>
        <v>0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52"/>
      <c r="AS49" s="52"/>
      <c r="AT49" s="43"/>
      <c r="AU49" s="55">
        <f t="shared" si="3"/>
        <v>0</v>
      </c>
      <c r="AV49" s="55">
        <f t="shared" si="4"/>
        <v>0</v>
      </c>
      <c r="AW49" s="55">
        <f t="shared" si="5"/>
        <v>0</v>
      </c>
      <c r="AX49" s="55">
        <f t="shared" si="6"/>
        <v>0</v>
      </c>
      <c r="AZ49" s="55">
        <f t="shared" si="7"/>
        <v>0</v>
      </c>
    </row>
    <row r="50" spans="1:52" ht="16.5" customHeight="1">
      <c r="A50" s="152"/>
      <c r="B50" s="152"/>
      <c r="C50" s="152"/>
      <c r="D50" s="54" t="s">
        <v>24</v>
      </c>
      <c r="E50" s="40">
        <f t="shared" si="61"/>
        <v>0</v>
      </c>
      <c r="F50" s="40">
        <f t="shared" si="61"/>
        <v>0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52"/>
      <c r="AS50" s="52"/>
      <c r="AT50" s="43"/>
      <c r="AU50" s="55">
        <f t="shared" si="3"/>
        <v>0</v>
      </c>
      <c r="AV50" s="55">
        <f t="shared" si="4"/>
        <v>0</v>
      </c>
      <c r="AW50" s="55">
        <f t="shared" si="5"/>
        <v>0</v>
      </c>
      <c r="AX50" s="55">
        <f t="shared" si="6"/>
        <v>0</v>
      </c>
      <c r="AZ50" s="55">
        <f t="shared" si="7"/>
        <v>0</v>
      </c>
    </row>
    <row r="51" spans="1:52" ht="15.75" customHeight="1">
      <c r="A51" s="152" t="s">
        <v>78</v>
      </c>
      <c r="B51" s="152" t="s">
        <v>118</v>
      </c>
      <c r="C51" s="152" t="s">
        <v>6</v>
      </c>
      <c r="D51" s="54" t="s">
        <v>3</v>
      </c>
      <c r="E51" s="40">
        <f t="shared" si="61"/>
        <v>0</v>
      </c>
      <c r="F51" s="40">
        <f t="shared" si="61"/>
        <v>0</v>
      </c>
      <c r="G51" s="40"/>
      <c r="H51" s="40">
        <f>H52+H53+H54+H55</f>
        <v>0</v>
      </c>
      <c r="I51" s="40"/>
      <c r="J51" s="40"/>
      <c r="K51" s="40">
        <f t="shared" ref="K51:AO51" si="66">K52+K53+K54+K55</f>
        <v>0</v>
      </c>
      <c r="L51" s="40"/>
      <c r="M51" s="40"/>
      <c r="N51" s="40">
        <f t="shared" si="66"/>
        <v>0</v>
      </c>
      <c r="O51" s="40"/>
      <c r="P51" s="40"/>
      <c r="Q51" s="40">
        <f t="shared" si="66"/>
        <v>0</v>
      </c>
      <c r="R51" s="40"/>
      <c r="S51" s="40"/>
      <c r="T51" s="40">
        <f t="shared" si="66"/>
        <v>0</v>
      </c>
      <c r="U51" s="40"/>
      <c r="V51" s="40"/>
      <c r="W51" s="40">
        <f t="shared" si="66"/>
        <v>0</v>
      </c>
      <c r="X51" s="40"/>
      <c r="Y51" s="40"/>
      <c r="Z51" s="40">
        <f t="shared" si="66"/>
        <v>0</v>
      </c>
      <c r="AA51" s="40"/>
      <c r="AB51" s="40"/>
      <c r="AC51" s="40">
        <f t="shared" si="66"/>
        <v>0</v>
      </c>
      <c r="AD51" s="40"/>
      <c r="AE51" s="40"/>
      <c r="AF51" s="40">
        <f t="shared" si="66"/>
        <v>0</v>
      </c>
      <c r="AG51" s="40"/>
      <c r="AH51" s="40"/>
      <c r="AI51" s="40">
        <f t="shared" si="66"/>
        <v>0</v>
      </c>
      <c r="AJ51" s="40"/>
      <c r="AK51" s="40"/>
      <c r="AL51" s="40">
        <f t="shared" si="66"/>
        <v>0</v>
      </c>
      <c r="AM51" s="40"/>
      <c r="AN51" s="40"/>
      <c r="AO51" s="40">
        <f t="shared" si="66"/>
        <v>0</v>
      </c>
      <c r="AP51" s="40"/>
      <c r="AQ51" s="40"/>
      <c r="AR51" s="52"/>
      <c r="AS51" s="52"/>
      <c r="AT51" s="43"/>
      <c r="AU51" s="55">
        <f t="shared" si="3"/>
        <v>0</v>
      </c>
      <c r="AV51" s="55">
        <f t="shared" si="4"/>
        <v>0</v>
      </c>
      <c r="AW51" s="55">
        <f t="shared" si="5"/>
        <v>0</v>
      </c>
      <c r="AX51" s="55">
        <f t="shared" si="6"/>
        <v>0</v>
      </c>
      <c r="AZ51" s="55">
        <f t="shared" si="7"/>
        <v>0</v>
      </c>
    </row>
    <row r="52" spans="1:52" ht="15.75">
      <c r="A52" s="152"/>
      <c r="B52" s="152"/>
      <c r="C52" s="152"/>
      <c r="D52" s="54" t="s">
        <v>23</v>
      </c>
      <c r="E52" s="40">
        <f t="shared" ref="E52:F70" si="67">H52+K52+N52+Q52+T52+W52+Z52+AC52+AF52+AI52+AL52+AO52</f>
        <v>0</v>
      </c>
      <c r="F52" s="40">
        <f t="shared" si="67"/>
        <v>0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52"/>
      <c r="AS52" s="52"/>
      <c r="AT52" s="43"/>
      <c r="AU52" s="55">
        <f t="shared" si="3"/>
        <v>0</v>
      </c>
      <c r="AV52" s="55">
        <f t="shared" si="4"/>
        <v>0</v>
      </c>
      <c r="AW52" s="55">
        <f t="shared" si="5"/>
        <v>0</v>
      </c>
      <c r="AX52" s="55">
        <f t="shared" si="6"/>
        <v>0</v>
      </c>
      <c r="AZ52" s="55">
        <f t="shared" si="7"/>
        <v>0</v>
      </c>
    </row>
    <row r="53" spans="1:52" ht="24">
      <c r="A53" s="152"/>
      <c r="B53" s="152"/>
      <c r="C53" s="152"/>
      <c r="D53" s="54" t="s">
        <v>4</v>
      </c>
      <c r="E53" s="40">
        <f t="shared" si="67"/>
        <v>0</v>
      </c>
      <c r="F53" s="40">
        <f t="shared" si="67"/>
        <v>0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52"/>
      <c r="AS53" s="52"/>
      <c r="AT53" s="43"/>
      <c r="AU53" s="55">
        <f t="shared" si="3"/>
        <v>0</v>
      </c>
      <c r="AV53" s="55">
        <f t="shared" si="4"/>
        <v>0</v>
      </c>
      <c r="AW53" s="55">
        <f t="shared" si="5"/>
        <v>0</v>
      </c>
      <c r="AX53" s="55">
        <f t="shared" si="6"/>
        <v>0</v>
      </c>
      <c r="AZ53" s="55">
        <f t="shared" si="7"/>
        <v>0</v>
      </c>
    </row>
    <row r="54" spans="1:52" ht="14.25" customHeight="1">
      <c r="A54" s="152"/>
      <c r="B54" s="152"/>
      <c r="C54" s="152"/>
      <c r="D54" s="54" t="s">
        <v>70</v>
      </c>
      <c r="E54" s="40">
        <f t="shared" si="67"/>
        <v>0</v>
      </c>
      <c r="F54" s="40">
        <f t="shared" si="67"/>
        <v>0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52"/>
      <c r="AS54" s="52"/>
      <c r="AT54" s="43"/>
      <c r="AU54" s="55">
        <f t="shared" si="3"/>
        <v>0</v>
      </c>
      <c r="AV54" s="55">
        <f t="shared" si="4"/>
        <v>0</v>
      </c>
      <c r="AW54" s="55">
        <f t="shared" si="5"/>
        <v>0</v>
      </c>
      <c r="AX54" s="55">
        <f t="shared" si="6"/>
        <v>0</v>
      </c>
      <c r="AZ54" s="55">
        <f t="shared" si="7"/>
        <v>0</v>
      </c>
    </row>
    <row r="55" spans="1:52" ht="15.75">
      <c r="A55" s="152"/>
      <c r="B55" s="152"/>
      <c r="C55" s="152"/>
      <c r="D55" s="54" t="s">
        <v>24</v>
      </c>
      <c r="E55" s="40">
        <f t="shared" si="67"/>
        <v>0</v>
      </c>
      <c r="F55" s="40">
        <f t="shared" si="67"/>
        <v>0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52"/>
      <c r="AS55" s="52"/>
      <c r="AT55" s="43"/>
      <c r="AU55" s="55">
        <f t="shared" si="3"/>
        <v>0</v>
      </c>
      <c r="AV55" s="55">
        <f t="shared" si="4"/>
        <v>0</v>
      </c>
      <c r="AW55" s="55">
        <f t="shared" si="5"/>
        <v>0</v>
      </c>
      <c r="AX55" s="55">
        <f t="shared" si="6"/>
        <v>0</v>
      </c>
      <c r="AZ55" s="55">
        <f t="shared" si="7"/>
        <v>0</v>
      </c>
    </row>
    <row r="56" spans="1:52" ht="15.75" customHeight="1">
      <c r="A56" s="154" t="s">
        <v>79</v>
      </c>
      <c r="B56" s="152" t="s">
        <v>119</v>
      </c>
      <c r="C56" s="152" t="s">
        <v>162</v>
      </c>
      <c r="D56" s="54" t="s">
        <v>3</v>
      </c>
      <c r="E56" s="40">
        <f t="shared" si="67"/>
        <v>28072.799999999999</v>
      </c>
      <c r="F56" s="40">
        <f t="shared" si="67"/>
        <v>24672.699999999997</v>
      </c>
      <c r="G56" s="41">
        <f>F56/E56*100</f>
        <v>87.888276196175653</v>
      </c>
      <c r="H56" s="40">
        <f>H57+H58+H59+H60</f>
        <v>0</v>
      </c>
      <c r="I56" s="40"/>
      <c r="J56" s="40"/>
      <c r="K56" s="40">
        <f t="shared" ref="K56:AP56" si="68">K57+K58+K59+K60</f>
        <v>718.6</v>
      </c>
      <c r="L56" s="40">
        <f t="shared" si="68"/>
        <v>718.6</v>
      </c>
      <c r="M56" s="41">
        <f t="shared" ref="M56" si="69">L56/K56*100</f>
        <v>100</v>
      </c>
      <c r="N56" s="40">
        <f t="shared" si="68"/>
        <v>3981.4</v>
      </c>
      <c r="O56" s="40">
        <f t="shared" si="68"/>
        <v>1768.1</v>
      </c>
      <c r="P56" s="41">
        <f t="shared" ref="P56" si="70">O56/N56*100</f>
        <v>44.409001858642682</v>
      </c>
      <c r="Q56" s="40">
        <f t="shared" si="68"/>
        <v>1747.7</v>
      </c>
      <c r="R56" s="40">
        <f t="shared" si="68"/>
        <v>965</v>
      </c>
      <c r="S56" s="41">
        <f>R56/Q56*100</f>
        <v>55.215425988441943</v>
      </c>
      <c r="T56" s="40">
        <f t="shared" si="68"/>
        <v>0</v>
      </c>
      <c r="U56" s="40">
        <f t="shared" si="68"/>
        <v>599.20000000000005</v>
      </c>
      <c r="V56" s="38"/>
      <c r="W56" s="40">
        <f t="shared" si="68"/>
        <v>245</v>
      </c>
      <c r="X56" s="40">
        <f t="shared" si="68"/>
        <v>1634.5</v>
      </c>
      <c r="Y56" s="41">
        <f>X56/W56*100</f>
        <v>667.14285714285722</v>
      </c>
      <c r="Z56" s="40">
        <f t="shared" si="68"/>
        <v>276.39999999999998</v>
      </c>
      <c r="AA56" s="40">
        <f t="shared" si="68"/>
        <v>1016.6</v>
      </c>
      <c r="AB56" s="41">
        <f>AA56/Z56*100</f>
        <v>367.80028943560063</v>
      </c>
      <c r="AC56" s="40">
        <f t="shared" si="68"/>
        <v>732.9</v>
      </c>
      <c r="AD56" s="40">
        <f t="shared" si="68"/>
        <v>1922.3999999999999</v>
      </c>
      <c r="AE56" s="41">
        <f>AD56/AC56*100</f>
        <v>262.30045026606632</v>
      </c>
      <c r="AF56" s="40">
        <f t="shared" si="68"/>
        <v>10496.6</v>
      </c>
      <c r="AG56" s="40">
        <f t="shared" si="68"/>
        <v>3516.8</v>
      </c>
      <c r="AH56" s="41">
        <f>AG56/AF56*100</f>
        <v>33.504182306651678</v>
      </c>
      <c r="AI56" s="40">
        <f t="shared" si="68"/>
        <v>1540.7</v>
      </c>
      <c r="AJ56" s="40">
        <f t="shared" si="68"/>
        <v>4779</v>
      </c>
      <c r="AK56" s="41">
        <f>AJ56/AI56*100</f>
        <v>310.18368274161094</v>
      </c>
      <c r="AL56" s="40">
        <f t="shared" si="68"/>
        <v>4224.8</v>
      </c>
      <c r="AM56" s="40">
        <f t="shared" si="68"/>
        <v>2861.6</v>
      </c>
      <c r="AN56" s="41">
        <f>AM56/AL56*100</f>
        <v>67.733383828820294</v>
      </c>
      <c r="AO56" s="40">
        <f t="shared" si="68"/>
        <v>4108.7000000000007</v>
      </c>
      <c r="AP56" s="40">
        <f t="shared" si="68"/>
        <v>4890.8999999999996</v>
      </c>
      <c r="AQ56" s="41">
        <f>AP56/AO56*100</f>
        <v>119.03765181200863</v>
      </c>
      <c r="AR56" s="52"/>
      <c r="AS56" s="52"/>
      <c r="AT56" s="43">
        <f t="shared" si="10"/>
        <v>0.82547644184425872</v>
      </c>
      <c r="AU56" s="55">
        <f t="shared" si="3"/>
        <v>4700</v>
      </c>
      <c r="AV56" s="57">
        <f t="shared" si="4"/>
        <v>1992.7</v>
      </c>
      <c r="AW56" s="57">
        <f t="shared" si="5"/>
        <v>11505.9</v>
      </c>
      <c r="AX56" s="55">
        <f t="shared" si="6"/>
        <v>9874.2000000000007</v>
      </c>
      <c r="AY56" s="56">
        <f>AY59</f>
        <v>6548</v>
      </c>
      <c r="AZ56" s="55">
        <f t="shared" si="7"/>
        <v>-21524.800000000003</v>
      </c>
    </row>
    <row r="57" spans="1:52" ht="15.75">
      <c r="A57" s="154"/>
      <c r="B57" s="152"/>
      <c r="C57" s="152"/>
      <c r="D57" s="54" t="s">
        <v>23</v>
      </c>
      <c r="E57" s="40">
        <f t="shared" si="67"/>
        <v>0</v>
      </c>
      <c r="F57" s="40">
        <f t="shared" si="67"/>
        <v>0</v>
      </c>
      <c r="G57" s="110"/>
      <c r="H57" s="40"/>
      <c r="I57" s="40"/>
      <c r="J57" s="40"/>
      <c r="K57" s="40"/>
      <c r="L57" s="40"/>
      <c r="M57" s="41"/>
      <c r="N57" s="40"/>
      <c r="O57" s="40"/>
      <c r="P57" s="41"/>
      <c r="Q57" s="40"/>
      <c r="R57" s="40"/>
      <c r="S57" s="38"/>
      <c r="T57" s="40"/>
      <c r="U57" s="40"/>
      <c r="V57" s="38"/>
      <c r="W57" s="40"/>
      <c r="X57" s="40"/>
      <c r="Y57" s="38"/>
      <c r="Z57" s="40"/>
      <c r="AA57" s="40"/>
      <c r="AB57" s="38"/>
      <c r="AC57" s="40"/>
      <c r="AD57" s="40"/>
      <c r="AE57" s="38"/>
      <c r="AF57" s="40"/>
      <c r="AG57" s="40"/>
      <c r="AH57" s="38"/>
      <c r="AI57" s="40"/>
      <c r="AJ57" s="40"/>
      <c r="AK57" s="38"/>
      <c r="AL57" s="40"/>
      <c r="AM57" s="40"/>
      <c r="AN57" s="38"/>
      <c r="AO57" s="40"/>
      <c r="AP57" s="40"/>
      <c r="AQ57" s="38"/>
      <c r="AR57" s="52"/>
      <c r="AS57" s="52"/>
      <c r="AT57" s="43"/>
      <c r="AU57" s="55">
        <f t="shared" si="3"/>
        <v>0</v>
      </c>
      <c r="AV57" s="55">
        <f t="shared" si="4"/>
        <v>0</v>
      </c>
      <c r="AW57" s="55">
        <f t="shared" si="5"/>
        <v>0</v>
      </c>
      <c r="AX57" s="55">
        <f t="shared" si="6"/>
        <v>0</v>
      </c>
      <c r="AZ57" s="55">
        <f t="shared" si="7"/>
        <v>0</v>
      </c>
    </row>
    <row r="58" spans="1:52" ht="228.75" customHeight="1">
      <c r="A58" s="154"/>
      <c r="B58" s="152"/>
      <c r="C58" s="152"/>
      <c r="D58" s="54" t="s">
        <v>4</v>
      </c>
      <c r="E58" s="40">
        <f t="shared" si="67"/>
        <v>1728.1</v>
      </c>
      <c r="F58" s="40">
        <f t="shared" si="67"/>
        <v>1728.1</v>
      </c>
      <c r="G58" s="41">
        <f>F58/E58*100</f>
        <v>100</v>
      </c>
      <c r="H58" s="63"/>
      <c r="I58" s="63"/>
      <c r="J58" s="63"/>
      <c r="K58" s="63"/>
      <c r="L58" s="63"/>
      <c r="M58" s="41"/>
      <c r="N58" s="63"/>
      <c r="O58" s="63"/>
      <c r="P58" s="41"/>
      <c r="Q58" s="63"/>
      <c r="R58" s="63"/>
      <c r="S58" s="41"/>
      <c r="T58" s="63"/>
      <c r="U58" s="63"/>
      <c r="V58" s="38"/>
      <c r="W58" s="40">
        <f>195.7+245-195.7</f>
        <v>245</v>
      </c>
      <c r="X58" s="63">
        <v>245</v>
      </c>
      <c r="Y58" s="41">
        <f>X58/W58*100</f>
        <v>100</v>
      </c>
      <c r="Z58" s="63"/>
      <c r="AA58" s="63"/>
      <c r="AB58" s="38"/>
      <c r="AC58" s="63">
        <v>162.6</v>
      </c>
      <c r="AD58" s="63">
        <v>202.6</v>
      </c>
      <c r="AE58" s="41">
        <f>AD58/AC58*100</f>
        <v>124.60024600246003</v>
      </c>
      <c r="AF58" s="40">
        <v>155</v>
      </c>
      <c r="AG58" s="40">
        <v>115</v>
      </c>
      <c r="AH58" s="41">
        <f>AG58/AF58*100</f>
        <v>74.193548387096769</v>
      </c>
      <c r="AI58" s="40">
        <f>145+195.7</f>
        <v>340.7</v>
      </c>
      <c r="AJ58" s="40">
        <v>145</v>
      </c>
      <c r="AK58" s="41">
        <f>AJ58/AI58*100</f>
        <v>42.559436454358675</v>
      </c>
      <c r="AL58" s="97">
        <f>300+124.8+400</f>
        <v>824.8</v>
      </c>
      <c r="AM58" s="63">
        <v>824.80000000000007</v>
      </c>
      <c r="AN58" s="41">
        <f>AM58/AL58*100</f>
        <v>100.00000000000003</v>
      </c>
      <c r="AO58" s="63"/>
      <c r="AP58" s="63">
        <v>195.69999999999982</v>
      </c>
      <c r="AQ58" s="41"/>
      <c r="AR58" s="116" t="s">
        <v>170</v>
      </c>
      <c r="AS58" s="52"/>
      <c r="AT58" s="43">
        <f t="shared" si="10"/>
        <v>0.88675423875933113</v>
      </c>
      <c r="AU58" s="55">
        <f t="shared" si="3"/>
        <v>0</v>
      </c>
      <c r="AV58" s="55">
        <f t="shared" si="4"/>
        <v>245</v>
      </c>
      <c r="AW58" s="55">
        <f t="shared" si="5"/>
        <v>317.60000000000002</v>
      </c>
      <c r="AX58" s="55">
        <f t="shared" si="6"/>
        <v>1165.5</v>
      </c>
      <c r="AZ58" s="55">
        <f t="shared" si="7"/>
        <v>-1728.1</v>
      </c>
    </row>
    <row r="59" spans="1:52" ht="161.25" customHeight="1">
      <c r="A59" s="154"/>
      <c r="B59" s="152"/>
      <c r="C59" s="152"/>
      <c r="D59" s="54" t="s">
        <v>70</v>
      </c>
      <c r="E59" s="40">
        <f t="shared" si="67"/>
        <v>26344.7</v>
      </c>
      <c r="F59" s="40">
        <f t="shared" si="67"/>
        <v>22944.600000000002</v>
      </c>
      <c r="G59" s="41">
        <f>F59/E59*100</f>
        <v>87.093798752690304</v>
      </c>
      <c r="H59" s="40"/>
      <c r="I59" s="40"/>
      <c r="J59" s="40"/>
      <c r="K59" s="40">
        <v>718.6</v>
      </c>
      <c r="L59" s="40">
        <v>718.6</v>
      </c>
      <c r="M59" s="41">
        <f t="shared" ref="M59" si="71">L59/K59*100</f>
        <v>100</v>
      </c>
      <c r="N59" s="40">
        <v>3981.4</v>
      </c>
      <c r="O59" s="40">
        <v>1768.1</v>
      </c>
      <c r="P59" s="41">
        <f t="shared" ref="P59" si="72">O59/N59*100</f>
        <v>44.409001858642682</v>
      </c>
      <c r="Q59" s="40">
        <v>1747.7</v>
      </c>
      <c r="R59" s="40">
        <v>965</v>
      </c>
      <c r="S59" s="41">
        <f>R59/Q59*100</f>
        <v>55.215425988441943</v>
      </c>
      <c r="T59" s="40"/>
      <c r="U59" s="40">
        <v>599.20000000000005</v>
      </c>
      <c r="V59" s="41"/>
      <c r="W59" s="91">
        <f>445.61931-445.61931</f>
        <v>0</v>
      </c>
      <c r="X59" s="40">
        <v>1389.5</v>
      </c>
      <c r="Y59" s="41"/>
      <c r="Z59" s="40">
        <v>276.39999999999998</v>
      </c>
      <c r="AA59" s="40">
        <v>1016.6</v>
      </c>
      <c r="AB59" s="41">
        <f>AA59/Z59*100</f>
        <v>367.80028943560063</v>
      </c>
      <c r="AC59" s="40">
        <v>570.29999999999995</v>
      </c>
      <c r="AD59" s="40">
        <v>1719.8</v>
      </c>
      <c r="AE59" s="41">
        <f>AD59/AC59*100</f>
        <v>301.56058214974576</v>
      </c>
      <c r="AF59" s="40">
        <v>10341.6</v>
      </c>
      <c r="AG59" s="40">
        <f>3401.8</f>
        <v>3401.8</v>
      </c>
      <c r="AH59" s="41">
        <f>AG59/AF59*100</f>
        <v>32.894329697532299</v>
      </c>
      <c r="AI59" s="40">
        <v>1200</v>
      </c>
      <c r="AJ59" s="40">
        <v>4634</v>
      </c>
      <c r="AK59" s="41">
        <f>AJ59/AI59*100</f>
        <v>386.16666666666669</v>
      </c>
      <c r="AL59" s="40">
        <v>3400</v>
      </c>
      <c r="AM59" s="40">
        <v>2036.8</v>
      </c>
      <c r="AN59" s="41">
        <f>AM59/AL59*100</f>
        <v>59.905882352941177</v>
      </c>
      <c r="AO59" s="40">
        <f>4108.6+0.1</f>
        <v>4108.7000000000007</v>
      </c>
      <c r="AP59" s="40">
        <f>4695.3-0.1</f>
        <v>4695.2</v>
      </c>
      <c r="AQ59" s="41">
        <f>AP59/AO59*100</f>
        <v>114.27458806921895</v>
      </c>
      <c r="AR59" s="116" t="s">
        <v>67</v>
      </c>
      <c r="AS59" s="118" t="s">
        <v>196</v>
      </c>
      <c r="AT59" s="43">
        <f t="shared" si="10"/>
        <v>0.82071415722252206</v>
      </c>
      <c r="AU59" s="92">
        <f t="shared" si="3"/>
        <v>4700</v>
      </c>
      <c r="AV59" s="57">
        <f t="shared" si="4"/>
        <v>1747.7</v>
      </c>
      <c r="AW59" s="57">
        <f t="shared" si="5"/>
        <v>11188.300000000001</v>
      </c>
      <c r="AX59" s="55">
        <f t="shared" si="6"/>
        <v>8708.7000000000007</v>
      </c>
      <c r="AY59" s="56">
        <v>6548</v>
      </c>
      <c r="AZ59" s="55">
        <f t="shared" si="7"/>
        <v>-19796.700000000004</v>
      </c>
    </row>
    <row r="60" spans="1:52" ht="15.75">
      <c r="A60" s="154"/>
      <c r="B60" s="152"/>
      <c r="C60" s="152"/>
      <c r="D60" s="54" t="s">
        <v>24</v>
      </c>
      <c r="E60" s="40">
        <f t="shared" si="67"/>
        <v>0</v>
      </c>
      <c r="F60" s="40">
        <f t="shared" si="67"/>
        <v>0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52"/>
      <c r="AS60" s="52"/>
      <c r="AT60" s="43"/>
      <c r="AU60" s="55">
        <f t="shared" si="3"/>
        <v>0</v>
      </c>
      <c r="AV60" s="55">
        <f t="shared" si="4"/>
        <v>0</v>
      </c>
      <c r="AW60" s="55">
        <f t="shared" si="5"/>
        <v>0</v>
      </c>
      <c r="AX60" s="55">
        <f t="shared" si="6"/>
        <v>0</v>
      </c>
      <c r="AZ60" s="55">
        <f t="shared" si="7"/>
        <v>0</v>
      </c>
    </row>
    <row r="61" spans="1:52" ht="15.75" customHeight="1">
      <c r="A61" s="152" t="s">
        <v>80</v>
      </c>
      <c r="B61" s="152" t="s">
        <v>120</v>
      </c>
      <c r="C61" s="152" t="s">
        <v>6</v>
      </c>
      <c r="D61" s="54" t="s">
        <v>3</v>
      </c>
      <c r="E61" s="40">
        <f t="shared" si="67"/>
        <v>603.09999999999991</v>
      </c>
      <c r="F61" s="40">
        <f t="shared" si="67"/>
        <v>603.1</v>
      </c>
      <c r="G61" s="41">
        <f>F61/E61*100</f>
        <v>100.00000000000003</v>
      </c>
      <c r="H61" s="40">
        <f>H62+H63+H64+H65</f>
        <v>0</v>
      </c>
      <c r="I61" s="40"/>
      <c r="J61" s="40"/>
      <c r="K61" s="40">
        <f t="shared" ref="K61:AP61" si="73">K62+K63+K64+K65</f>
        <v>98.999999999999986</v>
      </c>
      <c r="L61" s="40">
        <f t="shared" si="73"/>
        <v>99</v>
      </c>
      <c r="M61" s="41">
        <f t="shared" ref="M61" si="74">L61/K61*100</f>
        <v>100.00000000000003</v>
      </c>
      <c r="N61" s="40">
        <f t="shared" si="73"/>
        <v>0</v>
      </c>
      <c r="O61" s="40"/>
      <c r="P61" s="41" t="e">
        <f t="shared" ref="P61" si="75">O61/N61*100</f>
        <v>#DIV/0!</v>
      </c>
      <c r="Q61" s="40">
        <f t="shared" si="73"/>
        <v>70.75</v>
      </c>
      <c r="R61" s="40">
        <f t="shared" si="73"/>
        <v>70.75</v>
      </c>
      <c r="S61" s="41">
        <f>R61/Q61*100</f>
        <v>100</v>
      </c>
      <c r="T61" s="40">
        <f t="shared" si="73"/>
        <v>3.4499999999999993</v>
      </c>
      <c r="U61" s="40">
        <f t="shared" si="73"/>
        <v>3.45</v>
      </c>
      <c r="V61" s="41">
        <f>U61/T61*100</f>
        <v>100.00000000000003</v>
      </c>
      <c r="W61" s="40">
        <f t="shared" si="73"/>
        <v>0</v>
      </c>
      <c r="X61" s="40"/>
      <c r="Y61" s="38"/>
      <c r="Z61" s="40">
        <f t="shared" si="73"/>
        <v>87.7</v>
      </c>
      <c r="AA61" s="40">
        <f t="shared" si="73"/>
        <v>248</v>
      </c>
      <c r="AB61" s="41">
        <f>AA61/Z61*100</f>
        <v>282.78221208665906</v>
      </c>
      <c r="AC61" s="40">
        <f t="shared" si="73"/>
        <v>182.2</v>
      </c>
      <c r="AD61" s="40">
        <f t="shared" si="73"/>
        <v>0</v>
      </c>
      <c r="AE61" s="41">
        <f>AD61/AC61*100</f>
        <v>0</v>
      </c>
      <c r="AF61" s="40">
        <f t="shared" si="73"/>
        <v>13.5</v>
      </c>
      <c r="AG61" s="40">
        <f t="shared" si="73"/>
        <v>0</v>
      </c>
      <c r="AH61" s="41">
        <f>AG61/AF61*100</f>
        <v>0</v>
      </c>
      <c r="AI61" s="40">
        <f t="shared" si="73"/>
        <v>84.2</v>
      </c>
      <c r="AJ61" s="40">
        <f t="shared" si="73"/>
        <v>71.3</v>
      </c>
      <c r="AK61" s="41">
        <f>AJ61/AI61*100</f>
        <v>84.679334916864605</v>
      </c>
      <c r="AL61" s="40">
        <f t="shared" si="73"/>
        <v>0</v>
      </c>
      <c r="AM61" s="40">
        <f t="shared" si="73"/>
        <v>-0.9</v>
      </c>
      <c r="AN61" s="38"/>
      <c r="AO61" s="40">
        <f t="shared" si="73"/>
        <v>62.3</v>
      </c>
      <c r="AP61" s="40">
        <f t="shared" si="73"/>
        <v>111.5</v>
      </c>
      <c r="AQ61" s="38">
        <f t="shared" ref="AQ61:AQ64" si="76">AP61/AO61</f>
        <v>1.7897271268057786</v>
      </c>
      <c r="AR61" s="52"/>
      <c r="AS61" s="52"/>
      <c r="AT61" s="43">
        <f t="shared" si="10"/>
        <v>0.90902366863905337</v>
      </c>
      <c r="AU61" s="55">
        <f t="shared" si="3"/>
        <v>98.999999999999986</v>
      </c>
      <c r="AV61" s="55">
        <f t="shared" si="4"/>
        <v>74.2</v>
      </c>
      <c r="AW61" s="55">
        <f t="shared" si="5"/>
        <v>283.39999999999998</v>
      </c>
      <c r="AX61" s="55">
        <f t="shared" si="6"/>
        <v>146.5</v>
      </c>
      <c r="AY61" s="56">
        <f>AY64</f>
        <v>681</v>
      </c>
      <c r="AZ61" s="55">
        <f t="shared" si="7"/>
        <v>77.900000000000034</v>
      </c>
    </row>
    <row r="62" spans="1:52" ht="15.75">
      <c r="A62" s="152"/>
      <c r="B62" s="152"/>
      <c r="C62" s="152"/>
      <c r="D62" s="54" t="s">
        <v>23</v>
      </c>
      <c r="E62" s="40">
        <f t="shared" si="67"/>
        <v>0</v>
      </c>
      <c r="F62" s="40">
        <f t="shared" si="67"/>
        <v>0</v>
      </c>
      <c r="G62" s="41"/>
      <c r="H62" s="40"/>
      <c r="I62" s="40"/>
      <c r="J62" s="40"/>
      <c r="K62" s="40"/>
      <c r="L62" s="40"/>
      <c r="M62" s="41"/>
      <c r="N62" s="40"/>
      <c r="O62" s="40"/>
      <c r="P62" s="41"/>
      <c r="Q62" s="40"/>
      <c r="R62" s="40"/>
      <c r="S62" s="41"/>
      <c r="T62" s="40"/>
      <c r="U62" s="40"/>
      <c r="V62" s="41"/>
      <c r="W62" s="40"/>
      <c r="X62" s="40"/>
      <c r="Y62" s="38"/>
      <c r="Z62" s="40"/>
      <c r="AA62" s="40"/>
      <c r="AB62" s="41"/>
      <c r="AC62" s="40"/>
      <c r="AD62" s="40"/>
      <c r="AE62" s="41"/>
      <c r="AF62" s="40"/>
      <c r="AG62" s="40"/>
      <c r="AH62" s="41"/>
      <c r="AI62" s="40"/>
      <c r="AJ62" s="40"/>
      <c r="AK62" s="41"/>
      <c r="AL62" s="40"/>
      <c r="AM62" s="40"/>
      <c r="AN62" s="38"/>
      <c r="AO62" s="40"/>
      <c r="AP62" s="40"/>
      <c r="AQ62" s="38"/>
      <c r="AR62" s="52"/>
      <c r="AS62" s="52"/>
      <c r="AT62" s="43"/>
      <c r="AU62" s="55">
        <f t="shared" si="3"/>
        <v>0</v>
      </c>
      <c r="AV62" s="55">
        <f t="shared" si="4"/>
        <v>0</v>
      </c>
      <c r="AW62" s="55">
        <f t="shared" si="5"/>
        <v>0</v>
      </c>
      <c r="AX62" s="55">
        <f t="shared" si="6"/>
        <v>0</v>
      </c>
      <c r="AZ62" s="55">
        <f t="shared" si="7"/>
        <v>0</v>
      </c>
    </row>
    <row r="63" spans="1:52" ht="26.25" customHeight="1">
      <c r="A63" s="152"/>
      <c r="B63" s="152"/>
      <c r="C63" s="152"/>
      <c r="D63" s="54" t="s">
        <v>4</v>
      </c>
      <c r="E63" s="40">
        <f t="shared" si="67"/>
        <v>0</v>
      </c>
      <c r="F63" s="40">
        <f t="shared" si="67"/>
        <v>0</v>
      </c>
      <c r="G63" s="41"/>
      <c r="H63" s="63"/>
      <c r="I63" s="63"/>
      <c r="J63" s="63"/>
      <c r="K63" s="63"/>
      <c r="L63" s="63"/>
      <c r="M63" s="41"/>
      <c r="N63" s="63"/>
      <c r="O63" s="63"/>
      <c r="P63" s="41"/>
      <c r="Q63" s="63"/>
      <c r="R63" s="63"/>
      <c r="S63" s="41"/>
      <c r="T63" s="63"/>
      <c r="U63" s="63"/>
      <c r="V63" s="41"/>
      <c r="W63" s="63"/>
      <c r="X63" s="63"/>
      <c r="Y63" s="38"/>
      <c r="Z63" s="63"/>
      <c r="AA63" s="63"/>
      <c r="AB63" s="41"/>
      <c r="AC63" s="63"/>
      <c r="AD63" s="63"/>
      <c r="AE63" s="41"/>
      <c r="AF63" s="63"/>
      <c r="AG63" s="63"/>
      <c r="AH63" s="41"/>
      <c r="AI63" s="63"/>
      <c r="AJ63" s="63"/>
      <c r="AK63" s="41"/>
      <c r="AL63" s="63"/>
      <c r="AM63" s="63"/>
      <c r="AN63" s="38"/>
      <c r="AO63" s="63"/>
      <c r="AP63" s="63"/>
      <c r="AQ63" s="38"/>
      <c r="AR63" s="52"/>
      <c r="AS63" s="52"/>
      <c r="AT63" s="43"/>
      <c r="AU63" s="55">
        <f t="shared" si="3"/>
        <v>0</v>
      </c>
      <c r="AV63" s="55">
        <f t="shared" si="4"/>
        <v>0</v>
      </c>
      <c r="AW63" s="55">
        <f t="shared" si="5"/>
        <v>0</v>
      </c>
      <c r="AX63" s="55">
        <f t="shared" si="6"/>
        <v>0</v>
      </c>
      <c r="AZ63" s="55">
        <f t="shared" si="7"/>
        <v>0</v>
      </c>
    </row>
    <row r="64" spans="1:52" ht="99" customHeight="1">
      <c r="A64" s="152"/>
      <c r="B64" s="152"/>
      <c r="C64" s="152"/>
      <c r="D64" s="54" t="s">
        <v>5</v>
      </c>
      <c r="E64" s="40">
        <f t="shared" si="67"/>
        <v>603.09999999999991</v>
      </c>
      <c r="F64" s="40">
        <f t="shared" si="67"/>
        <v>603.1</v>
      </c>
      <c r="G64" s="41">
        <f t="shared" ref="G64" si="77">F64/E64*100</f>
        <v>100.00000000000003</v>
      </c>
      <c r="H64" s="40"/>
      <c r="I64" s="40"/>
      <c r="J64" s="40"/>
      <c r="K64" s="40">
        <f>14.7+130-45.7</f>
        <v>98.999999999999986</v>
      </c>
      <c r="L64" s="40">
        <v>99</v>
      </c>
      <c r="M64" s="41">
        <f t="shared" ref="M64" si="78">L64/K64*100</f>
        <v>100.00000000000003</v>
      </c>
      <c r="N64" s="85">
        <f>14.7-14.7</f>
        <v>0</v>
      </c>
      <c r="O64" s="40"/>
      <c r="P64" s="41"/>
      <c r="Q64" s="40">
        <v>70.75</v>
      </c>
      <c r="R64" s="40">
        <v>70.75</v>
      </c>
      <c r="S64" s="41">
        <f t="shared" ref="S64" si="79">R64/Q64*100</f>
        <v>100</v>
      </c>
      <c r="T64" s="40">
        <v>3.4499999999999993</v>
      </c>
      <c r="U64" s="40">
        <v>3.45</v>
      </c>
      <c r="V64" s="41">
        <f t="shared" ref="V64" si="80">U64/T64*100</f>
        <v>100.00000000000003</v>
      </c>
      <c r="W64" s="40">
        <f>14.7-14.7</f>
        <v>0</v>
      </c>
      <c r="X64" s="40"/>
      <c r="Y64" s="38"/>
      <c r="Z64" s="40">
        <v>87.7</v>
      </c>
      <c r="AA64" s="40">
        <v>248</v>
      </c>
      <c r="AB64" s="41">
        <f t="shared" ref="AB64" si="81">AA64/Z64*100</f>
        <v>282.78221208665906</v>
      </c>
      <c r="AC64" s="40">
        <f>238.1-55.9</f>
        <v>182.2</v>
      </c>
      <c r="AD64" s="40">
        <v>0</v>
      </c>
      <c r="AE64" s="41">
        <f t="shared" ref="AE64" si="82">AD64/AC64*100</f>
        <v>0</v>
      </c>
      <c r="AF64" s="40">
        <v>13.5</v>
      </c>
      <c r="AG64" s="40"/>
      <c r="AH64" s="41">
        <f t="shared" ref="AH64" si="83">AG64/AF64*100</f>
        <v>0</v>
      </c>
      <c r="AI64" s="40">
        <v>84.2</v>
      </c>
      <c r="AJ64" s="40">
        <v>71.3</v>
      </c>
      <c r="AK64" s="41">
        <f t="shared" ref="AK64" si="84">AJ64/AI64*100</f>
        <v>84.679334916864605</v>
      </c>
      <c r="AL64" s="40"/>
      <c r="AM64" s="40">
        <v>-0.9</v>
      </c>
      <c r="AN64" s="38"/>
      <c r="AO64" s="40">
        <v>62.3</v>
      </c>
      <c r="AP64" s="40">
        <v>111.5</v>
      </c>
      <c r="AQ64" s="38">
        <f t="shared" si="76"/>
        <v>1.7897271268057786</v>
      </c>
      <c r="AR64" s="115" t="s">
        <v>60</v>
      </c>
      <c r="AS64" s="115"/>
      <c r="AT64" s="43">
        <f t="shared" si="10"/>
        <v>0.90902366863905337</v>
      </c>
      <c r="AU64" s="55">
        <f t="shared" si="3"/>
        <v>98.999999999999986</v>
      </c>
      <c r="AV64" s="55">
        <f t="shared" si="4"/>
        <v>74.2</v>
      </c>
      <c r="AW64" s="55">
        <f t="shared" si="5"/>
        <v>283.39999999999998</v>
      </c>
      <c r="AX64" s="55">
        <f t="shared" si="6"/>
        <v>146.5</v>
      </c>
      <c r="AY64" s="56">
        <v>681</v>
      </c>
      <c r="AZ64" s="55">
        <f t="shared" si="7"/>
        <v>77.900000000000034</v>
      </c>
    </row>
    <row r="65" spans="1:52" ht="16.5" thickBot="1">
      <c r="A65" s="152"/>
      <c r="B65" s="152"/>
      <c r="C65" s="152"/>
      <c r="D65" s="54" t="s">
        <v>24</v>
      </c>
      <c r="E65" s="40">
        <f t="shared" si="67"/>
        <v>0</v>
      </c>
      <c r="F65" s="40">
        <f t="shared" si="67"/>
        <v>0</v>
      </c>
      <c r="G65" s="41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52"/>
      <c r="AS65" s="52"/>
      <c r="AT65" s="43"/>
      <c r="AU65" s="55">
        <f t="shared" si="3"/>
        <v>0</v>
      </c>
      <c r="AV65" s="55">
        <f t="shared" si="4"/>
        <v>0</v>
      </c>
      <c r="AW65" s="55">
        <f t="shared" si="5"/>
        <v>0</v>
      </c>
      <c r="AX65" s="55">
        <f t="shared" si="6"/>
        <v>0</v>
      </c>
      <c r="AZ65" s="55">
        <f t="shared" si="7"/>
        <v>0</v>
      </c>
    </row>
    <row r="66" spans="1:52" ht="12.75" customHeight="1">
      <c r="A66" s="153" t="s">
        <v>9</v>
      </c>
      <c r="B66" s="153"/>
      <c r="C66" s="153"/>
      <c r="D66" s="58" t="s">
        <v>3</v>
      </c>
      <c r="E66" s="59">
        <f t="shared" si="67"/>
        <v>35103.600000000006</v>
      </c>
      <c r="F66" s="59">
        <f t="shared" si="67"/>
        <v>25331</v>
      </c>
      <c r="G66" s="42">
        <f>F66/E66*100</f>
        <v>72.160690071673557</v>
      </c>
      <c r="H66" s="59">
        <f>H68+H67+H69+H70</f>
        <v>0</v>
      </c>
      <c r="I66" s="59"/>
      <c r="J66" s="39"/>
      <c r="K66" s="59">
        <f t="shared" ref="K66:AO66" si="85">K68+K67+K69+K70</f>
        <v>817.6</v>
      </c>
      <c r="L66" s="59">
        <f t="shared" si="85"/>
        <v>817.6</v>
      </c>
      <c r="M66" s="42">
        <f t="shared" ref="M66:M69" si="86">L66/K66*100</f>
        <v>100</v>
      </c>
      <c r="N66" s="59">
        <f t="shared" si="85"/>
        <v>3981.4</v>
      </c>
      <c r="O66" s="59">
        <f t="shared" si="85"/>
        <v>1768.1</v>
      </c>
      <c r="P66" s="42">
        <f t="shared" ref="P66:P69" si="87">O66/N66*100</f>
        <v>44.409001858642682</v>
      </c>
      <c r="Q66" s="59">
        <f t="shared" si="85"/>
        <v>1818.45</v>
      </c>
      <c r="R66" s="59">
        <f t="shared" ref="R66" si="88">R68+R67+R69+R70</f>
        <v>1035.75</v>
      </c>
      <c r="S66" s="42">
        <f>R66/Q66*100</f>
        <v>56.957848717314199</v>
      </c>
      <c r="T66" s="59">
        <f t="shared" si="85"/>
        <v>3.4499999999999993</v>
      </c>
      <c r="U66" s="59">
        <f t="shared" ref="U66" si="89">U68+U67+U69+U70</f>
        <v>602.65000000000009</v>
      </c>
      <c r="V66" s="42">
        <f>U66/T66*100</f>
        <v>17468.115942028991</v>
      </c>
      <c r="W66" s="59">
        <f t="shared" si="85"/>
        <v>245</v>
      </c>
      <c r="X66" s="59">
        <f t="shared" ref="X66" si="90">X68+X67+X69+X70</f>
        <v>1634.5</v>
      </c>
      <c r="Y66" s="42">
        <f>X66/W66*100</f>
        <v>667.14285714285722</v>
      </c>
      <c r="Z66" s="59">
        <f t="shared" si="85"/>
        <v>364.09999999999997</v>
      </c>
      <c r="AA66" s="59">
        <f t="shared" ref="AA66" si="91">AA68+AA67+AA69+AA70</f>
        <v>1264.5999999999999</v>
      </c>
      <c r="AB66" s="42">
        <f>AA66/Z66*100</f>
        <v>347.32216424059328</v>
      </c>
      <c r="AC66" s="59">
        <f t="shared" si="85"/>
        <v>915.1</v>
      </c>
      <c r="AD66" s="59">
        <f t="shared" ref="AD66" si="92">AD68+AD67+AD69+AD70</f>
        <v>1922.3999999999999</v>
      </c>
      <c r="AE66" s="42">
        <f>AD66/AC66*100</f>
        <v>210.07540159545403</v>
      </c>
      <c r="AF66" s="59">
        <f t="shared" si="85"/>
        <v>10510.1</v>
      </c>
      <c r="AG66" s="59">
        <f t="shared" ref="AG66" si="93">AG68+AG67+AG69+AG70</f>
        <v>3516.8</v>
      </c>
      <c r="AH66" s="42">
        <f>AG66/AF66*100</f>
        <v>33.461146896794517</v>
      </c>
      <c r="AI66" s="59">
        <f t="shared" si="85"/>
        <v>1624.9</v>
      </c>
      <c r="AJ66" s="59">
        <f t="shared" ref="AJ66" si="94">AJ68+AJ67+AJ69+AJ70</f>
        <v>4850.3</v>
      </c>
      <c r="AK66" s="42">
        <f>AJ66/AI66*100</f>
        <v>298.49836913040804</v>
      </c>
      <c r="AL66" s="59">
        <f t="shared" si="85"/>
        <v>4224.8</v>
      </c>
      <c r="AM66" s="59">
        <f t="shared" ref="AM66" si="95">AM68+AM67+AM69+AM70</f>
        <v>2860.7</v>
      </c>
      <c r="AN66" s="42">
        <f>AM66/AL66*100</f>
        <v>67.712081045256582</v>
      </c>
      <c r="AO66" s="59">
        <f t="shared" si="85"/>
        <v>10598.7</v>
      </c>
      <c r="AP66" s="59">
        <f t="shared" ref="AP66" si="96">AP68+AP67+AP69+AP70</f>
        <v>5057.5999999999995</v>
      </c>
      <c r="AQ66" s="42">
        <f>AP66/AO66*100</f>
        <v>47.71905988470283</v>
      </c>
      <c r="AR66" s="52"/>
      <c r="AS66" s="52"/>
      <c r="AT66" s="43">
        <f t="shared" si="10"/>
        <v>0.82732025023566713</v>
      </c>
      <c r="AU66" s="108">
        <f t="shared" si="3"/>
        <v>4799</v>
      </c>
      <c r="AV66" s="108">
        <f t="shared" si="4"/>
        <v>2066.9</v>
      </c>
      <c r="AW66" s="108">
        <f t="shared" si="5"/>
        <v>11789.300000000001</v>
      </c>
      <c r="AX66" s="108">
        <f t="shared" si="6"/>
        <v>16448.400000000001</v>
      </c>
      <c r="AY66" s="60">
        <f t="shared" ref="AY66" si="97">AY68+AY67+AY69+AY70</f>
        <v>10681</v>
      </c>
      <c r="AZ66" s="55">
        <f t="shared" si="7"/>
        <v>-24422.600000000002</v>
      </c>
    </row>
    <row r="67" spans="1:52" ht="12.75" customHeight="1">
      <c r="A67" s="153"/>
      <c r="B67" s="153"/>
      <c r="C67" s="153"/>
      <c r="D67" s="58" t="s">
        <v>23</v>
      </c>
      <c r="E67" s="59">
        <f t="shared" si="67"/>
        <v>0</v>
      </c>
      <c r="F67" s="59">
        <f t="shared" si="67"/>
        <v>0</v>
      </c>
      <c r="G67" s="42"/>
      <c r="H67" s="59">
        <f t="shared" ref="H67:AO70" si="98">H37+H42+H57+H62+H47+H52</f>
        <v>0</v>
      </c>
      <c r="I67" s="59"/>
      <c r="J67" s="39"/>
      <c r="K67" s="59">
        <f t="shared" si="98"/>
        <v>0</v>
      </c>
      <c r="L67" s="59">
        <f t="shared" si="98"/>
        <v>0</v>
      </c>
      <c r="M67" s="42"/>
      <c r="N67" s="59">
        <f t="shared" si="98"/>
        <v>0</v>
      </c>
      <c r="O67" s="59">
        <f t="shared" si="98"/>
        <v>0</v>
      </c>
      <c r="P67" s="42"/>
      <c r="Q67" s="59">
        <f t="shared" si="98"/>
        <v>0</v>
      </c>
      <c r="R67" s="59">
        <f t="shared" ref="R67" si="99">R37+R42+R57+R62+R47+R52</f>
        <v>0</v>
      </c>
      <c r="S67" s="42"/>
      <c r="T67" s="59">
        <f t="shared" si="98"/>
        <v>0</v>
      </c>
      <c r="U67" s="59">
        <f t="shared" ref="U67" si="100">U37+U42+U57+U62+U47+U52</f>
        <v>0</v>
      </c>
      <c r="V67" s="42"/>
      <c r="W67" s="59">
        <f t="shared" si="98"/>
        <v>0</v>
      </c>
      <c r="X67" s="59">
        <f t="shared" ref="X67" si="101">X37+X42+X57+X62+X47+X52</f>
        <v>0</v>
      </c>
      <c r="Y67" s="42"/>
      <c r="Z67" s="59">
        <f t="shared" si="98"/>
        <v>0</v>
      </c>
      <c r="AA67" s="59">
        <f t="shared" ref="AA67" si="102">AA37+AA42+AA57+AA62+AA47+AA52</f>
        <v>0</v>
      </c>
      <c r="AB67" s="42"/>
      <c r="AC67" s="59">
        <f t="shared" si="98"/>
        <v>0</v>
      </c>
      <c r="AD67" s="59">
        <f t="shared" ref="AD67" si="103">AD37+AD42+AD57+AD62+AD47+AD52</f>
        <v>0</v>
      </c>
      <c r="AE67" s="42"/>
      <c r="AF67" s="59">
        <f t="shared" si="98"/>
        <v>0</v>
      </c>
      <c r="AG67" s="59">
        <f t="shared" ref="AG67" si="104">AG37+AG42+AG57+AG62+AG47+AG52</f>
        <v>0</v>
      </c>
      <c r="AH67" s="42"/>
      <c r="AI67" s="59">
        <f t="shared" si="98"/>
        <v>0</v>
      </c>
      <c r="AJ67" s="59">
        <f t="shared" ref="AJ67" si="105">AJ37+AJ42+AJ57+AJ62+AJ47+AJ52</f>
        <v>0</v>
      </c>
      <c r="AK67" s="42"/>
      <c r="AL67" s="59">
        <f t="shared" si="98"/>
        <v>0</v>
      </c>
      <c r="AM67" s="59">
        <f t="shared" ref="AM67" si="106">AM37+AM42+AM57+AM62+AM47+AM52</f>
        <v>0</v>
      </c>
      <c r="AN67" s="42"/>
      <c r="AO67" s="59">
        <f t="shared" si="98"/>
        <v>0</v>
      </c>
      <c r="AP67" s="59">
        <f t="shared" ref="AP67" si="107">AP37+AP42+AP57+AP62+AP47+AP52</f>
        <v>0</v>
      </c>
      <c r="AQ67" s="42"/>
      <c r="AR67" s="52"/>
      <c r="AS67" s="52"/>
      <c r="AT67" s="43"/>
      <c r="AU67" s="108">
        <f t="shared" si="3"/>
        <v>0</v>
      </c>
      <c r="AV67" s="108">
        <f t="shared" si="4"/>
        <v>0</v>
      </c>
      <c r="AW67" s="108">
        <f t="shared" si="5"/>
        <v>0</v>
      </c>
      <c r="AX67" s="108">
        <f t="shared" si="6"/>
        <v>0</v>
      </c>
      <c r="AY67" s="61">
        <f t="shared" ref="AY67:AY70" si="108">AY37+AY42+AY57+AY62+AY47+AY52</f>
        <v>0</v>
      </c>
      <c r="AZ67" s="55">
        <f t="shared" si="7"/>
        <v>0</v>
      </c>
    </row>
    <row r="68" spans="1:52" ht="23.25" customHeight="1">
      <c r="A68" s="153"/>
      <c r="B68" s="153"/>
      <c r="C68" s="153"/>
      <c r="D68" s="58" t="s">
        <v>4</v>
      </c>
      <c r="E68" s="59">
        <f t="shared" si="67"/>
        <v>1728.1</v>
      </c>
      <c r="F68" s="59">
        <f t="shared" si="67"/>
        <v>1728.1</v>
      </c>
      <c r="G68" s="42">
        <f t="shared" ref="G68:G69" si="109">F68/E68*100</f>
        <v>100</v>
      </c>
      <c r="H68" s="59">
        <f t="shared" si="98"/>
        <v>0</v>
      </c>
      <c r="I68" s="59"/>
      <c r="J68" s="39"/>
      <c r="K68" s="59">
        <f t="shared" si="98"/>
        <v>0</v>
      </c>
      <c r="L68" s="59">
        <f t="shared" si="98"/>
        <v>0</v>
      </c>
      <c r="M68" s="42"/>
      <c r="N68" s="59">
        <f t="shared" si="98"/>
        <v>0</v>
      </c>
      <c r="O68" s="59">
        <f t="shared" si="98"/>
        <v>0</v>
      </c>
      <c r="P68" s="42"/>
      <c r="Q68" s="59">
        <f t="shared" si="98"/>
        <v>0</v>
      </c>
      <c r="R68" s="59">
        <f t="shared" ref="R68" si="110">R38+R43+R58+R63+R48+R53</f>
        <v>0</v>
      </c>
      <c r="S68" s="42"/>
      <c r="T68" s="59">
        <f t="shared" si="98"/>
        <v>0</v>
      </c>
      <c r="U68" s="59">
        <f t="shared" ref="U68" si="111">U38+U43+U58+U63+U48+U53</f>
        <v>0</v>
      </c>
      <c r="V68" s="42"/>
      <c r="W68" s="59">
        <f t="shared" si="98"/>
        <v>245</v>
      </c>
      <c r="X68" s="59">
        <f t="shared" ref="X68" si="112">X38+X43+X58+X63+X48+X53</f>
        <v>245</v>
      </c>
      <c r="Y68" s="42">
        <f>X68/W68*100</f>
        <v>100</v>
      </c>
      <c r="Z68" s="59">
        <f t="shared" si="98"/>
        <v>0</v>
      </c>
      <c r="AA68" s="59">
        <f t="shared" ref="AA68" si="113">AA38+AA43+AA58+AA63+AA48+AA53</f>
        <v>0</v>
      </c>
      <c r="AB68" s="42"/>
      <c r="AC68" s="59">
        <f t="shared" si="98"/>
        <v>162.6</v>
      </c>
      <c r="AD68" s="59">
        <f t="shared" ref="AD68" si="114">AD38+AD43+AD58+AD63+AD48+AD53</f>
        <v>202.6</v>
      </c>
      <c r="AE68" s="42">
        <f t="shared" ref="AE68:AE69" si="115">AD68/AC68*100</f>
        <v>124.60024600246003</v>
      </c>
      <c r="AF68" s="59">
        <f t="shared" si="98"/>
        <v>155</v>
      </c>
      <c r="AG68" s="59">
        <f t="shared" ref="AG68" si="116">AG38+AG43+AG58+AG63+AG48+AG53</f>
        <v>115</v>
      </c>
      <c r="AH68" s="42">
        <f t="shared" ref="AH68:AH69" si="117">AG68/AF68*100</f>
        <v>74.193548387096769</v>
      </c>
      <c r="AI68" s="59">
        <f t="shared" si="98"/>
        <v>340.7</v>
      </c>
      <c r="AJ68" s="59">
        <f t="shared" ref="AJ68" si="118">AJ38+AJ43+AJ58+AJ63+AJ48+AJ53</f>
        <v>145</v>
      </c>
      <c r="AK68" s="42">
        <f t="shared" ref="AK68:AK69" si="119">AJ68/AI68*100</f>
        <v>42.559436454358675</v>
      </c>
      <c r="AL68" s="59">
        <f t="shared" si="98"/>
        <v>824.8</v>
      </c>
      <c r="AM68" s="59">
        <f t="shared" ref="AM68" si="120">AM38+AM43+AM58+AM63+AM48+AM53</f>
        <v>824.80000000000007</v>
      </c>
      <c r="AN68" s="42">
        <f t="shared" ref="AN68" si="121">AM68/AL68*100</f>
        <v>100.00000000000003</v>
      </c>
      <c r="AO68" s="59">
        <f t="shared" si="98"/>
        <v>0</v>
      </c>
      <c r="AP68" s="59">
        <f t="shared" ref="AP68" si="122">AP38+AP43+AP58+AP63+AP48+AP53</f>
        <v>195.69999999999982</v>
      </c>
      <c r="AQ68" s="42"/>
      <c r="AR68" s="52"/>
      <c r="AS68" s="52"/>
      <c r="AT68" s="43">
        <f t="shared" si="10"/>
        <v>0.88675423875933113</v>
      </c>
      <c r="AU68" s="108">
        <f t="shared" si="3"/>
        <v>0</v>
      </c>
      <c r="AV68" s="108">
        <f t="shared" si="4"/>
        <v>245</v>
      </c>
      <c r="AW68" s="108">
        <f t="shared" si="5"/>
        <v>317.60000000000002</v>
      </c>
      <c r="AX68" s="108">
        <f t="shared" si="6"/>
        <v>1165.5</v>
      </c>
      <c r="AY68" s="61">
        <f t="shared" si="108"/>
        <v>0</v>
      </c>
      <c r="AZ68" s="55">
        <f t="shared" si="7"/>
        <v>-1728.1</v>
      </c>
    </row>
    <row r="69" spans="1:52" ht="12.75" customHeight="1">
      <c r="A69" s="153"/>
      <c r="B69" s="153"/>
      <c r="C69" s="153"/>
      <c r="D69" s="58" t="s">
        <v>70</v>
      </c>
      <c r="E69" s="59">
        <f t="shared" si="67"/>
        <v>33375.5</v>
      </c>
      <c r="F69" s="59">
        <f t="shared" si="67"/>
        <v>23602.9</v>
      </c>
      <c r="G69" s="42">
        <f t="shared" si="109"/>
        <v>70.719240161196097</v>
      </c>
      <c r="H69" s="59">
        <f t="shared" si="98"/>
        <v>0</v>
      </c>
      <c r="I69" s="59"/>
      <c r="J69" s="39"/>
      <c r="K69" s="59">
        <f t="shared" si="98"/>
        <v>817.6</v>
      </c>
      <c r="L69" s="59">
        <f t="shared" si="98"/>
        <v>817.6</v>
      </c>
      <c r="M69" s="42">
        <f t="shared" si="86"/>
        <v>100</v>
      </c>
      <c r="N69" s="59">
        <f t="shared" si="98"/>
        <v>3981.4</v>
      </c>
      <c r="O69" s="59">
        <f t="shared" si="98"/>
        <v>1768.1</v>
      </c>
      <c r="P69" s="42">
        <f t="shared" si="87"/>
        <v>44.409001858642682</v>
      </c>
      <c r="Q69" s="59">
        <f t="shared" si="98"/>
        <v>1818.45</v>
      </c>
      <c r="R69" s="59">
        <f t="shared" ref="R69" si="123">R39+R44+R59+R64+R49+R54</f>
        <v>1035.75</v>
      </c>
      <c r="S69" s="42">
        <f t="shared" ref="S69" si="124">R69/Q69*100</f>
        <v>56.957848717314199</v>
      </c>
      <c r="T69" s="59">
        <f t="shared" si="98"/>
        <v>3.4499999999999993</v>
      </c>
      <c r="U69" s="59">
        <f t="shared" ref="U69" si="125">U39+U44+U59+U64+U49+U54</f>
        <v>602.65000000000009</v>
      </c>
      <c r="V69" s="42">
        <f t="shared" ref="V69" si="126">U69/T69*100</f>
        <v>17468.115942028991</v>
      </c>
      <c r="W69" s="59">
        <f t="shared" si="98"/>
        <v>0</v>
      </c>
      <c r="X69" s="59">
        <f t="shared" ref="X69" si="127">X39+X44+X59+X64+X49+X54</f>
        <v>1389.5</v>
      </c>
      <c r="Y69" s="42"/>
      <c r="Z69" s="59">
        <f t="shared" si="98"/>
        <v>364.09999999999997</v>
      </c>
      <c r="AA69" s="59">
        <f t="shared" ref="AA69" si="128">AA39+AA44+AA59+AA64+AA49+AA54</f>
        <v>1264.5999999999999</v>
      </c>
      <c r="AB69" s="42">
        <f t="shared" ref="AB69" si="129">AA69/Z69*100</f>
        <v>347.32216424059328</v>
      </c>
      <c r="AC69" s="59">
        <f t="shared" si="98"/>
        <v>752.5</v>
      </c>
      <c r="AD69" s="59">
        <f t="shared" ref="AD69" si="130">AD39+AD44+AD59+AD64+AD49+AD54</f>
        <v>1719.8</v>
      </c>
      <c r="AE69" s="42">
        <f t="shared" si="115"/>
        <v>228.54485049833886</v>
      </c>
      <c r="AF69" s="59">
        <f t="shared" si="98"/>
        <v>10355.1</v>
      </c>
      <c r="AG69" s="59">
        <f t="shared" ref="AG69" si="131">AG39+AG44+AG59+AG64+AG49+AG54</f>
        <v>3401.8</v>
      </c>
      <c r="AH69" s="42">
        <f t="shared" si="117"/>
        <v>32.851445181601335</v>
      </c>
      <c r="AI69" s="59">
        <f t="shared" si="98"/>
        <v>1284.2</v>
      </c>
      <c r="AJ69" s="59">
        <f t="shared" ref="AJ69" si="132">AJ39+AJ44+AJ59+AJ64+AJ49+AJ54</f>
        <v>4705.3</v>
      </c>
      <c r="AK69" s="42">
        <f t="shared" si="119"/>
        <v>366.39931474848157</v>
      </c>
      <c r="AL69" s="59">
        <f t="shared" si="98"/>
        <v>3400</v>
      </c>
      <c r="AM69" s="59">
        <f t="shared" ref="AM69" si="133">AM39+AM44+AM59+AM64+AM49+AM54</f>
        <v>2035.8999999999999</v>
      </c>
      <c r="AN69" s="42">
        <f t="shared" ref="AN69" si="134">AM69/AL69*100</f>
        <v>59.879411764705878</v>
      </c>
      <c r="AO69" s="59">
        <f t="shared" si="98"/>
        <v>10598.7</v>
      </c>
      <c r="AP69" s="59">
        <f t="shared" ref="AP69" si="135">AP39+AP44+AP59+AP64+AP49+AP54</f>
        <v>4861.8999999999996</v>
      </c>
      <c r="AQ69" s="42">
        <f t="shared" ref="AQ69" si="136">AP69/AO69*100</f>
        <v>45.872607017841801</v>
      </c>
      <c r="AR69" s="52"/>
      <c r="AS69" s="52"/>
      <c r="AT69" s="43">
        <f t="shared" si="10"/>
        <v>0.82281093042042786</v>
      </c>
      <c r="AU69" s="108">
        <f t="shared" si="3"/>
        <v>4799</v>
      </c>
      <c r="AV69" s="108">
        <f t="shared" si="4"/>
        <v>1821.9</v>
      </c>
      <c r="AW69" s="109">
        <f t="shared" si="5"/>
        <v>11471.7</v>
      </c>
      <c r="AX69" s="109">
        <f t="shared" si="6"/>
        <v>15282.900000000001</v>
      </c>
      <c r="AY69" s="61">
        <f t="shared" si="108"/>
        <v>10681</v>
      </c>
      <c r="AZ69" s="55">
        <f t="shared" si="7"/>
        <v>-22694.5</v>
      </c>
    </row>
    <row r="70" spans="1:52" ht="12.75" customHeight="1" thickBot="1">
      <c r="A70" s="153"/>
      <c r="B70" s="153"/>
      <c r="C70" s="153"/>
      <c r="D70" s="58" t="s">
        <v>24</v>
      </c>
      <c r="E70" s="59">
        <f t="shared" si="67"/>
        <v>0</v>
      </c>
      <c r="F70" s="59">
        <f t="shared" si="67"/>
        <v>0</v>
      </c>
      <c r="G70" s="59"/>
      <c r="H70" s="59">
        <f t="shared" si="98"/>
        <v>0</v>
      </c>
      <c r="I70" s="59"/>
      <c r="J70" s="59"/>
      <c r="K70" s="59">
        <f t="shared" si="98"/>
        <v>0</v>
      </c>
      <c r="L70" s="59">
        <f t="shared" si="98"/>
        <v>0</v>
      </c>
      <c r="M70" s="59"/>
      <c r="N70" s="59">
        <f t="shared" si="98"/>
        <v>0</v>
      </c>
      <c r="O70" s="59">
        <f t="shared" si="98"/>
        <v>0</v>
      </c>
      <c r="P70" s="59"/>
      <c r="Q70" s="59">
        <f t="shared" si="98"/>
        <v>0</v>
      </c>
      <c r="R70" s="59">
        <f t="shared" ref="R70" si="137">R40+R45+R60+R65+R50+R55</f>
        <v>0</v>
      </c>
      <c r="S70" s="59"/>
      <c r="T70" s="59">
        <f t="shared" si="98"/>
        <v>0</v>
      </c>
      <c r="U70" s="59">
        <f t="shared" ref="U70" si="138">U40+U45+U60+U65+U50+U55</f>
        <v>0</v>
      </c>
      <c r="V70" s="59"/>
      <c r="W70" s="59">
        <f t="shared" si="98"/>
        <v>0</v>
      </c>
      <c r="X70" s="59"/>
      <c r="Y70" s="59"/>
      <c r="Z70" s="59">
        <f t="shared" si="98"/>
        <v>0</v>
      </c>
      <c r="AA70" s="59">
        <f t="shared" ref="AA70" si="139">AA40+AA45+AA60+AA65+AA50+AA55</f>
        <v>0</v>
      </c>
      <c r="AB70" s="59"/>
      <c r="AC70" s="59">
        <f t="shared" si="98"/>
        <v>0</v>
      </c>
      <c r="AD70" s="59">
        <f t="shared" ref="AD70" si="140">AD40+AD45+AD60+AD65+AD50+AD55</f>
        <v>0</v>
      </c>
      <c r="AE70" s="59"/>
      <c r="AF70" s="59">
        <f t="shared" si="98"/>
        <v>0</v>
      </c>
      <c r="AG70" s="59"/>
      <c r="AH70" s="59"/>
      <c r="AI70" s="59">
        <f t="shared" si="98"/>
        <v>0</v>
      </c>
      <c r="AJ70" s="59"/>
      <c r="AK70" s="59"/>
      <c r="AL70" s="59">
        <f t="shared" si="98"/>
        <v>0</v>
      </c>
      <c r="AM70" s="59">
        <f t="shared" ref="AM70" si="141">AM40+AM45+AM60+AM65+AM50+AM55</f>
        <v>0</v>
      </c>
      <c r="AN70" s="59"/>
      <c r="AO70" s="59">
        <f t="shared" si="98"/>
        <v>0</v>
      </c>
      <c r="AP70" s="59">
        <f t="shared" ref="AP70" si="142">AP40+AP45+AP60+AP65+AP50+AP55</f>
        <v>0</v>
      </c>
      <c r="AQ70" s="40"/>
      <c r="AR70" s="52"/>
      <c r="AS70" s="52"/>
      <c r="AT70" s="43"/>
      <c r="AU70" s="55">
        <f t="shared" si="3"/>
        <v>0</v>
      </c>
      <c r="AV70" s="55">
        <f t="shared" si="4"/>
        <v>0</v>
      </c>
      <c r="AW70" s="55">
        <f t="shared" si="5"/>
        <v>0</v>
      </c>
      <c r="AX70" s="55">
        <f t="shared" si="6"/>
        <v>0</v>
      </c>
      <c r="AY70" s="62">
        <f t="shared" si="108"/>
        <v>0</v>
      </c>
      <c r="AZ70" s="55">
        <f t="shared" si="7"/>
        <v>0</v>
      </c>
    </row>
    <row r="71" spans="1:52" ht="15.75" customHeight="1">
      <c r="A71" s="54" t="s">
        <v>81</v>
      </c>
      <c r="B71" s="53" t="s">
        <v>10</v>
      </c>
      <c r="C71" s="53"/>
      <c r="D71" s="53"/>
      <c r="E71" s="112"/>
      <c r="F71" s="112"/>
      <c r="G71" s="112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2"/>
      <c r="AS71" s="52"/>
      <c r="AT71" s="43"/>
      <c r="AU71" s="55">
        <f t="shared" si="3"/>
        <v>0</v>
      </c>
      <c r="AV71" s="55">
        <f t="shared" si="4"/>
        <v>0</v>
      </c>
      <c r="AW71" s="55">
        <f t="shared" si="5"/>
        <v>0</v>
      </c>
      <c r="AX71" s="55">
        <f t="shared" si="6"/>
        <v>0</v>
      </c>
      <c r="AZ71" s="55">
        <f t="shared" si="7"/>
        <v>0</v>
      </c>
    </row>
    <row r="72" spans="1:52" ht="15.75" customHeight="1">
      <c r="A72" s="152" t="s">
        <v>82</v>
      </c>
      <c r="B72" s="152" t="s">
        <v>121</v>
      </c>
      <c r="C72" s="152" t="s">
        <v>6</v>
      </c>
      <c r="D72" s="54" t="s">
        <v>3</v>
      </c>
      <c r="E72" s="40">
        <f t="shared" ref="E72:F87" si="143">H72+K72+N72+Q72+T72+W72+Z72+AC72+AF72+AI72+AL72+AO72</f>
        <v>1655</v>
      </c>
      <c r="F72" s="40">
        <f t="shared" si="143"/>
        <v>1655</v>
      </c>
      <c r="G72" s="41">
        <f>F72/E72*100</f>
        <v>100</v>
      </c>
      <c r="H72" s="40">
        <f>H73+H74+H75+H76</f>
        <v>0</v>
      </c>
      <c r="I72" s="40"/>
      <c r="J72" s="38"/>
      <c r="K72" s="40">
        <f t="shared" ref="K72:AP72" si="144">K73+K74+K75+K76</f>
        <v>0</v>
      </c>
      <c r="L72" s="40"/>
      <c r="M72" s="41"/>
      <c r="N72" s="40">
        <f t="shared" si="144"/>
        <v>218</v>
      </c>
      <c r="O72" s="40">
        <f t="shared" si="144"/>
        <v>1.6</v>
      </c>
      <c r="P72" s="41">
        <f t="shared" ref="P72" si="145">O72/N72*100</f>
        <v>0.73394495412844041</v>
      </c>
      <c r="Q72" s="40">
        <f t="shared" si="144"/>
        <v>100</v>
      </c>
      <c r="R72" s="40">
        <f t="shared" si="144"/>
        <v>302</v>
      </c>
      <c r="S72" s="41">
        <f>R72/Q72*100</f>
        <v>302</v>
      </c>
      <c r="T72" s="40">
        <f t="shared" si="144"/>
        <v>12</v>
      </c>
      <c r="U72" s="40">
        <f t="shared" si="144"/>
        <v>24</v>
      </c>
      <c r="V72" s="41">
        <f>U72/T72*100</f>
        <v>200</v>
      </c>
      <c r="W72" s="40">
        <f t="shared" si="144"/>
        <v>0</v>
      </c>
      <c r="X72" s="40"/>
      <c r="Y72" s="38"/>
      <c r="Z72" s="40">
        <f t="shared" si="144"/>
        <v>0</v>
      </c>
      <c r="AA72" s="40"/>
      <c r="AB72" s="38"/>
      <c r="AC72" s="40">
        <f t="shared" si="144"/>
        <v>0</v>
      </c>
      <c r="AD72" s="40"/>
      <c r="AE72" s="38"/>
      <c r="AF72" s="40">
        <f t="shared" si="144"/>
        <v>0</v>
      </c>
      <c r="AG72" s="40"/>
      <c r="AH72" s="38"/>
      <c r="AI72" s="40">
        <f t="shared" si="144"/>
        <v>0</v>
      </c>
      <c r="AJ72" s="40">
        <f t="shared" si="144"/>
        <v>0</v>
      </c>
      <c r="AK72" s="38"/>
      <c r="AL72" s="40">
        <f t="shared" si="144"/>
        <v>1325</v>
      </c>
      <c r="AM72" s="40">
        <f t="shared" si="144"/>
        <v>157</v>
      </c>
      <c r="AN72" s="41">
        <f>AM72/AL72*100</f>
        <v>11.849056603773585</v>
      </c>
      <c r="AO72" s="40">
        <f t="shared" si="144"/>
        <v>0</v>
      </c>
      <c r="AP72" s="40">
        <f t="shared" si="144"/>
        <v>1170.4000000000001</v>
      </c>
      <c r="AQ72" s="41"/>
      <c r="AR72" s="52"/>
      <c r="AS72" s="52"/>
      <c r="AT72" s="43">
        <f t="shared" si="10"/>
        <v>0.29280966767371602</v>
      </c>
      <c r="AU72" s="55">
        <f t="shared" si="3"/>
        <v>218</v>
      </c>
      <c r="AV72" s="55">
        <f t="shared" si="4"/>
        <v>112</v>
      </c>
      <c r="AW72" s="55">
        <f t="shared" si="5"/>
        <v>0</v>
      </c>
      <c r="AX72" s="55">
        <f t="shared" si="6"/>
        <v>1325</v>
      </c>
      <c r="AY72" s="56">
        <f>AY75</f>
        <v>45</v>
      </c>
      <c r="AZ72" s="55">
        <f t="shared" si="7"/>
        <v>-1610</v>
      </c>
    </row>
    <row r="73" spans="1:52" ht="15" customHeight="1">
      <c r="A73" s="152"/>
      <c r="B73" s="152"/>
      <c r="C73" s="152"/>
      <c r="D73" s="54" t="s">
        <v>23</v>
      </c>
      <c r="E73" s="40">
        <f t="shared" si="143"/>
        <v>0</v>
      </c>
      <c r="F73" s="40">
        <f t="shared" si="143"/>
        <v>0</v>
      </c>
      <c r="G73" s="41"/>
      <c r="H73" s="40"/>
      <c r="I73" s="40"/>
      <c r="J73" s="38"/>
      <c r="K73" s="40"/>
      <c r="L73" s="40"/>
      <c r="M73" s="41"/>
      <c r="N73" s="40"/>
      <c r="O73" s="40"/>
      <c r="P73" s="41"/>
      <c r="Q73" s="40"/>
      <c r="R73" s="40"/>
      <c r="S73" s="41"/>
      <c r="T73" s="40"/>
      <c r="U73" s="40"/>
      <c r="V73" s="41"/>
      <c r="W73" s="40"/>
      <c r="X73" s="40"/>
      <c r="Y73" s="38"/>
      <c r="Z73" s="40"/>
      <c r="AA73" s="40"/>
      <c r="AB73" s="38"/>
      <c r="AC73" s="40"/>
      <c r="AD73" s="40"/>
      <c r="AE73" s="38"/>
      <c r="AF73" s="40"/>
      <c r="AG73" s="40"/>
      <c r="AH73" s="38"/>
      <c r="AI73" s="40"/>
      <c r="AJ73" s="40"/>
      <c r="AK73" s="38"/>
      <c r="AL73" s="40"/>
      <c r="AM73" s="40"/>
      <c r="AN73" s="41"/>
      <c r="AO73" s="40"/>
      <c r="AP73" s="40"/>
      <c r="AQ73" s="41"/>
      <c r="AR73" s="52"/>
      <c r="AS73" s="52"/>
      <c r="AT73" s="43"/>
      <c r="AU73" s="55">
        <f t="shared" ref="AU73:AU135" si="146">H73+K73+N73</f>
        <v>0</v>
      </c>
      <c r="AV73" s="55">
        <f t="shared" ref="AV73:AV135" si="147">Q73+T73+W73</f>
        <v>0</v>
      </c>
      <c r="AW73" s="55">
        <f t="shared" ref="AW73:AW135" si="148">Z73+AC73+AF73</f>
        <v>0</v>
      </c>
      <c r="AX73" s="55">
        <f t="shared" ref="AX73:AX135" si="149">AI73+AL73+AO73</f>
        <v>0</v>
      </c>
      <c r="AZ73" s="55">
        <f t="shared" ref="AZ73:AZ135" si="150">AY73-AU73-AV73-AW73-AX73</f>
        <v>0</v>
      </c>
    </row>
    <row r="74" spans="1:52" ht="156.75">
      <c r="A74" s="152"/>
      <c r="B74" s="152"/>
      <c r="C74" s="152"/>
      <c r="D74" s="54" t="s">
        <v>4</v>
      </c>
      <c r="E74" s="40">
        <f t="shared" si="143"/>
        <v>1610</v>
      </c>
      <c r="F74" s="40">
        <f t="shared" si="143"/>
        <v>1610</v>
      </c>
      <c r="G74" s="41">
        <f t="shared" ref="G74:G75" si="151">F74/E74*100</f>
        <v>100</v>
      </c>
      <c r="H74" s="40"/>
      <c r="I74" s="40"/>
      <c r="J74" s="38"/>
      <c r="K74" s="40"/>
      <c r="L74" s="40"/>
      <c r="M74" s="41"/>
      <c r="N74" s="40">
        <v>202</v>
      </c>
      <c r="O74" s="40"/>
      <c r="P74" s="41">
        <f t="shared" ref="P74:P75" si="152">O74/N74*100</f>
        <v>0</v>
      </c>
      <c r="Q74" s="40">
        <v>100</v>
      </c>
      <c r="R74" s="40">
        <v>302</v>
      </c>
      <c r="S74" s="41">
        <f t="shared" ref="S74" si="153">R74/Q74*100</f>
        <v>302</v>
      </c>
      <c r="T74" s="40"/>
      <c r="U74" s="40"/>
      <c r="V74" s="41"/>
      <c r="W74" s="40"/>
      <c r="X74" s="40"/>
      <c r="Y74" s="38"/>
      <c r="Z74" s="40"/>
      <c r="AA74" s="40"/>
      <c r="AB74" s="38"/>
      <c r="AC74" s="40"/>
      <c r="AD74" s="40"/>
      <c r="AE74" s="38"/>
      <c r="AF74" s="40"/>
      <c r="AG74" s="40"/>
      <c r="AH74" s="38"/>
      <c r="AI74" s="40"/>
      <c r="AJ74" s="40"/>
      <c r="AK74" s="38"/>
      <c r="AL74" s="97">
        <f>8+1300</f>
        <v>1308</v>
      </c>
      <c r="AM74" s="40">
        <v>157</v>
      </c>
      <c r="AN74" s="41">
        <f t="shared" ref="AN74" si="154">AM74/AL74*100</f>
        <v>12.003058103975535</v>
      </c>
      <c r="AO74" s="40"/>
      <c r="AP74" s="40">
        <v>1151</v>
      </c>
      <c r="AQ74" s="41"/>
      <c r="AR74" s="64" t="s">
        <v>171</v>
      </c>
      <c r="AS74" s="64"/>
      <c r="AT74" s="43">
        <f t="shared" si="10"/>
        <v>0.28509316770186338</v>
      </c>
      <c r="AU74" s="55">
        <f t="shared" si="146"/>
        <v>202</v>
      </c>
      <c r="AV74" s="55">
        <f t="shared" si="147"/>
        <v>100</v>
      </c>
      <c r="AW74" s="55">
        <f t="shared" si="148"/>
        <v>0</v>
      </c>
      <c r="AX74" s="55">
        <f t="shared" si="149"/>
        <v>1308</v>
      </c>
      <c r="AZ74" s="55">
        <f t="shared" si="150"/>
        <v>-1610</v>
      </c>
    </row>
    <row r="75" spans="1:52" ht="36">
      <c r="A75" s="152"/>
      <c r="B75" s="152"/>
      <c r="C75" s="152"/>
      <c r="D75" s="54" t="s">
        <v>70</v>
      </c>
      <c r="E75" s="40">
        <f t="shared" si="143"/>
        <v>45</v>
      </c>
      <c r="F75" s="82">
        <f t="shared" si="143"/>
        <v>45</v>
      </c>
      <c r="G75" s="41">
        <f t="shared" si="151"/>
        <v>100</v>
      </c>
      <c r="H75" s="40"/>
      <c r="I75" s="40"/>
      <c r="J75" s="38"/>
      <c r="K75" s="40"/>
      <c r="L75" s="40"/>
      <c r="M75" s="40"/>
      <c r="N75" s="40">
        <v>16</v>
      </c>
      <c r="O75" s="40">
        <v>1.6</v>
      </c>
      <c r="P75" s="41">
        <f t="shared" si="152"/>
        <v>10</v>
      </c>
      <c r="Q75" s="40"/>
      <c r="R75" s="40"/>
      <c r="S75" s="41"/>
      <c r="T75" s="40">
        <f>12</f>
        <v>12</v>
      </c>
      <c r="U75" s="40">
        <v>24</v>
      </c>
      <c r="V75" s="41">
        <f t="shared" ref="V75" si="155">U75/T75*100</f>
        <v>200</v>
      </c>
      <c r="W75" s="40"/>
      <c r="X75" s="40"/>
      <c r="Y75" s="38"/>
      <c r="Z75" s="40"/>
      <c r="AA75" s="40"/>
      <c r="AB75" s="38"/>
      <c r="AC75" s="40"/>
      <c r="AD75" s="40"/>
      <c r="AE75" s="38"/>
      <c r="AF75" s="40"/>
      <c r="AG75" s="40"/>
      <c r="AH75" s="38"/>
      <c r="AI75" s="40"/>
      <c r="AJ75" s="40"/>
      <c r="AK75" s="38"/>
      <c r="AL75" s="40">
        <f>17</f>
        <v>17</v>
      </c>
      <c r="AM75" s="40">
        <v>0</v>
      </c>
      <c r="AN75" s="41">
        <f t="shared" ref="AN75" si="156">AM75/AL75*100</f>
        <v>0</v>
      </c>
      <c r="AO75" s="40"/>
      <c r="AP75" s="40">
        <v>19.399999999999999</v>
      </c>
      <c r="AQ75" s="41"/>
      <c r="AR75" s="115" t="s">
        <v>54</v>
      </c>
      <c r="AS75" s="64"/>
      <c r="AT75" s="43">
        <f t="shared" si="10"/>
        <v>0.56888888888888889</v>
      </c>
      <c r="AU75" s="55">
        <f t="shared" si="146"/>
        <v>16</v>
      </c>
      <c r="AV75" s="55">
        <f t="shared" si="147"/>
        <v>12</v>
      </c>
      <c r="AW75" s="55">
        <f t="shared" si="148"/>
        <v>0</v>
      </c>
      <c r="AX75" s="55">
        <f t="shared" si="149"/>
        <v>17</v>
      </c>
      <c r="AY75" s="56">
        <v>45</v>
      </c>
      <c r="AZ75" s="55">
        <f t="shared" si="150"/>
        <v>0</v>
      </c>
    </row>
    <row r="76" spans="1:52" ht="14.25" customHeight="1">
      <c r="A76" s="152"/>
      <c r="B76" s="152"/>
      <c r="C76" s="152"/>
      <c r="D76" s="54" t="s">
        <v>24</v>
      </c>
      <c r="E76" s="40">
        <f t="shared" si="143"/>
        <v>0</v>
      </c>
      <c r="F76" s="40">
        <f t="shared" si="143"/>
        <v>0</v>
      </c>
      <c r="G76" s="41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1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1"/>
      <c r="AO76" s="40"/>
      <c r="AP76" s="40"/>
      <c r="AQ76" s="41"/>
      <c r="AR76" s="52"/>
      <c r="AS76" s="52"/>
      <c r="AT76" s="43"/>
      <c r="AU76" s="55">
        <f t="shared" si="146"/>
        <v>0</v>
      </c>
      <c r="AV76" s="55">
        <f t="shared" si="147"/>
        <v>0</v>
      </c>
      <c r="AW76" s="55">
        <f t="shared" si="148"/>
        <v>0</v>
      </c>
      <c r="AX76" s="55">
        <f t="shared" si="149"/>
        <v>0</v>
      </c>
      <c r="AZ76" s="55">
        <f t="shared" si="150"/>
        <v>0</v>
      </c>
    </row>
    <row r="77" spans="1:52" ht="15.75" customHeight="1">
      <c r="A77" s="152" t="s">
        <v>83</v>
      </c>
      <c r="B77" s="152" t="s">
        <v>122</v>
      </c>
      <c r="C77" s="152" t="s">
        <v>6</v>
      </c>
      <c r="D77" s="54" t="s">
        <v>3</v>
      </c>
      <c r="E77" s="40">
        <f t="shared" si="143"/>
        <v>454.3</v>
      </c>
      <c r="F77" s="40">
        <f t="shared" si="143"/>
        <v>454.30000000000007</v>
      </c>
      <c r="G77" s="41">
        <f>F77/E77*100</f>
        <v>100.00000000000003</v>
      </c>
      <c r="H77" s="40">
        <f>H78+H79+H80+H81</f>
        <v>239.4</v>
      </c>
      <c r="I77" s="40">
        <f>I78+I79+I80+I81</f>
        <v>239.4</v>
      </c>
      <c r="J77" s="41">
        <f>I77/H77*100</f>
        <v>100</v>
      </c>
      <c r="K77" s="40">
        <f t="shared" ref="K77:AP77" si="157">K78+K79+K80+K81</f>
        <v>0</v>
      </c>
      <c r="L77" s="40"/>
      <c r="M77" s="38"/>
      <c r="N77" s="40">
        <f t="shared" si="157"/>
        <v>-14.4</v>
      </c>
      <c r="O77" s="40">
        <f t="shared" si="157"/>
        <v>-14.4</v>
      </c>
      <c r="P77" s="38"/>
      <c r="Q77" s="40">
        <f t="shared" si="157"/>
        <v>24.8</v>
      </c>
      <c r="R77" s="40">
        <f t="shared" si="157"/>
        <v>24.8</v>
      </c>
      <c r="S77" s="41">
        <f>R77/Q77*100</f>
        <v>100</v>
      </c>
      <c r="T77" s="40">
        <f t="shared" si="157"/>
        <v>0</v>
      </c>
      <c r="U77" s="40">
        <f t="shared" si="157"/>
        <v>0</v>
      </c>
      <c r="V77" s="41"/>
      <c r="W77" s="40">
        <f t="shared" si="157"/>
        <v>88.5</v>
      </c>
      <c r="X77" s="40">
        <f t="shared" si="157"/>
        <v>88.4</v>
      </c>
      <c r="Y77" s="41">
        <f>X77/W77*100</f>
        <v>99.887005649717523</v>
      </c>
      <c r="Z77" s="40">
        <f t="shared" si="157"/>
        <v>0</v>
      </c>
      <c r="AA77" s="40"/>
      <c r="AB77" s="38"/>
      <c r="AC77" s="40">
        <f t="shared" si="157"/>
        <v>76.099999999999994</v>
      </c>
      <c r="AD77" s="40">
        <f t="shared" si="157"/>
        <v>76.099999999999994</v>
      </c>
      <c r="AE77" s="41">
        <f>AD77/AC77*100</f>
        <v>100</v>
      </c>
      <c r="AF77" s="40">
        <f t="shared" si="157"/>
        <v>0</v>
      </c>
      <c r="AG77" s="40"/>
      <c r="AH77" s="38"/>
      <c r="AI77" s="40">
        <f t="shared" si="157"/>
        <v>22</v>
      </c>
      <c r="AJ77" s="40">
        <f t="shared" si="157"/>
        <v>0</v>
      </c>
      <c r="AK77" s="41">
        <f>AJ77/AI77*100</f>
        <v>0</v>
      </c>
      <c r="AL77" s="40">
        <f t="shared" si="157"/>
        <v>18.100000000000001</v>
      </c>
      <c r="AM77" s="40">
        <f t="shared" si="157"/>
        <v>40</v>
      </c>
      <c r="AN77" s="41">
        <f>AM77/AL77*100</f>
        <v>220.99447513812152</v>
      </c>
      <c r="AO77" s="40">
        <f t="shared" si="157"/>
        <v>-0.2</v>
      </c>
      <c r="AP77" s="40">
        <f t="shared" si="157"/>
        <v>0</v>
      </c>
      <c r="AQ77" s="41">
        <f>AP77/AO77*100</f>
        <v>0</v>
      </c>
      <c r="AR77" s="52"/>
      <c r="AS77" s="52"/>
      <c r="AT77" s="43">
        <f t="shared" si="10"/>
        <v>0.99955995599559966</v>
      </c>
      <c r="AU77" s="55">
        <f t="shared" si="146"/>
        <v>225</v>
      </c>
      <c r="AV77" s="55">
        <f t="shared" si="147"/>
        <v>113.3</v>
      </c>
      <c r="AW77" s="55">
        <f t="shared" si="148"/>
        <v>76.099999999999994</v>
      </c>
      <c r="AX77" s="55">
        <f t="shared" si="149"/>
        <v>39.9</v>
      </c>
      <c r="AY77" s="56">
        <f>AY80</f>
        <v>427.5</v>
      </c>
      <c r="AZ77" s="55">
        <f t="shared" si="150"/>
        <v>-26.79999999999999</v>
      </c>
    </row>
    <row r="78" spans="1:52" ht="15.75">
      <c r="A78" s="152"/>
      <c r="B78" s="152"/>
      <c r="C78" s="152"/>
      <c r="D78" s="54" t="s">
        <v>23</v>
      </c>
      <c r="E78" s="40">
        <f t="shared" si="143"/>
        <v>0</v>
      </c>
      <c r="F78" s="40">
        <f t="shared" si="143"/>
        <v>0</v>
      </c>
      <c r="G78" s="41"/>
      <c r="H78" s="40"/>
      <c r="I78" s="40"/>
      <c r="J78" s="41"/>
      <c r="K78" s="40"/>
      <c r="L78" s="40"/>
      <c r="M78" s="38"/>
      <c r="N78" s="40"/>
      <c r="O78" s="40"/>
      <c r="P78" s="38"/>
      <c r="Q78" s="40"/>
      <c r="R78" s="40"/>
      <c r="S78" s="41"/>
      <c r="T78" s="40"/>
      <c r="U78" s="40"/>
      <c r="V78" s="41"/>
      <c r="W78" s="40"/>
      <c r="X78" s="40"/>
      <c r="Y78" s="41"/>
      <c r="Z78" s="40"/>
      <c r="AA78" s="40"/>
      <c r="AB78" s="38"/>
      <c r="AC78" s="40"/>
      <c r="AD78" s="40"/>
      <c r="AE78" s="41"/>
      <c r="AF78" s="40"/>
      <c r="AG78" s="40"/>
      <c r="AH78" s="38"/>
      <c r="AI78" s="40"/>
      <c r="AJ78" s="40"/>
      <c r="AK78" s="41"/>
      <c r="AL78" s="40"/>
      <c r="AM78" s="40"/>
      <c r="AN78" s="41"/>
      <c r="AO78" s="40"/>
      <c r="AP78" s="40"/>
      <c r="AQ78" s="41"/>
      <c r="AR78" s="52"/>
      <c r="AS78" s="52"/>
      <c r="AT78" s="43"/>
      <c r="AU78" s="55">
        <f t="shared" si="146"/>
        <v>0</v>
      </c>
      <c r="AV78" s="55">
        <f t="shared" si="147"/>
        <v>0</v>
      </c>
      <c r="AW78" s="55">
        <f t="shared" si="148"/>
        <v>0</v>
      </c>
      <c r="AX78" s="55">
        <f t="shared" si="149"/>
        <v>0</v>
      </c>
      <c r="AZ78" s="55">
        <f t="shared" si="150"/>
        <v>0</v>
      </c>
    </row>
    <row r="79" spans="1:52" ht="27" customHeight="1">
      <c r="A79" s="152"/>
      <c r="B79" s="152"/>
      <c r="C79" s="152"/>
      <c r="D79" s="54" t="s">
        <v>4</v>
      </c>
      <c r="E79" s="40">
        <f t="shared" si="143"/>
        <v>0</v>
      </c>
      <c r="F79" s="40">
        <f t="shared" si="143"/>
        <v>0</v>
      </c>
      <c r="G79" s="41"/>
      <c r="H79" s="40"/>
      <c r="I79" s="40"/>
      <c r="J79" s="41"/>
      <c r="K79" s="40"/>
      <c r="L79" s="40"/>
      <c r="M79" s="38"/>
      <c r="N79" s="40"/>
      <c r="O79" s="40"/>
      <c r="P79" s="38"/>
      <c r="Q79" s="40"/>
      <c r="R79" s="40"/>
      <c r="S79" s="41"/>
      <c r="T79" s="40"/>
      <c r="U79" s="40"/>
      <c r="V79" s="41"/>
      <c r="W79" s="40"/>
      <c r="X79" s="40"/>
      <c r="Y79" s="41"/>
      <c r="Z79" s="40"/>
      <c r="AA79" s="40"/>
      <c r="AB79" s="38"/>
      <c r="AC79" s="40"/>
      <c r="AD79" s="40"/>
      <c r="AE79" s="41"/>
      <c r="AF79" s="40"/>
      <c r="AG79" s="40"/>
      <c r="AH79" s="38"/>
      <c r="AI79" s="40"/>
      <c r="AJ79" s="40"/>
      <c r="AK79" s="41"/>
      <c r="AL79" s="40"/>
      <c r="AM79" s="40"/>
      <c r="AN79" s="41"/>
      <c r="AO79" s="40"/>
      <c r="AP79" s="40"/>
      <c r="AQ79" s="41"/>
      <c r="AR79" s="52"/>
      <c r="AS79" s="52"/>
      <c r="AT79" s="43"/>
      <c r="AU79" s="55">
        <f t="shared" si="146"/>
        <v>0</v>
      </c>
      <c r="AV79" s="55">
        <f t="shared" si="147"/>
        <v>0</v>
      </c>
      <c r="AW79" s="55">
        <f t="shared" si="148"/>
        <v>0</v>
      </c>
      <c r="AX79" s="55">
        <f t="shared" si="149"/>
        <v>0</v>
      </c>
      <c r="AZ79" s="55">
        <f t="shared" si="150"/>
        <v>0</v>
      </c>
    </row>
    <row r="80" spans="1:52" ht="290.25" customHeight="1">
      <c r="A80" s="152"/>
      <c r="B80" s="152"/>
      <c r="C80" s="152"/>
      <c r="D80" s="54" t="s">
        <v>70</v>
      </c>
      <c r="E80" s="40">
        <f t="shared" si="143"/>
        <v>454.3</v>
      </c>
      <c r="F80" s="40">
        <f t="shared" si="143"/>
        <v>454.30000000000007</v>
      </c>
      <c r="G80" s="41">
        <f t="shared" ref="G80" si="158">F80/E80*100</f>
        <v>100.00000000000003</v>
      </c>
      <c r="H80" s="40">
        <v>239.4</v>
      </c>
      <c r="I80" s="40">
        <v>239.4</v>
      </c>
      <c r="J80" s="41">
        <f t="shared" ref="J80" si="159">I80/H80*100</f>
        <v>100</v>
      </c>
      <c r="K80" s="40"/>
      <c r="L80" s="40"/>
      <c r="M80" s="38"/>
      <c r="N80" s="40">
        <v>-14.4</v>
      </c>
      <c r="O80" s="40">
        <v>-14.4</v>
      </c>
      <c r="P80" s="38"/>
      <c r="Q80" s="40">
        <v>24.8</v>
      </c>
      <c r="R80" s="40">
        <v>24.8</v>
      </c>
      <c r="S80" s="41">
        <f t="shared" ref="S80" si="160">R80/Q80*100</f>
        <v>100</v>
      </c>
      <c r="T80" s="40"/>
      <c r="U80" s="40"/>
      <c r="V80" s="41"/>
      <c r="W80" s="40">
        <v>88.5</v>
      </c>
      <c r="X80" s="40">
        <v>88.4</v>
      </c>
      <c r="Y80" s="41">
        <f t="shared" ref="Y80" si="161">X80/W80*100</f>
        <v>99.887005649717523</v>
      </c>
      <c r="Z80" s="40"/>
      <c r="AA80" s="40"/>
      <c r="AB80" s="38"/>
      <c r="AC80" s="40">
        <v>76.099999999999994</v>
      </c>
      <c r="AD80" s="40">
        <v>76.099999999999994</v>
      </c>
      <c r="AE80" s="41">
        <f t="shared" ref="AE80" si="162">AD80/AC80*100</f>
        <v>100</v>
      </c>
      <c r="AF80" s="40"/>
      <c r="AG80" s="40"/>
      <c r="AH80" s="38"/>
      <c r="AI80" s="40">
        <v>22</v>
      </c>
      <c r="AJ80" s="40">
        <v>0</v>
      </c>
      <c r="AK80" s="41">
        <f t="shared" ref="AK80" si="163">AJ80/AI80*100</f>
        <v>0</v>
      </c>
      <c r="AL80" s="40">
        <v>18.100000000000001</v>
      </c>
      <c r="AM80" s="40">
        <v>40</v>
      </c>
      <c r="AN80" s="41">
        <f t="shared" ref="AN80" si="164">AM80/AL80*100</f>
        <v>220.99447513812152</v>
      </c>
      <c r="AO80" s="40">
        <v>-0.2</v>
      </c>
      <c r="AP80" s="40"/>
      <c r="AQ80" s="41">
        <f t="shared" ref="AQ80" si="165">AP80/AO80*100</f>
        <v>0</v>
      </c>
      <c r="AR80" s="115" t="s">
        <v>172</v>
      </c>
      <c r="AS80" s="115"/>
      <c r="AT80" s="43">
        <f t="shared" si="10"/>
        <v>0.99955995599559966</v>
      </c>
      <c r="AU80" s="55">
        <f t="shared" si="146"/>
        <v>225</v>
      </c>
      <c r="AV80" s="55">
        <f t="shared" si="147"/>
        <v>113.3</v>
      </c>
      <c r="AW80" s="55">
        <f t="shared" si="148"/>
        <v>76.099999999999994</v>
      </c>
      <c r="AX80" s="100">
        <f t="shared" si="149"/>
        <v>39.9</v>
      </c>
      <c r="AY80" s="56">
        <v>427.5</v>
      </c>
      <c r="AZ80" s="55">
        <f t="shared" si="150"/>
        <v>-26.79999999999999</v>
      </c>
    </row>
    <row r="81" spans="1:52" ht="15.75">
      <c r="A81" s="152"/>
      <c r="B81" s="152"/>
      <c r="C81" s="152"/>
      <c r="D81" s="54" t="s">
        <v>24</v>
      </c>
      <c r="E81" s="40">
        <f t="shared" si="143"/>
        <v>0</v>
      </c>
      <c r="F81" s="40">
        <f t="shared" si="143"/>
        <v>0</v>
      </c>
      <c r="G81" s="41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52"/>
      <c r="AS81" s="52"/>
      <c r="AT81" s="43"/>
      <c r="AU81" s="55">
        <f t="shared" si="146"/>
        <v>0</v>
      </c>
      <c r="AV81" s="55">
        <f t="shared" si="147"/>
        <v>0</v>
      </c>
      <c r="AW81" s="55">
        <f t="shared" si="148"/>
        <v>0</v>
      </c>
      <c r="AX81" s="55">
        <f t="shared" si="149"/>
        <v>0</v>
      </c>
      <c r="AZ81" s="55">
        <f t="shared" si="150"/>
        <v>0</v>
      </c>
    </row>
    <row r="82" spans="1:52" ht="15.75" customHeight="1">
      <c r="A82" s="152" t="s">
        <v>84</v>
      </c>
      <c r="B82" s="152" t="s">
        <v>123</v>
      </c>
      <c r="C82" s="152" t="s">
        <v>11</v>
      </c>
      <c r="D82" s="54" t="s">
        <v>3</v>
      </c>
      <c r="E82" s="40">
        <f t="shared" si="143"/>
        <v>0</v>
      </c>
      <c r="F82" s="40">
        <f t="shared" si="143"/>
        <v>0</v>
      </c>
      <c r="G82" s="40"/>
      <c r="H82" s="40">
        <f>H83+H84+H85+H86</f>
        <v>0</v>
      </c>
      <c r="I82" s="40"/>
      <c r="J82" s="40"/>
      <c r="K82" s="40">
        <f t="shared" ref="K82:AO82" si="166">K83+K84+K85+K86</f>
        <v>0</v>
      </c>
      <c r="L82" s="40"/>
      <c r="M82" s="40"/>
      <c r="N82" s="40">
        <f t="shared" si="166"/>
        <v>0</v>
      </c>
      <c r="O82" s="40"/>
      <c r="P82" s="40"/>
      <c r="Q82" s="40">
        <f t="shared" si="166"/>
        <v>0</v>
      </c>
      <c r="R82" s="40"/>
      <c r="S82" s="40"/>
      <c r="T82" s="40">
        <f t="shared" si="166"/>
        <v>0</v>
      </c>
      <c r="U82" s="40"/>
      <c r="V82" s="40"/>
      <c r="W82" s="40">
        <f t="shared" si="166"/>
        <v>0</v>
      </c>
      <c r="X82" s="40"/>
      <c r="Y82" s="40"/>
      <c r="Z82" s="40">
        <f t="shared" si="166"/>
        <v>0</v>
      </c>
      <c r="AA82" s="40"/>
      <c r="AB82" s="40"/>
      <c r="AC82" s="40">
        <f t="shared" si="166"/>
        <v>0</v>
      </c>
      <c r="AD82" s="40"/>
      <c r="AE82" s="40"/>
      <c r="AF82" s="40">
        <f t="shared" si="166"/>
        <v>0</v>
      </c>
      <c r="AG82" s="40"/>
      <c r="AH82" s="40"/>
      <c r="AI82" s="40">
        <f t="shared" si="166"/>
        <v>0</v>
      </c>
      <c r="AJ82" s="40"/>
      <c r="AK82" s="40"/>
      <c r="AL82" s="40">
        <f t="shared" si="166"/>
        <v>0</v>
      </c>
      <c r="AM82" s="40"/>
      <c r="AN82" s="40"/>
      <c r="AO82" s="40">
        <f t="shared" si="166"/>
        <v>0</v>
      </c>
      <c r="AP82" s="40"/>
      <c r="AQ82" s="40"/>
      <c r="AR82" s="52"/>
      <c r="AS82" s="52"/>
      <c r="AT82" s="43"/>
      <c r="AU82" s="55">
        <f t="shared" si="146"/>
        <v>0</v>
      </c>
      <c r="AV82" s="55">
        <f t="shared" si="147"/>
        <v>0</v>
      </c>
      <c r="AW82" s="55">
        <f t="shared" si="148"/>
        <v>0</v>
      </c>
      <c r="AX82" s="55">
        <f t="shared" si="149"/>
        <v>0</v>
      </c>
      <c r="AZ82" s="55">
        <f t="shared" si="150"/>
        <v>0</v>
      </c>
    </row>
    <row r="83" spans="1:52" ht="15.75">
      <c r="A83" s="152"/>
      <c r="B83" s="152"/>
      <c r="C83" s="152"/>
      <c r="D83" s="54" t="s">
        <v>23</v>
      </c>
      <c r="E83" s="40">
        <f t="shared" si="143"/>
        <v>0</v>
      </c>
      <c r="F83" s="40">
        <f t="shared" si="143"/>
        <v>0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52"/>
      <c r="AS83" s="52"/>
      <c r="AT83" s="43"/>
      <c r="AU83" s="55">
        <f t="shared" si="146"/>
        <v>0</v>
      </c>
      <c r="AV83" s="55">
        <f t="shared" si="147"/>
        <v>0</v>
      </c>
      <c r="AW83" s="55">
        <f t="shared" si="148"/>
        <v>0</v>
      </c>
      <c r="AX83" s="55">
        <f t="shared" si="149"/>
        <v>0</v>
      </c>
      <c r="AZ83" s="55">
        <f t="shared" si="150"/>
        <v>0</v>
      </c>
    </row>
    <row r="84" spans="1:52" ht="24">
      <c r="A84" s="152"/>
      <c r="B84" s="152"/>
      <c r="C84" s="152"/>
      <c r="D84" s="54" t="s">
        <v>4</v>
      </c>
      <c r="E84" s="40">
        <f t="shared" si="143"/>
        <v>0</v>
      </c>
      <c r="F84" s="40">
        <f t="shared" si="143"/>
        <v>0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52"/>
      <c r="AS84" s="52"/>
      <c r="AT84" s="43"/>
      <c r="AU84" s="55">
        <f t="shared" si="146"/>
        <v>0</v>
      </c>
      <c r="AV84" s="55">
        <f t="shared" si="147"/>
        <v>0</v>
      </c>
      <c r="AW84" s="55">
        <f t="shared" si="148"/>
        <v>0</v>
      </c>
      <c r="AX84" s="55">
        <f t="shared" si="149"/>
        <v>0</v>
      </c>
      <c r="AZ84" s="55">
        <f t="shared" si="150"/>
        <v>0</v>
      </c>
    </row>
    <row r="85" spans="1:52" ht="24">
      <c r="A85" s="152"/>
      <c r="B85" s="152"/>
      <c r="C85" s="152"/>
      <c r="D85" s="54" t="s">
        <v>5</v>
      </c>
      <c r="E85" s="40">
        <f t="shared" si="143"/>
        <v>0</v>
      </c>
      <c r="F85" s="40">
        <f t="shared" si="143"/>
        <v>0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52"/>
      <c r="AS85" s="52"/>
      <c r="AT85" s="43"/>
      <c r="AU85" s="55">
        <f t="shared" si="146"/>
        <v>0</v>
      </c>
      <c r="AV85" s="55">
        <f t="shared" si="147"/>
        <v>0</v>
      </c>
      <c r="AW85" s="55">
        <f t="shared" si="148"/>
        <v>0</v>
      </c>
      <c r="AX85" s="55">
        <f t="shared" si="149"/>
        <v>0</v>
      </c>
      <c r="AZ85" s="55">
        <f t="shared" si="150"/>
        <v>0</v>
      </c>
    </row>
    <row r="86" spans="1:52" ht="15.75" customHeight="1">
      <c r="A86" s="152"/>
      <c r="B86" s="152"/>
      <c r="C86" s="152"/>
      <c r="D86" s="54" t="s">
        <v>24</v>
      </c>
      <c r="E86" s="40">
        <f t="shared" si="143"/>
        <v>0</v>
      </c>
      <c r="F86" s="40">
        <f t="shared" si="143"/>
        <v>0</v>
      </c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52"/>
      <c r="AS86" s="52"/>
      <c r="AT86" s="43"/>
      <c r="AU86" s="55">
        <f t="shared" si="146"/>
        <v>0</v>
      </c>
      <c r="AV86" s="55">
        <f t="shared" si="147"/>
        <v>0</v>
      </c>
      <c r="AW86" s="55">
        <f t="shared" si="148"/>
        <v>0</v>
      </c>
      <c r="AX86" s="55">
        <f t="shared" si="149"/>
        <v>0</v>
      </c>
      <c r="AZ86" s="55">
        <f t="shared" si="150"/>
        <v>0</v>
      </c>
    </row>
    <row r="87" spans="1:52" ht="14.25" customHeight="1">
      <c r="A87" s="152" t="s">
        <v>85</v>
      </c>
      <c r="B87" s="152" t="s">
        <v>124</v>
      </c>
      <c r="C87" s="152" t="s">
        <v>6</v>
      </c>
      <c r="D87" s="54" t="s">
        <v>3</v>
      </c>
      <c r="E87" s="40">
        <f t="shared" si="143"/>
        <v>2432.3000000000002</v>
      </c>
      <c r="F87" s="40">
        <f t="shared" si="143"/>
        <v>2432.3000000000002</v>
      </c>
      <c r="G87" s="41">
        <f>F87/E87*100</f>
        <v>100</v>
      </c>
      <c r="H87" s="40">
        <f>H88+H89+H90+H91</f>
        <v>0</v>
      </c>
      <c r="I87" s="40"/>
      <c r="J87" s="38"/>
      <c r="K87" s="40">
        <f t="shared" ref="K87:AP87" si="167">K88+K89+K90+K91</f>
        <v>3</v>
      </c>
      <c r="L87" s="40">
        <f t="shared" si="167"/>
        <v>3</v>
      </c>
      <c r="M87" s="41">
        <f>L87/K87*100</f>
        <v>100</v>
      </c>
      <c r="N87" s="40">
        <f t="shared" si="167"/>
        <v>300</v>
      </c>
      <c r="O87" s="40">
        <f t="shared" si="167"/>
        <v>0</v>
      </c>
      <c r="P87" s="41">
        <f>O87/N87*100</f>
        <v>0</v>
      </c>
      <c r="Q87" s="40">
        <f t="shared" si="167"/>
        <v>20</v>
      </c>
      <c r="R87" s="40">
        <f t="shared" si="167"/>
        <v>320</v>
      </c>
      <c r="S87" s="41">
        <f>R87/Q87*100</f>
        <v>1600</v>
      </c>
      <c r="T87" s="40">
        <f t="shared" si="167"/>
        <v>50</v>
      </c>
      <c r="U87" s="40">
        <f t="shared" si="167"/>
        <v>50</v>
      </c>
      <c r="V87" s="41">
        <f>U87/T87*100</f>
        <v>100</v>
      </c>
      <c r="W87" s="40">
        <f t="shared" si="167"/>
        <v>354.9</v>
      </c>
      <c r="X87" s="40">
        <f t="shared" si="167"/>
        <v>354.9</v>
      </c>
      <c r="Y87" s="41">
        <f>X87/W87*100</f>
        <v>100</v>
      </c>
      <c r="Z87" s="40">
        <f t="shared" si="167"/>
        <v>95.1</v>
      </c>
      <c r="AA87" s="40">
        <f t="shared" si="167"/>
        <v>95.1</v>
      </c>
      <c r="AB87" s="41">
        <f>AA87/Z87*100</f>
        <v>100</v>
      </c>
      <c r="AC87" s="40">
        <f t="shared" si="167"/>
        <v>150</v>
      </c>
      <c r="AD87" s="40">
        <f t="shared" si="167"/>
        <v>150</v>
      </c>
      <c r="AE87" s="41">
        <f>AD87/AC87*100</f>
        <v>100</v>
      </c>
      <c r="AF87" s="40">
        <f t="shared" si="167"/>
        <v>1039</v>
      </c>
      <c r="AG87" s="40">
        <f t="shared" si="167"/>
        <v>0</v>
      </c>
      <c r="AH87" s="41">
        <f>AG87/AF87*100</f>
        <v>0</v>
      </c>
      <c r="AI87" s="40">
        <f t="shared" si="167"/>
        <v>0</v>
      </c>
      <c r="AJ87" s="40">
        <f t="shared" si="167"/>
        <v>380.7</v>
      </c>
      <c r="AK87" s="41"/>
      <c r="AL87" s="40">
        <f t="shared" si="167"/>
        <v>420.3</v>
      </c>
      <c r="AM87" s="40">
        <f t="shared" si="167"/>
        <v>808.3</v>
      </c>
      <c r="AN87" s="41">
        <f>AM87/AL87*100</f>
        <v>192.315013085891</v>
      </c>
      <c r="AO87" s="40">
        <f t="shared" si="167"/>
        <v>0</v>
      </c>
      <c r="AP87" s="40">
        <f t="shared" si="167"/>
        <v>270.3</v>
      </c>
      <c r="AQ87" s="41"/>
      <c r="AR87" s="52"/>
      <c r="AS87" s="52"/>
      <c r="AT87" s="43">
        <f t="shared" ref="AT87:AT150" si="168">(I87+L87+O87+R87+U87+X87+AA87+AD87+AG87+AJ87+AM87)/(H87+K87+N87+Q87+T87+W87+Z87+AC87+AF87+AI87+AL87)</f>
        <v>0.88887061628910902</v>
      </c>
      <c r="AU87" s="55">
        <f t="shared" si="146"/>
        <v>303</v>
      </c>
      <c r="AV87" s="55">
        <f t="shared" si="147"/>
        <v>424.9</v>
      </c>
      <c r="AW87" s="55">
        <f t="shared" si="148"/>
        <v>1284.0999999999999</v>
      </c>
      <c r="AX87" s="55">
        <f t="shared" si="149"/>
        <v>420.3</v>
      </c>
      <c r="AY87" s="56">
        <f>AY90</f>
        <v>223</v>
      </c>
      <c r="AZ87" s="55">
        <f t="shared" si="150"/>
        <v>-2209.3000000000002</v>
      </c>
    </row>
    <row r="88" spans="1:52" ht="13.5" customHeight="1">
      <c r="A88" s="152"/>
      <c r="B88" s="152"/>
      <c r="C88" s="152"/>
      <c r="D88" s="54" t="s">
        <v>23</v>
      </c>
      <c r="E88" s="40">
        <f t="shared" ref="E88:F126" si="169">H88+K88+N88+Q88+T88+W88+Z88+AC88+AF88+AI88+AL88+AO88</f>
        <v>0</v>
      </c>
      <c r="F88" s="40">
        <f t="shared" si="169"/>
        <v>0</v>
      </c>
      <c r="G88" s="41"/>
      <c r="H88" s="40"/>
      <c r="I88" s="40"/>
      <c r="J88" s="38"/>
      <c r="K88" s="40"/>
      <c r="L88" s="40"/>
      <c r="M88" s="41"/>
      <c r="N88" s="40"/>
      <c r="O88" s="40"/>
      <c r="P88" s="41"/>
      <c r="Q88" s="40"/>
      <c r="R88" s="40"/>
      <c r="S88" s="41"/>
      <c r="T88" s="40"/>
      <c r="U88" s="40"/>
      <c r="V88" s="41"/>
      <c r="W88" s="40"/>
      <c r="X88" s="40"/>
      <c r="Y88" s="41"/>
      <c r="Z88" s="40"/>
      <c r="AA88" s="40"/>
      <c r="AB88" s="41"/>
      <c r="AC88" s="40"/>
      <c r="AD88" s="40"/>
      <c r="AE88" s="41"/>
      <c r="AF88" s="40"/>
      <c r="AG88" s="40"/>
      <c r="AH88" s="41"/>
      <c r="AI88" s="40"/>
      <c r="AJ88" s="40"/>
      <c r="AK88" s="41"/>
      <c r="AL88" s="40"/>
      <c r="AM88" s="40"/>
      <c r="AN88" s="41"/>
      <c r="AO88" s="40"/>
      <c r="AP88" s="40"/>
      <c r="AQ88" s="41"/>
      <c r="AR88" s="52"/>
      <c r="AS88" s="52"/>
      <c r="AT88" s="43"/>
      <c r="AU88" s="55">
        <f t="shared" si="146"/>
        <v>0</v>
      </c>
      <c r="AV88" s="55">
        <f t="shared" si="147"/>
        <v>0</v>
      </c>
      <c r="AW88" s="55">
        <f t="shared" si="148"/>
        <v>0</v>
      </c>
      <c r="AX88" s="55">
        <f t="shared" si="149"/>
        <v>0</v>
      </c>
      <c r="AZ88" s="55">
        <f t="shared" si="150"/>
        <v>0</v>
      </c>
    </row>
    <row r="89" spans="1:52" ht="84">
      <c r="A89" s="152"/>
      <c r="B89" s="152"/>
      <c r="C89" s="152"/>
      <c r="D89" s="54" t="s">
        <v>4</v>
      </c>
      <c r="E89" s="40">
        <f t="shared" si="169"/>
        <v>1150</v>
      </c>
      <c r="F89" s="40">
        <f t="shared" si="169"/>
        <v>1150</v>
      </c>
      <c r="G89" s="41">
        <f t="shared" ref="G89:G90" si="170">F89/E89*100</f>
        <v>100</v>
      </c>
      <c r="H89" s="65"/>
      <c r="I89" s="65"/>
      <c r="J89" s="38"/>
      <c r="K89" s="40"/>
      <c r="L89" s="65"/>
      <c r="M89" s="41"/>
      <c r="N89" s="40">
        <v>300</v>
      </c>
      <c r="O89" s="40"/>
      <c r="P89" s="41">
        <f t="shared" ref="P89" si="171">O89/N89*100</f>
        <v>0</v>
      </c>
      <c r="Q89" s="40"/>
      <c r="R89" s="40">
        <v>300</v>
      </c>
      <c r="S89" s="41"/>
      <c r="T89" s="40"/>
      <c r="U89" s="40"/>
      <c r="V89" s="41"/>
      <c r="W89" s="40">
        <f>233.7</f>
        <v>233.7</v>
      </c>
      <c r="X89" s="40">
        <v>233.7</v>
      </c>
      <c r="Y89" s="41">
        <f t="shared" ref="Y89:Y90" si="172">X89/W89*100</f>
        <v>100</v>
      </c>
      <c r="Z89" s="40">
        <v>66.3</v>
      </c>
      <c r="AA89" s="40">
        <v>66.3</v>
      </c>
      <c r="AB89" s="41">
        <f t="shared" ref="AB89:AB90" si="173">AA89/Z89*100</f>
        <v>100</v>
      </c>
      <c r="AC89" s="40">
        <v>150</v>
      </c>
      <c r="AD89" s="40">
        <v>150</v>
      </c>
      <c r="AE89" s="41">
        <f t="shared" ref="AE89" si="174">AD89/AC89*100</f>
        <v>100</v>
      </c>
      <c r="AF89" s="65"/>
      <c r="AG89" s="65"/>
      <c r="AH89" s="41"/>
      <c r="AI89" s="65"/>
      <c r="AJ89" s="40">
        <v>150</v>
      </c>
      <c r="AK89" s="41"/>
      <c r="AL89" s="40">
        <f>150+250</f>
        <v>400</v>
      </c>
      <c r="AM89" s="65">
        <v>0</v>
      </c>
      <c r="AN89" s="41">
        <f t="shared" ref="AN89:AN90" si="175">AM89/AL89*100</f>
        <v>0</v>
      </c>
      <c r="AO89" s="65"/>
      <c r="AP89" s="65">
        <v>250</v>
      </c>
      <c r="AQ89" s="41"/>
      <c r="AR89" s="116" t="s">
        <v>173</v>
      </c>
      <c r="AS89" s="64"/>
      <c r="AT89" s="43">
        <f t="shared" si="168"/>
        <v>0.78260869565217395</v>
      </c>
      <c r="AU89" s="55">
        <f t="shared" si="146"/>
        <v>300</v>
      </c>
      <c r="AV89" s="55">
        <f t="shared" si="147"/>
        <v>233.7</v>
      </c>
      <c r="AW89" s="55">
        <f t="shared" si="148"/>
        <v>216.3</v>
      </c>
      <c r="AX89" s="55">
        <f t="shared" si="149"/>
        <v>400</v>
      </c>
      <c r="AZ89" s="55">
        <f t="shared" si="150"/>
        <v>-1150</v>
      </c>
    </row>
    <row r="90" spans="1:52" ht="123" customHeight="1">
      <c r="A90" s="152"/>
      <c r="B90" s="152"/>
      <c r="C90" s="152"/>
      <c r="D90" s="54" t="s">
        <v>70</v>
      </c>
      <c r="E90" s="40">
        <f t="shared" si="169"/>
        <v>1282.3</v>
      </c>
      <c r="F90" s="40">
        <f t="shared" si="169"/>
        <v>1282.3</v>
      </c>
      <c r="G90" s="41">
        <f t="shared" si="170"/>
        <v>100</v>
      </c>
      <c r="H90" s="40"/>
      <c r="I90" s="40"/>
      <c r="J90" s="38"/>
      <c r="K90" s="40">
        <v>3</v>
      </c>
      <c r="L90" s="40">
        <v>3</v>
      </c>
      <c r="M90" s="41">
        <f t="shared" ref="M90" si="176">L90/K90*100</f>
        <v>100</v>
      </c>
      <c r="N90" s="40">
        <v>0</v>
      </c>
      <c r="O90" s="40"/>
      <c r="P90" s="41"/>
      <c r="Q90" s="40">
        <v>20</v>
      </c>
      <c r="R90" s="40">
        <v>20</v>
      </c>
      <c r="S90" s="41">
        <f t="shared" ref="S90" si="177">R90/Q90*100</f>
        <v>100</v>
      </c>
      <c r="T90" s="40">
        <v>50</v>
      </c>
      <c r="U90" s="40">
        <v>50</v>
      </c>
      <c r="V90" s="41">
        <f t="shared" ref="V90" si="178">U90/T90*100</f>
        <v>100</v>
      </c>
      <c r="W90" s="40">
        <v>121.2</v>
      </c>
      <c r="X90" s="40">
        <v>121.2</v>
      </c>
      <c r="Y90" s="41">
        <f t="shared" si="172"/>
        <v>100</v>
      </c>
      <c r="Z90" s="40">
        <v>28.8</v>
      </c>
      <c r="AA90" s="40">
        <v>28.8</v>
      </c>
      <c r="AB90" s="41">
        <f t="shared" si="173"/>
        <v>100</v>
      </c>
      <c r="AC90" s="40"/>
      <c r="AD90" s="40"/>
      <c r="AE90" s="41"/>
      <c r="AF90" s="40">
        <v>1039</v>
      </c>
      <c r="AG90" s="40">
        <v>0</v>
      </c>
      <c r="AH90" s="41">
        <f t="shared" ref="AH90" si="179">AG90/AF90*100</f>
        <v>0</v>
      </c>
      <c r="AI90" s="40"/>
      <c r="AJ90" s="40">
        <v>230.7</v>
      </c>
      <c r="AK90" s="41"/>
      <c r="AL90" s="40">
        <v>20.3</v>
      </c>
      <c r="AM90" s="40">
        <v>808.3</v>
      </c>
      <c r="AN90" s="41">
        <f t="shared" si="175"/>
        <v>3981.7733990147781</v>
      </c>
      <c r="AO90" s="40"/>
      <c r="AP90" s="40">
        <v>20.3</v>
      </c>
      <c r="AQ90" s="41"/>
      <c r="AR90" s="116" t="s">
        <v>174</v>
      </c>
      <c r="AS90" s="116"/>
      <c r="AT90" s="43">
        <f t="shared" si="168"/>
        <v>0.98416907120018715</v>
      </c>
      <c r="AU90" s="55">
        <f t="shared" si="146"/>
        <v>3</v>
      </c>
      <c r="AV90" s="55">
        <f t="shared" si="147"/>
        <v>191.2</v>
      </c>
      <c r="AW90" s="55">
        <f t="shared" si="148"/>
        <v>1067.8</v>
      </c>
      <c r="AX90" s="55">
        <f t="shared" si="149"/>
        <v>20.3</v>
      </c>
      <c r="AY90" s="56">
        <v>223</v>
      </c>
      <c r="AZ90" s="55">
        <f t="shared" si="150"/>
        <v>-1059.3</v>
      </c>
    </row>
    <row r="91" spans="1:52" ht="15" customHeight="1">
      <c r="A91" s="152"/>
      <c r="B91" s="152"/>
      <c r="C91" s="152"/>
      <c r="D91" s="54" t="s">
        <v>24</v>
      </c>
      <c r="E91" s="40">
        <f t="shared" si="169"/>
        <v>0</v>
      </c>
      <c r="F91" s="40">
        <f t="shared" si="169"/>
        <v>0</v>
      </c>
      <c r="G91" s="41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1"/>
      <c r="AO91" s="40"/>
      <c r="AP91" s="40"/>
      <c r="AQ91" s="40"/>
      <c r="AR91" s="52"/>
      <c r="AS91" s="52"/>
      <c r="AT91" s="43"/>
      <c r="AU91" s="55">
        <f t="shared" si="146"/>
        <v>0</v>
      </c>
      <c r="AV91" s="55">
        <f t="shared" si="147"/>
        <v>0</v>
      </c>
      <c r="AW91" s="55">
        <f t="shared" si="148"/>
        <v>0</v>
      </c>
      <c r="AX91" s="55">
        <f t="shared" si="149"/>
        <v>0</v>
      </c>
      <c r="AZ91" s="55">
        <f t="shared" si="150"/>
        <v>0</v>
      </c>
    </row>
    <row r="92" spans="1:52" ht="14.25" customHeight="1">
      <c r="A92" s="152" t="s">
        <v>86</v>
      </c>
      <c r="B92" s="152" t="s">
        <v>125</v>
      </c>
      <c r="C92" s="152" t="s">
        <v>6</v>
      </c>
      <c r="D92" s="54" t="s">
        <v>3</v>
      </c>
      <c r="E92" s="40">
        <f>H92+K92+N92+Q92+T92+W92+Z92+AC92+AF92+AI92+AL92+AO92</f>
        <v>5</v>
      </c>
      <c r="F92" s="40">
        <f>I92+L92+O92+R92+U92+X92+AA92+AD92+AG92+AJ92+AM92+AP92</f>
        <v>5</v>
      </c>
      <c r="G92" s="41">
        <f>F92/E92*100</f>
        <v>100</v>
      </c>
      <c r="H92" s="40">
        <f>H93+H94+H95+H96</f>
        <v>0</v>
      </c>
      <c r="I92" s="40"/>
      <c r="J92" s="38"/>
      <c r="K92" s="40">
        <f t="shared" ref="K92:AO92" si="180">K93+K94+K95+K96</f>
        <v>0</v>
      </c>
      <c r="L92" s="40"/>
      <c r="M92" s="38"/>
      <c r="N92" s="40">
        <f t="shared" si="180"/>
        <v>0</v>
      </c>
      <c r="O92" s="40"/>
      <c r="P92" s="38"/>
      <c r="Q92" s="40">
        <f t="shared" si="180"/>
        <v>0</v>
      </c>
      <c r="R92" s="40"/>
      <c r="S92" s="38"/>
      <c r="T92" s="40">
        <f t="shared" si="180"/>
        <v>0</v>
      </c>
      <c r="U92" s="40"/>
      <c r="V92" s="38"/>
      <c r="W92" s="40">
        <f t="shared" si="180"/>
        <v>0</v>
      </c>
      <c r="X92" s="40">
        <f t="shared" si="180"/>
        <v>0</v>
      </c>
      <c r="Y92" s="38"/>
      <c r="Z92" s="40">
        <f t="shared" si="180"/>
        <v>0</v>
      </c>
      <c r="AA92" s="40"/>
      <c r="AB92" s="38"/>
      <c r="AC92" s="40">
        <f t="shared" si="180"/>
        <v>0</v>
      </c>
      <c r="AD92" s="40"/>
      <c r="AE92" s="38"/>
      <c r="AF92" s="40">
        <f>AF93+AF94+AF95+AF96</f>
        <v>5</v>
      </c>
      <c r="AG92" s="40">
        <f>AG93+AG94+AG95+AG96</f>
        <v>5</v>
      </c>
      <c r="AH92" s="41">
        <f>AG92/AF92*100</f>
        <v>100</v>
      </c>
      <c r="AI92" s="40">
        <f t="shared" si="180"/>
        <v>0</v>
      </c>
      <c r="AJ92" s="40"/>
      <c r="AK92" s="38"/>
      <c r="AL92" s="40">
        <f t="shared" si="180"/>
        <v>0</v>
      </c>
      <c r="AM92" s="40"/>
      <c r="AN92" s="41"/>
      <c r="AO92" s="40">
        <f t="shared" si="180"/>
        <v>0</v>
      </c>
      <c r="AP92" s="40"/>
      <c r="AQ92" s="38"/>
      <c r="AR92" s="52"/>
      <c r="AS92" s="52"/>
      <c r="AT92" s="43">
        <f t="shared" si="168"/>
        <v>1</v>
      </c>
      <c r="AU92" s="55">
        <f t="shared" si="146"/>
        <v>0</v>
      </c>
      <c r="AV92" s="55">
        <f t="shared" si="147"/>
        <v>0</v>
      </c>
      <c r="AW92" s="55">
        <f>Z92+AC92+AF92</f>
        <v>5</v>
      </c>
      <c r="AX92" s="55">
        <f t="shared" si="149"/>
        <v>0</v>
      </c>
      <c r="AY92" s="56">
        <f>AY95</f>
        <v>5</v>
      </c>
      <c r="AZ92" s="55">
        <f t="shared" si="150"/>
        <v>0</v>
      </c>
    </row>
    <row r="93" spans="1:52" ht="14.25" customHeight="1">
      <c r="A93" s="152"/>
      <c r="B93" s="152"/>
      <c r="C93" s="152"/>
      <c r="D93" s="54" t="s">
        <v>23</v>
      </c>
      <c r="E93" s="40">
        <f t="shared" si="169"/>
        <v>0</v>
      </c>
      <c r="F93" s="40">
        <f t="shared" si="169"/>
        <v>0</v>
      </c>
      <c r="G93" s="41"/>
      <c r="H93" s="40"/>
      <c r="I93" s="40"/>
      <c r="J93" s="38"/>
      <c r="K93" s="40"/>
      <c r="L93" s="40"/>
      <c r="M93" s="38"/>
      <c r="N93" s="40"/>
      <c r="O93" s="40"/>
      <c r="P93" s="38"/>
      <c r="Q93" s="40"/>
      <c r="R93" s="40"/>
      <c r="S93" s="38"/>
      <c r="T93" s="40"/>
      <c r="U93" s="40"/>
      <c r="V93" s="38"/>
      <c r="W93" s="40"/>
      <c r="X93" s="40"/>
      <c r="Y93" s="38"/>
      <c r="Z93" s="40"/>
      <c r="AA93" s="40"/>
      <c r="AB93" s="38"/>
      <c r="AC93" s="40"/>
      <c r="AD93" s="40"/>
      <c r="AE93" s="38"/>
      <c r="AF93" s="40"/>
      <c r="AG93" s="40"/>
      <c r="AH93" s="41"/>
      <c r="AI93" s="40"/>
      <c r="AJ93" s="40"/>
      <c r="AK93" s="38"/>
      <c r="AL93" s="40"/>
      <c r="AM93" s="40"/>
      <c r="AN93" s="38"/>
      <c r="AO93" s="40"/>
      <c r="AP93" s="40"/>
      <c r="AQ93" s="38"/>
      <c r="AR93" s="52"/>
      <c r="AS93" s="52"/>
      <c r="AT93" s="43"/>
      <c r="AU93" s="55">
        <f t="shared" si="146"/>
        <v>0</v>
      </c>
      <c r="AV93" s="55">
        <f t="shared" si="147"/>
        <v>0</v>
      </c>
      <c r="AW93" s="55">
        <f t="shared" si="148"/>
        <v>0</v>
      </c>
      <c r="AX93" s="55">
        <f t="shared" si="149"/>
        <v>0</v>
      </c>
      <c r="AZ93" s="55">
        <f t="shared" si="150"/>
        <v>0</v>
      </c>
    </row>
    <row r="94" spans="1:52" ht="24">
      <c r="A94" s="152"/>
      <c r="B94" s="152"/>
      <c r="C94" s="152"/>
      <c r="D94" s="54" t="s">
        <v>4</v>
      </c>
      <c r="E94" s="40">
        <f t="shared" si="169"/>
        <v>0</v>
      </c>
      <c r="F94" s="40">
        <f t="shared" si="169"/>
        <v>0</v>
      </c>
      <c r="G94" s="41"/>
      <c r="H94" s="40"/>
      <c r="I94" s="40"/>
      <c r="J94" s="38"/>
      <c r="K94" s="40"/>
      <c r="L94" s="40"/>
      <c r="M94" s="38"/>
      <c r="N94" s="40"/>
      <c r="O94" s="40"/>
      <c r="P94" s="38"/>
      <c r="Q94" s="40"/>
      <c r="R94" s="40"/>
      <c r="S94" s="38"/>
      <c r="T94" s="40"/>
      <c r="U94" s="40"/>
      <c r="V94" s="38"/>
      <c r="W94" s="40"/>
      <c r="X94" s="40"/>
      <c r="Y94" s="38"/>
      <c r="Z94" s="40"/>
      <c r="AA94" s="40"/>
      <c r="AB94" s="38"/>
      <c r="AC94" s="40"/>
      <c r="AD94" s="40"/>
      <c r="AE94" s="38"/>
      <c r="AF94" s="40"/>
      <c r="AG94" s="40"/>
      <c r="AH94" s="41"/>
      <c r="AI94" s="40"/>
      <c r="AJ94" s="40"/>
      <c r="AK94" s="38"/>
      <c r="AL94" s="40"/>
      <c r="AM94" s="40"/>
      <c r="AN94" s="38"/>
      <c r="AO94" s="40"/>
      <c r="AP94" s="40"/>
      <c r="AQ94" s="38"/>
      <c r="AR94" s="52"/>
      <c r="AS94" s="52"/>
      <c r="AT94" s="43"/>
      <c r="AU94" s="55">
        <f t="shared" si="146"/>
        <v>0</v>
      </c>
      <c r="AV94" s="55">
        <f t="shared" si="147"/>
        <v>0</v>
      </c>
      <c r="AW94" s="55">
        <f t="shared" si="148"/>
        <v>0</v>
      </c>
      <c r="AX94" s="55">
        <f t="shared" si="149"/>
        <v>0</v>
      </c>
      <c r="AZ94" s="55">
        <f t="shared" si="150"/>
        <v>0</v>
      </c>
    </row>
    <row r="95" spans="1:52" ht="36" customHeight="1">
      <c r="A95" s="152"/>
      <c r="B95" s="152"/>
      <c r="C95" s="152"/>
      <c r="D95" s="54" t="s">
        <v>70</v>
      </c>
      <c r="E95" s="40">
        <f t="shared" si="169"/>
        <v>5</v>
      </c>
      <c r="F95" s="40">
        <f t="shared" si="169"/>
        <v>5</v>
      </c>
      <c r="G95" s="41">
        <f t="shared" ref="G95" si="181">F95/E95*100</f>
        <v>100</v>
      </c>
      <c r="H95" s="40"/>
      <c r="I95" s="40"/>
      <c r="J95" s="38"/>
      <c r="K95" s="40"/>
      <c r="L95" s="40"/>
      <c r="M95" s="38"/>
      <c r="N95" s="40"/>
      <c r="O95" s="40"/>
      <c r="P95" s="38"/>
      <c r="Q95" s="40"/>
      <c r="R95" s="40"/>
      <c r="S95" s="38"/>
      <c r="T95" s="40"/>
      <c r="U95" s="40"/>
      <c r="V95" s="38"/>
      <c r="W95" s="40"/>
      <c r="X95" s="40"/>
      <c r="Y95" s="38"/>
      <c r="Z95" s="40"/>
      <c r="AA95" s="40"/>
      <c r="AB95" s="38"/>
      <c r="AC95" s="40"/>
      <c r="AD95" s="40"/>
      <c r="AE95" s="38"/>
      <c r="AF95" s="40">
        <v>5</v>
      </c>
      <c r="AG95" s="40">
        <v>5</v>
      </c>
      <c r="AH95" s="41">
        <f t="shared" ref="AH95" si="182">AG95/AF95*100</f>
        <v>100</v>
      </c>
      <c r="AI95" s="40"/>
      <c r="AJ95" s="40"/>
      <c r="AK95" s="38"/>
      <c r="AL95" s="40"/>
      <c r="AM95" s="40"/>
      <c r="AN95" s="38"/>
      <c r="AO95" s="40"/>
      <c r="AP95" s="40"/>
      <c r="AQ95" s="38"/>
      <c r="AR95" s="64" t="s">
        <v>151</v>
      </c>
      <c r="AS95" s="52"/>
      <c r="AT95" s="43">
        <f t="shared" si="168"/>
        <v>1</v>
      </c>
      <c r="AU95" s="55">
        <f t="shared" si="146"/>
        <v>0</v>
      </c>
      <c r="AV95" s="55">
        <f t="shared" si="147"/>
        <v>0</v>
      </c>
      <c r="AW95" s="55">
        <f t="shared" si="148"/>
        <v>5</v>
      </c>
      <c r="AX95" s="55">
        <f t="shared" si="149"/>
        <v>0</v>
      </c>
      <c r="AY95" s="56">
        <v>5</v>
      </c>
      <c r="AZ95" s="55">
        <f t="shared" si="150"/>
        <v>0</v>
      </c>
    </row>
    <row r="96" spans="1:52" ht="13.5" customHeight="1">
      <c r="A96" s="152"/>
      <c r="B96" s="152"/>
      <c r="C96" s="152"/>
      <c r="D96" s="54" t="s">
        <v>24</v>
      </c>
      <c r="E96" s="40">
        <f t="shared" si="169"/>
        <v>0</v>
      </c>
      <c r="F96" s="40">
        <f t="shared" si="169"/>
        <v>0</v>
      </c>
      <c r="G96" s="41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1"/>
      <c r="AI96" s="40"/>
      <c r="AJ96" s="40"/>
      <c r="AK96" s="40"/>
      <c r="AL96" s="40"/>
      <c r="AM96" s="40"/>
      <c r="AN96" s="40"/>
      <c r="AO96" s="40"/>
      <c r="AP96" s="40"/>
      <c r="AQ96" s="40"/>
      <c r="AR96" s="52"/>
      <c r="AS96" s="52"/>
      <c r="AT96" s="43"/>
      <c r="AU96" s="55">
        <f t="shared" si="146"/>
        <v>0</v>
      </c>
      <c r="AV96" s="55">
        <f t="shared" si="147"/>
        <v>0</v>
      </c>
      <c r="AW96" s="55">
        <f t="shared" si="148"/>
        <v>0</v>
      </c>
      <c r="AX96" s="55">
        <f t="shared" si="149"/>
        <v>0</v>
      </c>
      <c r="AZ96" s="55">
        <f t="shared" si="150"/>
        <v>0</v>
      </c>
    </row>
    <row r="97" spans="1:52" ht="13.5" customHeight="1">
      <c r="A97" s="152" t="s">
        <v>87</v>
      </c>
      <c r="B97" s="152" t="s">
        <v>126</v>
      </c>
      <c r="C97" s="152" t="s">
        <v>6</v>
      </c>
      <c r="D97" s="54" t="s">
        <v>3</v>
      </c>
      <c r="E97" s="40">
        <f t="shared" si="169"/>
        <v>24</v>
      </c>
      <c r="F97" s="40">
        <f t="shared" si="169"/>
        <v>24</v>
      </c>
      <c r="G97" s="41">
        <f>F97/E97*100</f>
        <v>100</v>
      </c>
      <c r="H97" s="40">
        <f>H98+H99+H100+H101</f>
        <v>0</v>
      </c>
      <c r="I97" s="40"/>
      <c r="J97" s="38"/>
      <c r="K97" s="40">
        <f t="shared" ref="K97:AO97" si="183">K98+K99+K100+K101</f>
        <v>0</v>
      </c>
      <c r="L97" s="40"/>
      <c r="M97" s="38"/>
      <c r="N97" s="40">
        <f t="shared" si="183"/>
        <v>10</v>
      </c>
      <c r="O97" s="40">
        <f t="shared" si="183"/>
        <v>10</v>
      </c>
      <c r="P97" s="41">
        <f>O97/N97*100</f>
        <v>100</v>
      </c>
      <c r="Q97" s="40">
        <f t="shared" si="183"/>
        <v>14.4</v>
      </c>
      <c r="R97" s="40">
        <f t="shared" si="183"/>
        <v>14.4</v>
      </c>
      <c r="S97" s="41">
        <f>R97/Q97*100</f>
        <v>100</v>
      </c>
      <c r="T97" s="40">
        <f t="shared" si="183"/>
        <v>0</v>
      </c>
      <c r="U97" s="40">
        <f t="shared" si="183"/>
        <v>-0.4</v>
      </c>
      <c r="V97" s="38"/>
      <c r="W97" s="40">
        <f t="shared" si="183"/>
        <v>-0.4</v>
      </c>
      <c r="X97" s="40">
        <f t="shared" si="183"/>
        <v>0</v>
      </c>
      <c r="Y97" s="38">
        <f t="shared" ref="Y97:Y100" si="184">X97/W97</f>
        <v>0</v>
      </c>
      <c r="Z97" s="40">
        <f t="shared" si="183"/>
        <v>0</v>
      </c>
      <c r="AA97" s="40"/>
      <c r="AB97" s="38"/>
      <c r="AC97" s="40">
        <f t="shared" si="183"/>
        <v>0</v>
      </c>
      <c r="AD97" s="40"/>
      <c r="AE97" s="38"/>
      <c r="AF97" s="40">
        <f t="shared" si="183"/>
        <v>0</v>
      </c>
      <c r="AG97" s="40">
        <f t="shared" si="183"/>
        <v>0</v>
      </c>
      <c r="AH97" s="41"/>
      <c r="AI97" s="40">
        <f t="shared" si="183"/>
        <v>0</v>
      </c>
      <c r="AJ97" s="40"/>
      <c r="AK97" s="38"/>
      <c r="AL97" s="40">
        <f t="shared" si="183"/>
        <v>0</v>
      </c>
      <c r="AM97" s="40"/>
      <c r="AN97" s="38"/>
      <c r="AO97" s="40">
        <f t="shared" si="183"/>
        <v>0</v>
      </c>
      <c r="AP97" s="40"/>
      <c r="AQ97" s="38"/>
      <c r="AR97" s="52"/>
      <c r="AS97" s="52"/>
      <c r="AT97" s="43">
        <f t="shared" si="168"/>
        <v>1</v>
      </c>
      <c r="AU97" s="55">
        <f t="shared" si="146"/>
        <v>10</v>
      </c>
      <c r="AV97" s="55">
        <f t="shared" si="147"/>
        <v>14</v>
      </c>
      <c r="AW97" s="55">
        <f t="shared" si="148"/>
        <v>0</v>
      </c>
      <c r="AX97" s="55">
        <f t="shared" si="149"/>
        <v>0</v>
      </c>
      <c r="AY97" s="56">
        <f>AY100</f>
        <v>10</v>
      </c>
      <c r="AZ97" s="55">
        <f t="shared" si="150"/>
        <v>-14</v>
      </c>
    </row>
    <row r="98" spans="1:52" ht="13.5" customHeight="1">
      <c r="A98" s="152"/>
      <c r="B98" s="152"/>
      <c r="C98" s="152"/>
      <c r="D98" s="54" t="s">
        <v>23</v>
      </c>
      <c r="E98" s="40">
        <f t="shared" si="169"/>
        <v>0</v>
      </c>
      <c r="F98" s="40">
        <f t="shared" si="169"/>
        <v>0</v>
      </c>
      <c r="G98" s="41"/>
      <c r="H98" s="40"/>
      <c r="I98" s="40"/>
      <c r="J98" s="38"/>
      <c r="K98" s="40"/>
      <c r="L98" s="40"/>
      <c r="M98" s="38"/>
      <c r="N98" s="40"/>
      <c r="O98" s="40"/>
      <c r="P98" s="41"/>
      <c r="Q98" s="40"/>
      <c r="R98" s="40"/>
      <c r="S98" s="41"/>
      <c r="T98" s="40"/>
      <c r="U98" s="40"/>
      <c r="V98" s="38"/>
      <c r="W98" s="40"/>
      <c r="X98" s="40"/>
      <c r="Y98" s="38"/>
      <c r="Z98" s="40"/>
      <c r="AA98" s="40"/>
      <c r="AB98" s="38"/>
      <c r="AC98" s="40"/>
      <c r="AD98" s="40"/>
      <c r="AE98" s="38"/>
      <c r="AF98" s="40"/>
      <c r="AG98" s="40"/>
      <c r="AH98" s="41"/>
      <c r="AI98" s="40"/>
      <c r="AJ98" s="40"/>
      <c r="AK98" s="38"/>
      <c r="AL98" s="40"/>
      <c r="AM98" s="40"/>
      <c r="AN98" s="38"/>
      <c r="AO98" s="40"/>
      <c r="AP98" s="40"/>
      <c r="AQ98" s="38"/>
      <c r="AR98" s="52"/>
      <c r="AS98" s="52"/>
      <c r="AT98" s="43"/>
      <c r="AU98" s="55">
        <f t="shared" si="146"/>
        <v>0</v>
      </c>
      <c r="AV98" s="55">
        <f t="shared" si="147"/>
        <v>0</v>
      </c>
      <c r="AW98" s="55">
        <f t="shared" si="148"/>
        <v>0</v>
      </c>
      <c r="AX98" s="55">
        <f t="shared" si="149"/>
        <v>0</v>
      </c>
      <c r="AZ98" s="55">
        <f t="shared" si="150"/>
        <v>0</v>
      </c>
    </row>
    <row r="99" spans="1:52" ht="24.75" customHeight="1">
      <c r="A99" s="152"/>
      <c r="B99" s="152"/>
      <c r="C99" s="152"/>
      <c r="D99" s="54" t="s">
        <v>4</v>
      </c>
      <c r="E99" s="40">
        <f t="shared" si="169"/>
        <v>0</v>
      </c>
      <c r="F99" s="40">
        <f t="shared" si="169"/>
        <v>0</v>
      </c>
      <c r="G99" s="41"/>
      <c r="H99" s="40"/>
      <c r="I99" s="40"/>
      <c r="J99" s="38"/>
      <c r="K99" s="40"/>
      <c r="L99" s="40"/>
      <c r="M99" s="38"/>
      <c r="N99" s="40"/>
      <c r="O99" s="40"/>
      <c r="P99" s="41"/>
      <c r="Q99" s="40"/>
      <c r="R99" s="40"/>
      <c r="S99" s="41"/>
      <c r="T99" s="40"/>
      <c r="U99" s="40"/>
      <c r="V99" s="38"/>
      <c r="W99" s="40"/>
      <c r="X99" s="40"/>
      <c r="Y99" s="38"/>
      <c r="Z99" s="40"/>
      <c r="AA99" s="40"/>
      <c r="AB99" s="38"/>
      <c r="AC99" s="40"/>
      <c r="AD99" s="40"/>
      <c r="AE99" s="38"/>
      <c r="AF99" s="40"/>
      <c r="AG99" s="40"/>
      <c r="AH99" s="41"/>
      <c r="AI99" s="40"/>
      <c r="AJ99" s="40"/>
      <c r="AK99" s="38"/>
      <c r="AL99" s="40"/>
      <c r="AM99" s="40"/>
      <c r="AN99" s="38"/>
      <c r="AO99" s="40"/>
      <c r="AP99" s="40"/>
      <c r="AQ99" s="38"/>
      <c r="AR99" s="52"/>
      <c r="AS99" s="52"/>
      <c r="AT99" s="43"/>
      <c r="AU99" s="55">
        <f t="shared" si="146"/>
        <v>0</v>
      </c>
      <c r="AV99" s="55">
        <f t="shared" si="147"/>
        <v>0</v>
      </c>
      <c r="AW99" s="55">
        <f t="shared" si="148"/>
        <v>0</v>
      </c>
      <c r="AX99" s="55">
        <f t="shared" si="149"/>
        <v>0</v>
      </c>
      <c r="AZ99" s="55">
        <f t="shared" si="150"/>
        <v>0</v>
      </c>
    </row>
    <row r="100" spans="1:52" ht="60.75">
      <c r="A100" s="152"/>
      <c r="B100" s="152"/>
      <c r="C100" s="152"/>
      <c r="D100" s="54" t="s">
        <v>70</v>
      </c>
      <c r="E100" s="40">
        <f t="shared" si="169"/>
        <v>24</v>
      </c>
      <c r="F100" s="40">
        <f t="shared" si="169"/>
        <v>24</v>
      </c>
      <c r="G100" s="41">
        <f t="shared" ref="G100" si="185">F100/E100*100</f>
        <v>100</v>
      </c>
      <c r="H100" s="40"/>
      <c r="I100" s="40"/>
      <c r="J100" s="38"/>
      <c r="K100" s="40"/>
      <c r="L100" s="40"/>
      <c r="M100" s="38"/>
      <c r="N100" s="40">
        <f>10</f>
        <v>10</v>
      </c>
      <c r="O100" s="40">
        <v>10</v>
      </c>
      <c r="P100" s="41">
        <f t="shared" ref="P100" si="186">O100/N100*100</f>
        <v>100</v>
      </c>
      <c r="Q100" s="40">
        <v>14.4</v>
      </c>
      <c r="R100" s="40">
        <v>14.4</v>
      </c>
      <c r="S100" s="41">
        <f t="shared" ref="S100" si="187">R100/Q100*100</f>
        <v>100</v>
      </c>
      <c r="T100" s="40"/>
      <c r="U100" s="40">
        <v>-0.4</v>
      </c>
      <c r="V100" s="38"/>
      <c r="W100" s="40">
        <v>-0.4</v>
      </c>
      <c r="X100" s="40"/>
      <c r="Y100" s="38">
        <f t="shared" si="184"/>
        <v>0</v>
      </c>
      <c r="Z100" s="40"/>
      <c r="AA100" s="40"/>
      <c r="AB100" s="38"/>
      <c r="AC100" s="40"/>
      <c r="AD100" s="40"/>
      <c r="AE100" s="38"/>
      <c r="AF100" s="40"/>
      <c r="AG100" s="40"/>
      <c r="AH100" s="41"/>
      <c r="AI100" s="40"/>
      <c r="AJ100" s="40"/>
      <c r="AK100" s="38"/>
      <c r="AL100" s="40"/>
      <c r="AM100" s="40"/>
      <c r="AN100" s="38"/>
      <c r="AO100" s="40"/>
      <c r="AP100" s="40"/>
      <c r="AQ100" s="38"/>
      <c r="AR100" s="64" t="s">
        <v>63</v>
      </c>
      <c r="AS100" s="115"/>
      <c r="AT100" s="43">
        <f t="shared" si="168"/>
        <v>1</v>
      </c>
      <c r="AU100" s="55">
        <f t="shared" si="146"/>
        <v>10</v>
      </c>
      <c r="AV100" s="55">
        <f t="shared" si="147"/>
        <v>14</v>
      </c>
      <c r="AW100" s="55">
        <f t="shared" si="148"/>
        <v>0</v>
      </c>
      <c r="AX100" s="55">
        <f t="shared" si="149"/>
        <v>0</v>
      </c>
      <c r="AY100" s="56">
        <v>10</v>
      </c>
      <c r="AZ100" s="55">
        <f t="shared" si="150"/>
        <v>-14</v>
      </c>
    </row>
    <row r="101" spans="1:52" ht="12.75" customHeight="1">
      <c r="A101" s="152"/>
      <c r="B101" s="152"/>
      <c r="C101" s="152"/>
      <c r="D101" s="54" t="s">
        <v>24</v>
      </c>
      <c r="E101" s="40">
        <f t="shared" si="169"/>
        <v>0</v>
      </c>
      <c r="F101" s="40">
        <f t="shared" si="169"/>
        <v>0</v>
      </c>
      <c r="G101" s="41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52"/>
      <c r="AS101" s="52"/>
      <c r="AT101" s="43"/>
      <c r="AU101" s="55">
        <f t="shared" si="146"/>
        <v>0</v>
      </c>
      <c r="AV101" s="55">
        <f t="shared" si="147"/>
        <v>0</v>
      </c>
      <c r="AW101" s="55">
        <f t="shared" si="148"/>
        <v>0</v>
      </c>
      <c r="AX101" s="55">
        <f t="shared" si="149"/>
        <v>0</v>
      </c>
      <c r="AZ101" s="55">
        <f t="shared" si="150"/>
        <v>0</v>
      </c>
    </row>
    <row r="102" spans="1:52" ht="15.75" customHeight="1">
      <c r="A102" s="152" t="s">
        <v>88</v>
      </c>
      <c r="B102" s="152" t="s">
        <v>148</v>
      </c>
      <c r="C102" s="152" t="s">
        <v>6</v>
      </c>
      <c r="D102" s="54" t="s">
        <v>3</v>
      </c>
      <c r="E102" s="40">
        <f t="shared" si="169"/>
        <v>639654.80000000005</v>
      </c>
      <c r="F102" s="40">
        <f t="shared" si="169"/>
        <v>639654.80000000005</v>
      </c>
      <c r="G102" s="41">
        <f>F102/E102*100</f>
        <v>100</v>
      </c>
      <c r="H102" s="40">
        <f>H103+H104+H105+H106</f>
        <v>13555.2</v>
      </c>
      <c r="I102" s="40">
        <f>I103+I104+I105+I106</f>
        <v>13555.2</v>
      </c>
      <c r="J102" s="41">
        <f>I102/H102*100</f>
        <v>100</v>
      </c>
      <c r="K102" s="40">
        <f t="shared" ref="K102:AP102" si="188">K103+K104+K105+K106</f>
        <v>46462.2</v>
      </c>
      <c r="L102" s="40">
        <f t="shared" si="188"/>
        <v>46462.2</v>
      </c>
      <c r="M102" s="41">
        <f>L102/K102*100</f>
        <v>100</v>
      </c>
      <c r="N102" s="40">
        <f t="shared" si="188"/>
        <v>50517.9</v>
      </c>
      <c r="O102" s="40">
        <f t="shared" si="188"/>
        <v>50416.4</v>
      </c>
      <c r="P102" s="41">
        <f>O102/N102*100</f>
        <v>99.799081117782023</v>
      </c>
      <c r="Q102" s="40">
        <f t="shared" si="188"/>
        <v>61440.799999999996</v>
      </c>
      <c r="R102" s="40">
        <f t="shared" si="188"/>
        <v>61280.799999999996</v>
      </c>
      <c r="S102" s="41">
        <f>R102/Q102*100</f>
        <v>99.739586724131186</v>
      </c>
      <c r="T102" s="40">
        <f t="shared" si="188"/>
        <v>80801.2</v>
      </c>
      <c r="U102" s="40">
        <f t="shared" si="188"/>
        <v>80476.2</v>
      </c>
      <c r="V102" s="41">
        <f>U102/T102*100</f>
        <v>99.597778250818052</v>
      </c>
      <c r="W102" s="40">
        <f t="shared" si="188"/>
        <v>114215.6</v>
      </c>
      <c r="X102" s="40">
        <f t="shared" si="188"/>
        <v>113659.70000000001</v>
      </c>
      <c r="Y102" s="41">
        <f>X102/W102*100</f>
        <v>99.513288902741834</v>
      </c>
      <c r="Z102" s="40">
        <f t="shared" si="188"/>
        <v>40700</v>
      </c>
      <c r="AA102" s="40">
        <f t="shared" si="188"/>
        <v>41184.400000000001</v>
      </c>
      <c r="AB102" s="41">
        <f>AA102/Z102*100</f>
        <v>101.19017199017199</v>
      </c>
      <c r="AC102" s="40">
        <f t="shared" si="188"/>
        <v>22439.9</v>
      </c>
      <c r="AD102" s="40">
        <f t="shared" si="188"/>
        <v>17601.5</v>
      </c>
      <c r="AE102" s="41">
        <f>AD102/AC102*100</f>
        <v>78.438406588264655</v>
      </c>
      <c r="AF102" s="40">
        <f t="shared" si="188"/>
        <v>33499.5</v>
      </c>
      <c r="AG102" s="40">
        <f t="shared" si="188"/>
        <v>37382.400000000001</v>
      </c>
      <c r="AH102" s="41">
        <f>AG102/AF102*100</f>
        <v>111.59091926745175</v>
      </c>
      <c r="AI102" s="40">
        <f t="shared" si="188"/>
        <v>48917.799999999996</v>
      </c>
      <c r="AJ102" s="40">
        <f t="shared" si="188"/>
        <v>48128.5</v>
      </c>
      <c r="AK102" s="41">
        <f>AJ102/AI102*100</f>
        <v>98.386476906156872</v>
      </c>
      <c r="AL102" s="40">
        <f t="shared" si="188"/>
        <v>48808</v>
      </c>
      <c r="AM102" s="40">
        <f t="shared" si="188"/>
        <v>51919.5</v>
      </c>
      <c r="AN102" s="41">
        <f>AM102/AL102*100</f>
        <v>106.37497951155548</v>
      </c>
      <c r="AO102" s="40">
        <f t="shared" si="188"/>
        <v>78296.7</v>
      </c>
      <c r="AP102" s="40">
        <f t="shared" si="188"/>
        <v>77588.000000000015</v>
      </c>
      <c r="AQ102" s="41">
        <f>AP102/AO102*100</f>
        <v>99.094853295221924</v>
      </c>
      <c r="AR102" s="52"/>
      <c r="AS102" s="52"/>
      <c r="AT102" s="43">
        <f t="shared" si="168"/>
        <v>1.0012624739894196</v>
      </c>
      <c r="AU102" s="55">
        <f t="shared" si="146"/>
        <v>110535.29999999999</v>
      </c>
      <c r="AV102" s="55">
        <f t="shared" si="147"/>
        <v>256457.60000000001</v>
      </c>
      <c r="AW102" s="55">
        <f t="shared" si="148"/>
        <v>96639.4</v>
      </c>
      <c r="AX102" s="55">
        <f t="shared" si="149"/>
        <v>176022.5</v>
      </c>
      <c r="AY102" s="56">
        <f>AY104+AY105</f>
        <v>644149.89999999991</v>
      </c>
      <c r="AZ102" s="55">
        <f t="shared" si="150"/>
        <v>4495.0999999998894</v>
      </c>
    </row>
    <row r="103" spans="1:52" ht="14.25" customHeight="1">
      <c r="A103" s="152"/>
      <c r="B103" s="152"/>
      <c r="C103" s="152"/>
      <c r="D103" s="54" t="s">
        <v>23</v>
      </c>
      <c r="E103" s="40">
        <f t="shared" si="169"/>
        <v>0</v>
      </c>
      <c r="F103" s="40">
        <f t="shared" si="169"/>
        <v>0</v>
      </c>
      <c r="G103" s="41"/>
      <c r="H103" s="40"/>
      <c r="I103" s="40"/>
      <c r="J103" s="41"/>
      <c r="K103" s="40"/>
      <c r="L103" s="40"/>
      <c r="M103" s="41"/>
      <c r="N103" s="40"/>
      <c r="O103" s="40"/>
      <c r="P103" s="41"/>
      <c r="Q103" s="40"/>
      <c r="R103" s="40"/>
      <c r="S103" s="41"/>
      <c r="T103" s="40"/>
      <c r="U103" s="40"/>
      <c r="V103" s="41"/>
      <c r="W103" s="40"/>
      <c r="X103" s="40"/>
      <c r="Y103" s="41"/>
      <c r="Z103" s="40"/>
      <c r="AA103" s="40"/>
      <c r="AB103" s="41"/>
      <c r="AC103" s="40"/>
      <c r="AD103" s="40"/>
      <c r="AE103" s="41"/>
      <c r="AF103" s="40"/>
      <c r="AG103" s="40"/>
      <c r="AH103" s="41"/>
      <c r="AI103" s="40"/>
      <c r="AJ103" s="40"/>
      <c r="AK103" s="41"/>
      <c r="AL103" s="40"/>
      <c r="AM103" s="40"/>
      <c r="AN103" s="41"/>
      <c r="AO103" s="40"/>
      <c r="AP103" s="40"/>
      <c r="AQ103" s="38"/>
      <c r="AR103" s="52"/>
      <c r="AS103" s="52"/>
      <c r="AT103" s="43"/>
      <c r="AU103" s="55">
        <f t="shared" si="146"/>
        <v>0</v>
      </c>
      <c r="AV103" s="55">
        <f t="shared" si="147"/>
        <v>0</v>
      </c>
      <c r="AW103" s="55">
        <f t="shared" si="148"/>
        <v>0</v>
      </c>
      <c r="AX103" s="55">
        <f t="shared" si="149"/>
        <v>0</v>
      </c>
      <c r="AZ103" s="55">
        <f t="shared" si="150"/>
        <v>0</v>
      </c>
    </row>
    <row r="104" spans="1:52" ht="158.25" customHeight="1">
      <c r="A104" s="152"/>
      <c r="B104" s="152"/>
      <c r="C104" s="152"/>
      <c r="D104" s="54" t="s">
        <v>4</v>
      </c>
      <c r="E104" s="40">
        <f t="shared" si="169"/>
        <v>589484.5</v>
      </c>
      <c r="F104" s="40">
        <f t="shared" si="169"/>
        <v>589484.5</v>
      </c>
      <c r="G104" s="41">
        <f t="shared" ref="G104:G105" si="189">F104/E104*100</f>
        <v>100</v>
      </c>
      <c r="H104" s="40">
        <v>13025</v>
      </c>
      <c r="I104" s="40">
        <v>13025</v>
      </c>
      <c r="J104" s="41">
        <f t="shared" ref="J104:J105" si="190">I104/H104*100</f>
        <v>100</v>
      </c>
      <c r="K104" s="40">
        <v>42465.7</v>
      </c>
      <c r="L104" s="40">
        <v>42465.7</v>
      </c>
      <c r="M104" s="41">
        <f t="shared" ref="M104:M125" si="191">L104/K104*100</f>
        <v>100</v>
      </c>
      <c r="N104" s="85">
        <v>44557.599999999999</v>
      </c>
      <c r="O104" s="40">
        <v>44557.599999999999</v>
      </c>
      <c r="P104" s="41">
        <f t="shared" ref="P104:P105" si="192">O104/N104*100</f>
        <v>100</v>
      </c>
      <c r="Q104" s="85">
        <v>55148.7</v>
      </c>
      <c r="R104" s="40">
        <v>55148.7</v>
      </c>
      <c r="S104" s="41">
        <f t="shared" ref="S104:S105" si="193">R104/Q104*100</f>
        <v>100</v>
      </c>
      <c r="T104" s="85">
        <v>77280.7</v>
      </c>
      <c r="U104" s="40">
        <v>77280.7</v>
      </c>
      <c r="V104" s="41">
        <f t="shared" ref="V104:V105" si="194">U104/T104*100</f>
        <v>100</v>
      </c>
      <c r="W104" s="40">
        <v>110747.1</v>
      </c>
      <c r="X104" s="40">
        <v>110747.1</v>
      </c>
      <c r="Y104" s="41">
        <f t="shared" ref="Y104:Y105" si="195">X104/W104*100</f>
        <v>100</v>
      </c>
      <c r="Z104" s="40">
        <v>36639.5</v>
      </c>
      <c r="AA104" s="40">
        <v>36639.5</v>
      </c>
      <c r="AB104" s="41">
        <f t="shared" ref="AB104:AB105" si="196">AA104/Z104*100</f>
        <v>100</v>
      </c>
      <c r="AC104" s="40">
        <v>20250.7</v>
      </c>
      <c r="AD104" s="40">
        <v>15748.5</v>
      </c>
      <c r="AE104" s="41">
        <f t="shared" ref="AE104:AE105" si="197">AD104/AC104*100</f>
        <v>77.767682104816132</v>
      </c>
      <c r="AF104" s="40">
        <v>30106.1</v>
      </c>
      <c r="AG104" s="40">
        <v>34452.800000000003</v>
      </c>
      <c r="AH104" s="41">
        <f t="shared" ref="AH104:AH105" si="198">AG104/AF104*100</f>
        <v>114.43793782655345</v>
      </c>
      <c r="AI104" s="40">
        <f>43496.1</f>
        <v>43496.1</v>
      </c>
      <c r="AJ104" s="40">
        <v>42692.5</v>
      </c>
      <c r="AK104" s="41">
        <f t="shared" ref="AK104:AK105" si="199">AJ104/AI104*100</f>
        <v>98.152478038260909</v>
      </c>
      <c r="AL104" s="40">
        <f>44104.6+596</f>
        <v>44700.6</v>
      </c>
      <c r="AM104" s="40">
        <v>46668.5</v>
      </c>
      <c r="AN104" s="41">
        <f t="shared" ref="AN104:AN105" si="200">AM104/AL104*100</f>
        <v>104.40240175747081</v>
      </c>
      <c r="AO104" s="40">
        <f>67550.7+9025.7-5509.7</f>
        <v>71066.7</v>
      </c>
      <c r="AP104" s="40">
        <f>70057.8+0.1</f>
        <v>70057.900000000009</v>
      </c>
      <c r="AQ104" s="41">
        <f t="shared" ref="AQ104:AQ105" si="201">AP104/AO104*100</f>
        <v>98.580488470690227</v>
      </c>
      <c r="AR104" s="115" t="s">
        <v>175</v>
      </c>
      <c r="AS104" s="52"/>
      <c r="AT104" s="43">
        <f t="shared" si="168"/>
        <v>1.0019459208383663</v>
      </c>
      <c r="AU104" s="57">
        <f t="shared" si="146"/>
        <v>100048.29999999999</v>
      </c>
      <c r="AV104" s="57">
        <f t="shared" si="147"/>
        <v>243176.5</v>
      </c>
      <c r="AW104" s="57">
        <f t="shared" si="148"/>
        <v>86996.299999999988</v>
      </c>
      <c r="AX104" s="57">
        <f t="shared" si="149"/>
        <v>159263.4</v>
      </c>
      <c r="AY104" s="56">
        <v>594887.69999999995</v>
      </c>
      <c r="AZ104" s="55">
        <f t="shared" si="150"/>
        <v>5403.1999999999825</v>
      </c>
    </row>
    <row r="105" spans="1:52" ht="97.5" customHeight="1">
      <c r="A105" s="152"/>
      <c r="B105" s="152"/>
      <c r="C105" s="152"/>
      <c r="D105" s="54" t="s">
        <v>70</v>
      </c>
      <c r="E105" s="40">
        <f t="shared" si="169"/>
        <v>50170.299999999996</v>
      </c>
      <c r="F105" s="40">
        <f t="shared" si="169"/>
        <v>50170.299999999996</v>
      </c>
      <c r="G105" s="41">
        <f t="shared" si="189"/>
        <v>100</v>
      </c>
      <c r="H105" s="40">
        <v>530.20000000000005</v>
      </c>
      <c r="I105" s="40">
        <v>530.20000000000005</v>
      </c>
      <c r="J105" s="41">
        <f t="shared" si="190"/>
        <v>100</v>
      </c>
      <c r="K105" s="40">
        <v>3996.5</v>
      </c>
      <c r="L105" s="40">
        <v>3996.5</v>
      </c>
      <c r="M105" s="41">
        <f t="shared" si="191"/>
        <v>100</v>
      </c>
      <c r="N105" s="40">
        <v>5960.3</v>
      </c>
      <c r="O105" s="40">
        <f>5858.8</f>
        <v>5858.8</v>
      </c>
      <c r="P105" s="41">
        <f t="shared" si="192"/>
        <v>98.297065583947116</v>
      </c>
      <c r="Q105" s="40">
        <v>6292.1</v>
      </c>
      <c r="R105" s="40">
        <v>6132.1</v>
      </c>
      <c r="S105" s="41">
        <f t="shared" si="193"/>
        <v>97.457128780534319</v>
      </c>
      <c r="T105" s="40">
        <v>3520.5</v>
      </c>
      <c r="U105" s="40">
        <v>3195.5</v>
      </c>
      <c r="V105" s="41">
        <f t="shared" si="194"/>
        <v>90.768356767504628</v>
      </c>
      <c r="W105" s="40">
        <v>3468.5</v>
      </c>
      <c r="X105" s="40">
        <v>2912.6</v>
      </c>
      <c r="Y105" s="41">
        <f t="shared" si="195"/>
        <v>83.972898947671908</v>
      </c>
      <c r="Z105" s="40">
        <v>4060.5</v>
      </c>
      <c r="AA105" s="40">
        <v>4544.8999999999996</v>
      </c>
      <c r="AB105" s="41">
        <f t="shared" si="196"/>
        <v>111.92956532446743</v>
      </c>
      <c r="AC105" s="40">
        <v>2189.1999999999998</v>
      </c>
      <c r="AD105" s="40">
        <v>1853</v>
      </c>
      <c r="AE105" s="41">
        <f t="shared" si="197"/>
        <v>84.642791887447473</v>
      </c>
      <c r="AF105" s="40">
        <v>3393.4</v>
      </c>
      <c r="AG105" s="40">
        <f>2929.6</f>
        <v>2929.6</v>
      </c>
      <c r="AH105" s="41">
        <f t="shared" si="198"/>
        <v>86.332292096422464</v>
      </c>
      <c r="AI105" s="40">
        <v>5421.7</v>
      </c>
      <c r="AJ105" s="40">
        <v>5436</v>
      </c>
      <c r="AK105" s="41">
        <f t="shared" si="199"/>
        <v>100.26375491082133</v>
      </c>
      <c r="AL105" s="40">
        <v>4107.3999999999996</v>
      </c>
      <c r="AM105" s="40">
        <v>5251</v>
      </c>
      <c r="AN105" s="41">
        <f t="shared" si="200"/>
        <v>127.8424307347714</v>
      </c>
      <c r="AO105" s="40">
        <f>7230.1-0.1</f>
        <v>7230</v>
      </c>
      <c r="AP105" s="40">
        <v>7530.1</v>
      </c>
      <c r="AQ105" s="41">
        <f t="shared" si="201"/>
        <v>104.15076071922545</v>
      </c>
      <c r="AR105" s="115" t="s">
        <v>176</v>
      </c>
      <c r="AS105" s="115"/>
      <c r="AT105" s="43">
        <f t="shared" si="168"/>
        <v>0.99301122721545965</v>
      </c>
      <c r="AU105" s="57">
        <f t="shared" si="146"/>
        <v>10487</v>
      </c>
      <c r="AV105" s="57">
        <f t="shared" si="147"/>
        <v>13281.1</v>
      </c>
      <c r="AW105" s="57">
        <f t="shared" si="148"/>
        <v>9643.1</v>
      </c>
      <c r="AX105" s="57">
        <f t="shared" si="149"/>
        <v>16759.099999999999</v>
      </c>
      <c r="AY105" s="56">
        <v>49262.2</v>
      </c>
      <c r="AZ105" s="57">
        <f t="shared" si="150"/>
        <v>-908.10000000000036</v>
      </c>
    </row>
    <row r="106" spans="1:52" ht="14.25" customHeight="1">
      <c r="A106" s="152"/>
      <c r="B106" s="152"/>
      <c r="C106" s="152"/>
      <c r="D106" s="54" t="s">
        <v>24</v>
      </c>
      <c r="E106" s="40">
        <f t="shared" si="169"/>
        <v>0</v>
      </c>
      <c r="F106" s="40">
        <f t="shared" si="169"/>
        <v>0</v>
      </c>
      <c r="G106" s="41"/>
      <c r="H106" s="40"/>
      <c r="I106" s="40"/>
      <c r="J106" s="40"/>
      <c r="K106" s="40"/>
      <c r="L106" s="40"/>
      <c r="M106" s="41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52"/>
      <c r="AS106" s="52"/>
      <c r="AT106" s="43"/>
      <c r="AU106" s="57">
        <f t="shared" si="146"/>
        <v>0</v>
      </c>
      <c r="AV106" s="57">
        <f t="shared" si="147"/>
        <v>0</v>
      </c>
      <c r="AW106" s="57">
        <f t="shared" si="148"/>
        <v>0</v>
      </c>
      <c r="AX106" s="57">
        <f t="shared" si="149"/>
        <v>0</v>
      </c>
      <c r="AZ106" s="55">
        <f t="shared" si="150"/>
        <v>0</v>
      </c>
    </row>
    <row r="107" spans="1:52" ht="12" customHeight="1">
      <c r="A107" s="152" t="s">
        <v>89</v>
      </c>
      <c r="B107" s="152" t="s">
        <v>149</v>
      </c>
      <c r="C107" s="152" t="s">
        <v>6</v>
      </c>
      <c r="D107" s="54" t="s">
        <v>3</v>
      </c>
      <c r="E107" s="40">
        <f t="shared" si="169"/>
        <v>33853.9</v>
      </c>
      <c r="F107" s="40">
        <f t="shared" si="169"/>
        <v>33853.9</v>
      </c>
      <c r="G107" s="41">
        <f>F107/E107*100</f>
        <v>100</v>
      </c>
      <c r="H107" s="40">
        <f>H108+H109+H110+H111</f>
        <v>1726</v>
      </c>
      <c r="I107" s="40">
        <f>I108+I109+I110+I111</f>
        <v>1726</v>
      </c>
      <c r="J107" s="41">
        <f>I107/H107*100</f>
        <v>100</v>
      </c>
      <c r="K107" s="40">
        <f t="shared" ref="K107:AP107" si="202">K108+K109+K110+K111</f>
        <v>2248</v>
      </c>
      <c r="L107" s="40">
        <f t="shared" si="202"/>
        <v>2248</v>
      </c>
      <c r="M107" s="41">
        <f t="shared" si="191"/>
        <v>100</v>
      </c>
      <c r="N107" s="40">
        <f t="shared" si="202"/>
        <v>1858.7</v>
      </c>
      <c r="O107" s="40">
        <f t="shared" si="202"/>
        <v>1858.7</v>
      </c>
      <c r="P107" s="41">
        <f>O107/N107*100</f>
        <v>100</v>
      </c>
      <c r="Q107" s="40">
        <f t="shared" si="202"/>
        <v>3019</v>
      </c>
      <c r="R107" s="40">
        <f t="shared" si="202"/>
        <v>3019</v>
      </c>
      <c r="S107" s="41">
        <f>R107/Q107*100</f>
        <v>100</v>
      </c>
      <c r="T107" s="40">
        <f t="shared" si="202"/>
        <v>3324</v>
      </c>
      <c r="U107" s="40">
        <f t="shared" si="202"/>
        <v>3324</v>
      </c>
      <c r="V107" s="41">
        <f>U107/T107*100</f>
        <v>100</v>
      </c>
      <c r="W107" s="40">
        <f t="shared" si="202"/>
        <v>3533</v>
      </c>
      <c r="X107" s="40">
        <f t="shared" si="202"/>
        <v>3533</v>
      </c>
      <c r="Y107" s="41">
        <f>X107/W107*100</f>
        <v>100</v>
      </c>
      <c r="Z107" s="40">
        <f t="shared" si="202"/>
        <v>3622</v>
      </c>
      <c r="AA107" s="40">
        <f t="shared" si="202"/>
        <v>5362.0000000000018</v>
      </c>
      <c r="AB107" s="41">
        <f>AA107/Z107*100</f>
        <v>148.03975704030927</v>
      </c>
      <c r="AC107" s="40">
        <f t="shared" si="202"/>
        <v>2955</v>
      </c>
      <c r="AD107" s="40">
        <f t="shared" si="202"/>
        <v>2850</v>
      </c>
      <c r="AE107" s="41">
        <f>AD107/AC107*100</f>
        <v>96.44670050761421</v>
      </c>
      <c r="AF107" s="40">
        <f t="shared" si="202"/>
        <v>3726</v>
      </c>
      <c r="AG107" s="40">
        <f t="shared" si="202"/>
        <v>2086</v>
      </c>
      <c r="AH107" s="41">
        <f>AG107/AF107*100</f>
        <v>55.984970477724104</v>
      </c>
      <c r="AI107" s="40">
        <f t="shared" si="202"/>
        <v>2983</v>
      </c>
      <c r="AJ107" s="40">
        <f t="shared" si="202"/>
        <v>2553</v>
      </c>
      <c r="AK107" s="41">
        <f>AJ107/AI107*100</f>
        <v>85.584981562185732</v>
      </c>
      <c r="AL107" s="40">
        <f t="shared" si="202"/>
        <v>2653</v>
      </c>
      <c r="AM107" s="40">
        <f t="shared" si="202"/>
        <v>2083</v>
      </c>
      <c r="AN107" s="41">
        <f>AM107/AL107*100</f>
        <v>78.514888805126276</v>
      </c>
      <c r="AO107" s="40">
        <f t="shared" si="202"/>
        <v>2206.1999999999998</v>
      </c>
      <c r="AP107" s="40">
        <f t="shared" si="202"/>
        <v>3211.2</v>
      </c>
      <c r="AQ107" s="41">
        <f>AP107/AO107*100</f>
        <v>145.55344030459614</v>
      </c>
      <c r="AR107" s="52"/>
      <c r="AS107" s="52"/>
      <c r="AT107" s="43">
        <f t="shared" si="168"/>
        <v>0.96824413780464313</v>
      </c>
      <c r="AU107" s="55">
        <f t="shared" si="146"/>
        <v>5832.7</v>
      </c>
      <c r="AV107" s="55">
        <f t="shared" si="147"/>
        <v>9876</v>
      </c>
      <c r="AW107" s="55">
        <f t="shared" si="148"/>
        <v>10303</v>
      </c>
      <c r="AX107" s="55">
        <f t="shared" si="149"/>
        <v>7842.2</v>
      </c>
      <c r="AY107" s="56">
        <f>AY110</f>
        <v>34908.15</v>
      </c>
      <c r="AZ107" s="55">
        <f t="shared" si="150"/>
        <v>1054.2500000000009</v>
      </c>
    </row>
    <row r="108" spans="1:52" ht="12.75" customHeight="1">
      <c r="A108" s="152"/>
      <c r="B108" s="152"/>
      <c r="C108" s="152"/>
      <c r="D108" s="54" t="s">
        <v>23</v>
      </c>
      <c r="E108" s="40">
        <f t="shared" si="169"/>
        <v>0</v>
      </c>
      <c r="F108" s="40">
        <f t="shared" si="169"/>
        <v>0</v>
      </c>
      <c r="G108" s="41"/>
      <c r="H108" s="40"/>
      <c r="I108" s="40"/>
      <c r="J108" s="41"/>
      <c r="K108" s="40"/>
      <c r="L108" s="40"/>
      <c r="M108" s="41"/>
      <c r="N108" s="40"/>
      <c r="O108" s="40"/>
      <c r="P108" s="41"/>
      <c r="Q108" s="40"/>
      <c r="R108" s="40"/>
      <c r="S108" s="41"/>
      <c r="T108" s="40"/>
      <c r="U108" s="40"/>
      <c r="V108" s="41"/>
      <c r="W108" s="40"/>
      <c r="X108" s="40"/>
      <c r="Y108" s="41"/>
      <c r="Z108" s="40"/>
      <c r="AA108" s="40"/>
      <c r="AB108" s="41"/>
      <c r="AC108" s="40"/>
      <c r="AD108" s="40"/>
      <c r="AE108" s="41"/>
      <c r="AF108" s="40"/>
      <c r="AG108" s="40"/>
      <c r="AH108" s="41"/>
      <c r="AI108" s="40"/>
      <c r="AJ108" s="40"/>
      <c r="AK108" s="41"/>
      <c r="AL108" s="40"/>
      <c r="AM108" s="40"/>
      <c r="AN108" s="41"/>
      <c r="AO108" s="40"/>
      <c r="AP108" s="40"/>
      <c r="AQ108" s="41"/>
      <c r="AR108" s="52"/>
      <c r="AS108" s="52"/>
      <c r="AT108" s="43"/>
      <c r="AU108" s="55">
        <f t="shared" si="146"/>
        <v>0</v>
      </c>
      <c r="AV108" s="55">
        <f t="shared" si="147"/>
        <v>0</v>
      </c>
      <c r="AW108" s="55">
        <f t="shared" si="148"/>
        <v>0</v>
      </c>
      <c r="AX108" s="55">
        <f t="shared" si="149"/>
        <v>0</v>
      </c>
      <c r="AZ108" s="55">
        <f t="shared" si="150"/>
        <v>0</v>
      </c>
    </row>
    <row r="109" spans="1:52" ht="24">
      <c r="A109" s="152"/>
      <c r="B109" s="152"/>
      <c r="C109" s="152"/>
      <c r="D109" s="54" t="s">
        <v>4</v>
      </c>
      <c r="E109" s="40">
        <f t="shared" si="169"/>
        <v>0</v>
      </c>
      <c r="F109" s="40">
        <f t="shared" si="169"/>
        <v>0</v>
      </c>
      <c r="G109" s="41"/>
      <c r="H109" s="40"/>
      <c r="I109" s="40"/>
      <c r="J109" s="41"/>
      <c r="K109" s="40"/>
      <c r="L109" s="40"/>
      <c r="M109" s="41"/>
      <c r="N109" s="40"/>
      <c r="O109" s="40"/>
      <c r="P109" s="41"/>
      <c r="Q109" s="40"/>
      <c r="R109" s="40"/>
      <c r="S109" s="41"/>
      <c r="T109" s="40"/>
      <c r="U109" s="40"/>
      <c r="V109" s="41"/>
      <c r="W109" s="40"/>
      <c r="X109" s="40"/>
      <c r="Y109" s="41"/>
      <c r="Z109" s="40"/>
      <c r="AA109" s="40"/>
      <c r="AB109" s="41"/>
      <c r="AC109" s="40"/>
      <c r="AD109" s="40"/>
      <c r="AE109" s="41"/>
      <c r="AF109" s="40"/>
      <c r="AG109" s="40"/>
      <c r="AH109" s="41"/>
      <c r="AI109" s="40"/>
      <c r="AJ109" s="40"/>
      <c r="AK109" s="41"/>
      <c r="AL109" s="40"/>
      <c r="AM109" s="40"/>
      <c r="AN109" s="41"/>
      <c r="AO109" s="40"/>
      <c r="AP109" s="40"/>
      <c r="AQ109" s="41"/>
      <c r="AR109" s="52"/>
      <c r="AS109" s="52"/>
      <c r="AT109" s="43"/>
      <c r="AU109" s="55">
        <f t="shared" si="146"/>
        <v>0</v>
      </c>
      <c r="AV109" s="55">
        <f t="shared" si="147"/>
        <v>0</v>
      </c>
      <c r="AW109" s="55">
        <f t="shared" si="148"/>
        <v>0</v>
      </c>
      <c r="AX109" s="55">
        <f t="shared" si="149"/>
        <v>0</v>
      </c>
      <c r="AZ109" s="55">
        <f t="shared" si="150"/>
        <v>0</v>
      </c>
    </row>
    <row r="110" spans="1:52" ht="85.5" customHeight="1">
      <c r="A110" s="152"/>
      <c r="B110" s="152"/>
      <c r="C110" s="152"/>
      <c r="D110" s="54" t="s">
        <v>70</v>
      </c>
      <c r="E110" s="40">
        <f t="shared" si="169"/>
        <v>33853.9</v>
      </c>
      <c r="F110" s="40">
        <f t="shared" si="169"/>
        <v>33853.9</v>
      </c>
      <c r="G110" s="41">
        <f t="shared" ref="G110" si="203">F110/E110*100</f>
        <v>100</v>
      </c>
      <c r="H110" s="40">
        <v>1726</v>
      </c>
      <c r="I110" s="40">
        <v>1726</v>
      </c>
      <c r="J110" s="41">
        <f t="shared" ref="J110" si="204">I110/H110*100</f>
        <v>100</v>
      </c>
      <c r="K110" s="40">
        <v>2248</v>
      </c>
      <c r="L110" s="40">
        <v>2248</v>
      </c>
      <c r="M110" s="41">
        <f t="shared" si="191"/>
        <v>100</v>
      </c>
      <c r="N110" s="40">
        <v>1858.7</v>
      </c>
      <c r="O110" s="40">
        <v>1858.7</v>
      </c>
      <c r="P110" s="41">
        <f t="shared" ref="P110" si="205">O110/N110*100</f>
        <v>100</v>
      </c>
      <c r="Q110" s="40">
        <v>3019</v>
      </c>
      <c r="R110" s="40">
        <v>3019</v>
      </c>
      <c r="S110" s="41">
        <f t="shared" ref="S110" si="206">R110/Q110*100</f>
        <v>100</v>
      </c>
      <c r="T110" s="40">
        <v>3324</v>
      </c>
      <c r="U110" s="40">
        <v>3324</v>
      </c>
      <c r="V110" s="41">
        <f t="shared" ref="V110" si="207">U110/T110*100</f>
        <v>100</v>
      </c>
      <c r="W110" s="40">
        <v>3533</v>
      </c>
      <c r="X110" s="40">
        <v>3533</v>
      </c>
      <c r="Y110" s="41">
        <f t="shared" ref="Y110" si="208">X110/W110*100</f>
        <v>100</v>
      </c>
      <c r="Z110" s="40">
        <v>3622</v>
      </c>
      <c r="AA110" s="40">
        <v>5362.0000000000018</v>
      </c>
      <c r="AB110" s="41">
        <f t="shared" ref="AB110" si="209">AA110/Z110*100</f>
        <v>148.03975704030927</v>
      </c>
      <c r="AC110" s="40">
        <v>2955</v>
      </c>
      <c r="AD110" s="40">
        <v>2850</v>
      </c>
      <c r="AE110" s="41">
        <f t="shared" ref="AE110" si="210">AD110/AC110*100</f>
        <v>96.44670050761421</v>
      </c>
      <c r="AF110" s="40">
        <v>3726</v>
      </c>
      <c r="AG110" s="40">
        <v>2086</v>
      </c>
      <c r="AH110" s="41">
        <f t="shared" ref="AH110" si="211">AG110/AF110*100</f>
        <v>55.984970477724104</v>
      </c>
      <c r="AI110" s="40">
        <v>2983</v>
      </c>
      <c r="AJ110" s="40">
        <v>2553</v>
      </c>
      <c r="AK110" s="41">
        <f t="shared" ref="AK110" si="212">AJ110/AI110*100</f>
        <v>85.584981562185732</v>
      </c>
      <c r="AL110" s="40">
        <f>2253+400</f>
        <v>2653</v>
      </c>
      <c r="AM110" s="40">
        <v>2083</v>
      </c>
      <c r="AN110" s="41">
        <f t="shared" ref="AN110" si="213">AM110/AL110*100</f>
        <v>78.514888805126276</v>
      </c>
      <c r="AO110" s="40">
        <v>2206.1999999999998</v>
      </c>
      <c r="AP110" s="40">
        <v>3211.2</v>
      </c>
      <c r="AQ110" s="41">
        <f t="shared" ref="AQ110" si="214">AP110/AO110*100</f>
        <v>145.55344030459614</v>
      </c>
      <c r="AR110" s="115" t="s">
        <v>177</v>
      </c>
      <c r="AS110" s="52"/>
      <c r="AT110" s="43">
        <f t="shared" si="168"/>
        <v>0.96824413780464313</v>
      </c>
      <c r="AU110" s="55">
        <f t="shared" si="146"/>
        <v>5832.7</v>
      </c>
      <c r="AV110" s="55">
        <f t="shared" si="147"/>
        <v>9876</v>
      </c>
      <c r="AW110" s="55">
        <f t="shared" si="148"/>
        <v>10303</v>
      </c>
      <c r="AX110" s="55">
        <f t="shared" si="149"/>
        <v>7842.2</v>
      </c>
      <c r="AY110" s="56">
        <v>34908.15</v>
      </c>
      <c r="AZ110" s="57">
        <f t="shared" si="150"/>
        <v>1054.2500000000009</v>
      </c>
    </row>
    <row r="111" spans="1:52" ht="15" customHeight="1">
      <c r="A111" s="152"/>
      <c r="B111" s="152"/>
      <c r="C111" s="152"/>
      <c r="D111" s="54" t="s">
        <v>24</v>
      </c>
      <c r="E111" s="40">
        <f t="shared" si="169"/>
        <v>0</v>
      </c>
      <c r="F111" s="40">
        <f t="shared" si="169"/>
        <v>0</v>
      </c>
      <c r="G111" s="41"/>
      <c r="H111" s="40"/>
      <c r="I111" s="40"/>
      <c r="J111" s="40"/>
      <c r="K111" s="40"/>
      <c r="L111" s="40"/>
      <c r="M111" s="41"/>
      <c r="N111" s="40"/>
      <c r="O111" s="40"/>
      <c r="P111" s="40"/>
      <c r="Q111" s="40"/>
      <c r="R111" s="40"/>
      <c r="S111" s="40"/>
      <c r="T111" s="40"/>
      <c r="U111" s="40"/>
      <c r="V111" s="41"/>
      <c r="W111" s="40"/>
      <c r="X111" s="40"/>
      <c r="Y111" s="40"/>
      <c r="Z111" s="40"/>
      <c r="AA111" s="40"/>
      <c r="AB111" s="40"/>
      <c r="AC111" s="40"/>
      <c r="AD111" s="40"/>
      <c r="AE111" s="41"/>
      <c r="AF111" s="40"/>
      <c r="AG111" s="40"/>
      <c r="AH111" s="40"/>
      <c r="AI111" s="40"/>
      <c r="AJ111" s="40"/>
      <c r="AK111" s="40"/>
      <c r="AL111" s="40"/>
      <c r="AM111" s="40"/>
      <c r="AN111" s="41"/>
      <c r="AO111" s="40"/>
      <c r="AP111" s="40"/>
      <c r="AQ111" s="41"/>
      <c r="AR111" s="52"/>
      <c r="AS111" s="52"/>
      <c r="AT111" s="43"/>
      <c r="AU111" s="55">
        <f t="shared" si="146"/>
        <v>0</v>
      </c>
      <c r="AV111" s="55">
        <f t="shared" si="147"/>
        <v>0</v>
      </c>
      <c r="AW111" s="55">
        <f t="shared" si="148"/>
        <v>0</v>
      </c>
      <c r="AX111" s="55">
        <f t="shared" si="149"/>
        <v>0</v>
      </c>
      <c r="AZ111" s="55">
        <f t="shared" si="150"/>
        <v>0</v>
      </c>
    </row>
    <row r="112" spans="1:52" ht="15.75" customHeight="1">
      <c r="A112" s="152" t="s">
        <v>90</v>
      </c>
      <c r="B112" s="152" t="s">
        <v>127</v>
      </c>
      <c r="C112" s="152" t="s">
        <v>6</v>
      </c>
      <c r="D112" s="54" t="s">
        <v>3</v>
      </c>
      <c r="E112" s="40">
        <f t="shared" si="169"/>
        <v>34482.100000000006</v>
      </c>
      <c r="F112" s="40">
        <f t="shared" si="169"/>
        <v>34079.499999999993</v>
      </c>
      <c r="G112" s="41">
        <f>F112/E112*100</f>
        <v>98.832437699560032</v>
      </c>
      <c r="H112" s="40">
        <f>H113+H114+H115+H116</f>
        <v>0</v>
      </c>
      <c r="I112" s="40">
        <f>I113+I114+I115+I116</f>
        <v>0</v>
      </c>
      <c r="J112" s="38"/>
      <c r="K112" s="40">
        <f t="shared" ref="K112:AP112" si="215">K113+K114+K115+K116</f>
        <v>5555</v>
      </c>
      <c r="L112" s="40">
        <f t="shared" si="215"/>
        <v>5044</v>
      </c>
      <c r="M112" s="41">
        <f t="shared" si="191"/>
        <v>90.801080108010808</v>
      </c>
      <c r="N112" s="40">
        <f t="shared" si="215"/>
        <v>3974.8</v>
      </c>
      <c r="O112" s="40">
        <f t="shared" si="215"/>
        <v>3987.9</v>
      </c>
      <c r="P112" s="41">
        <f>O112/N112*100</f>
        <v>100.32957633088458</v>
      </c>
      <c r="Q112" s="40">
        <f t="shared" si="215"/>
        <v>3975.2</v>
      </c>
      <c r="R112" s="40">
        <f t="shared" si="215"/>
        <v>3720.5</v>
      </c>
      <c r="S112" s="41">
        <f>R112/Q112*100</f>
        <v>93.59277520627893</v>
      </c>
      <c r="T112" s="40">
        <f t="shared" si="215"/>
        <v>4191.1000000000004</v>
      </c>
      <c r="U112" s="40">
        <f t="shared" si="215"/>
        <v>3716.4</v>
      </c>
      <c r="V112" s="41">
        <f>U112/T112*100</f>
        <v>88.673617904607369</v>
      </c>
      <c r="W112" s="40">
        <f t="shared" si="215"/>
        <v>1659.9</v>
      </c>
      <c r="X112" s="40">
        <f t="shared" si="215"/>
        <v>1639</v>
      </c>
      <c r="Y112" s="41">
        <f>X112/W112*100</f>
        <v>98.740888005301514</v>
      </c>
      <c r="Z112" s="40">
        <f t="shared" si="215"/>
        <v>0</v>
      </c>
      <c r="AA112" s="40">
        <f t="shared" si="215"/>
        <v>495.1</v>
      </c>
      <c r="AB112" s="38"/>
      <c r="AC112" s="40">
        <f t="shared" si="215"/>
        <v>0</v>
      </c>
      <c r="AD112" s="40">
        <f t="shared" si="215"/>
        <v>78.8</v>
      </c>
      <c r="AE112" s="41"/>
      <c r="AF112" s="40">
        <f t="shared" si="215"/>
        <v>3933.7</v>
      </c>
      <c r="AG112" s="40">
        <f t="shared" si="215"/>
        <v>1955.8</v>
      </c>
      <c r="AH112" s="41">
        <f>AG112/AF112*100</f>
        <v>49.719093982764321</v>
      </c>
      <c r="AI112" s="40">
        <f t="shared" si="215"/>
        <v>4051.9</v>
      </c>
      <c r="AJ112" s="40">
        <f t="shared" si="215"/>
        <v>4508.8</v>
      </c>
      <c r="AK112" s="41">
        <f>AJ112/AI112*100</f>
        <v>111.27619141637257</v>
      </c>
      <c r="AL112" s="40">
        <f t="shared" si="215"/>
        <v>4051.9</v>
      </c>
      <c r="AM112" s="40">
        <f t="shared" si="215"/>
        <v>3858</v>
      </c>
      <c r="AN112" s="41">
        <f>AM112/AL112*100</f>
        <v>95.214590685851078</v>
      </c>
      <c r="AO112" s="40">
        <f t="shared" si="215"/>
        <v>3088.6</v>
      </c>
      <c r="AP112" s="40">
        <f t="shared" si="215"/>
        <v>5075.2</v>
      </c>
      <c r="AQ112" s="41">
        <f>AP112/AO112*100</f>
        <v>164.32040406656739</v>
      </c>
      <c r="AR112" s="52"/>
      <c r="AS112" s="52"/>
      <c r="AT112" s="43">
        <f t="shared" si="168"/>
        <v>0.92389507382101366</v>
      </c>
      <c r="AU112" s="55">
        <f t="shared" si="146"/>
        <v>9529.7999999999993</v>
      </c>
      <c r="AV112" s="55">
        <f t="shared" si="147"/>
        <v>9826.2000000000007</v>
      </c>
      <c r="AW112" s="55">
        <f t="shared" si="148"/>
        <v>3933.7</v>
      </c>
      <c r="AX112" s="55">
        <f t="shared" si="149"/>
        <v>11192.4</v>
      </c>
      <c r="AY112" s="44">
        <f>AY115</f>
        <v>31690.25</v>
      </c>
      <c r="AZ112" s="55">
        <f t="shared" si="150"/>
        <v>-2791.8500000000004</v>
      </c>
    </row>
    <row r="113" spans="1:52" ht="15.75">
      <c r="A113" s="152"/>
      <c r="B113" s="152"/>
      <c r="C113" s="152"/>
      <c r="D113" s="54" t="s">
        <v>23</v>
      </c>
      <c r="E113" s="40">
        <f t="shared" si="169"/>
        <v>0</v>
      </c>
      <c r="F113" s="40">
        <f t="shared" si="169"/>
        <v>0</v>
      </c>
      <c r="G113" s="41"/>
      <c r="H113" s="40"/>
      <c r="I113" s="40"/>
      <c r="J113" s="38"/>
      <c r="K113" s="40"/>
      <c r="L113" s="40"/>
      <c r="M113" s="41"/>
      <c r="N113" s="40"/>
      <c r="O113" s="40"/>
      <c r="P113" s="41"/>
      <c r="Q113" s="40"/>
      <c r="R113" s="40"/>
      <c r="S113" s="41"/>
      <c r="T113" s="40"/>
      <c r="U113" s="40"/>
      <c r="V113" s="41"/>
      <c r="W113" s="40"/>
      <c r="X113" s="40"/>
      <c r="Y113" s="41"/>
      <c r="Z113" s="40"/>
      <c r="AA113" s="40"/>
      <c r="AB113" s="38"/>
      <c r="AC113" s="40"/>
      <c r="AD113" s="40"/>
      <c r="AE113" s="41"/>
      <c r="AF113" s="40"/>
      <c r="AG113" s="40"/>
      <c r="AH113" s="41"/>
      <c r="AI113" s="40"/>
      <c r="AJ113" s="40"/>
      <c r="AK113" s="41"/>
      <c r="AL113" s="40"/>
      <c r="AM113" s="40"/>
      <c r="AN113" s="41"/>
      <c r="AO113" s="40"/>
      <c r="AP113" s="40"/>
      <c r="AQ113" s="38"/>
      <c r="AR113" s="52"/>
      <c r="AS113" s="52"/>
      <c r="AT113" s="43"/>
      <c r="AU113" s="55">
        <f t="shared" si="146"/>
        <v>0</v>
      </c>
      <c r="AV113" s="55">
        <f t="shared" si="147"/>
        <v>0</v>
      </c>
      <c r="AW113" s="55">
        <f t="shared" si="148"/>
        <v>0</v>
      </c>
      <c r="AX113" s="55">
        <f t="shared" si="149"/>
        <v>0</v>
      </c>
      <c r="AZ113" s="55">
        <f t="shared" si="150"/>
        <v>0</v>
      </c>
    </row>
    <row r="114" spans="1:52" ht="24" customHeight="1">
      <c r="A114" s="152"/>
      <c r="B114" s="152"/>
      <c r="C114" s="152"/>
      <c r="D114" s="54" t="s">
        <v>4</v>
      </c>
      <c r="E114" s="40">
        <f t="shared" si="169"/>
        <v>0</v>
      </c>
      <c r="F114" s="40">
        <f t="shared" si="169"/>
        <v>0</v>
      </c>
      <c r="G114" s="41"/>
      <c r="H114" s="40"/>
      <c r="I114" s="40"/>
      <c r="J114" s="38"/>
      <c r="K114" s="40"/>
      <c r="L114" s="40"/>
      <c r="M114" s="41"/>
      <c r="N114" s="40"/>
      <c r="O114" s="40"/>
      <c r="P114" s="41"/>
      <c r="Q114" s="40"/>
      <c r="R114" s="40"/>
      <c r="S114" s="41"/>
      <c r="T114" s="40"/>
      <c r="U114" s="40"/>
      <c r="V114" s="41"/>
      <c r="W114" s="40"/>
      <c r="X114" s="40"/>
      <c r="Y114" s="41"/>
      <c r="Z114" s="40"/>
      <c r="AA114" s="40"/>
      <c r="AB114" s="38"/>
      <c r="AC114" s="40"/>
      <c r="AD114" s="40"/>
      <c r="AE114" s="41"/>
      <c r="AF114" s="40"/>
      <c r="AG114" s="40"/>
      <c r="AH114" s="41"/>
      <c r="AI114" s="40"/>
      <c r="AJ114" s="40"/>
      <c r="AK114" s="41"/>
      <c r="AL114" s="40"/>
      <c r="AM114" s="40"/>
      <c r="AN114" s="41"/>
      <c r="AO114" s="40"/>
      <c r="AP114" s="40"/>
      <c r="AQ114" s="38"/>
      <c r="AR114" s="52"/>
      <c r="AS114" s="52"/>
      <c r="AT114" s="43"/>
      <c r="AU114" s="55">
        <f t="shared" si="146"/>
        <v>0</v>
      </c>
      <c r="AV114" s="55">
        <f t="shared" si="147"/>
        <v>0</v>
      </c>
      <c r="AW114" s="55">
        <f t="shared" si="148"/>
        <v>0</v>
      </c>
      <c r="AX114" s="55">
        <f t="shared" si="149"/>
        <v>0</v>
      </c>
      <c r="AZ114" s="55">
        <f t="shared" si="150"/>
        <v>0</v>
      </c>
    </row>
    <row r="115" spans="1:52" ht="61.5" customHeight="1">
      <c r="A115" s="152"/>
      <c r="B115" s="152"/>
      <c r="C115" s="152"/>
      <c r="D115" s="54" t="s">
        <v>70</v>
      </c>
      <c r="E115" s="40">
        <f t="shared" si="169"/>
        <v>34482.100000000006</v>
      </c>
      <c r="F115" s="40">
        <f t="shared" si="169"/>
        <v>34079.499999999993</v>
      </c>
      <c r="G115" s="41">
        <f t="shared" ref="G115" si="216">F115/E115*100</f>
        <v>98.832437699560032</v>
      </c>
      <c r="H115" s="40">
        <v>0</v>
      </c>
      <c r="I115" s="40">
        <v>0</v>
      </c>
      <c r="J115" s="38"/>
      <c r="K115" s="40">
        <v>5555</v>
      </c>
      <c r="L115" s="40">
        <v>5044</v>
      </c>
      <c r="M115" s="41">
        <f t="shared" si="191"/>
        <v>90.801080108010808</v>
      </c>
      <c r="N115" s="40">
        <v>3974.8</v>
      </c>
      <c r="O115" s="40">
        <v>3987.9</v>
      </c>
      <c r="P115" s="41">
        <f t="shared" ref="P115" si="217">O115/N115*100</f>
        <v>100.32957633088458</v>
      </c>
      <c r="Q115" s="40">
        <v>3975.2</v>
      </c>
      <c r="R115" s="40">
        <v>3720.5</v>
      </c>
      <c r="S115" s="41">
        <f t="shared" ref="S115" si="218">R115/Q115*100</f>
        <v>93.59277520627893</v>
      </c>
      <c r="T115" s="40">
        <v>4191.1000000000004</v>
      </c>
      <c r="U115" s="40">
        <v>3716.4</v>
      </c>
      <c r="V115" s="41">
        <f t="shared" ref="V115" si="219">U115/T115*100</f>
        <v>88.673617904607369</v>
      </c>
      <c r="W115" s="40">
        <v>1659.9</v>
      </c>
      <c r="X115" s="40">
        <v>1639</v>
      </c>
      <c r="Y115" s="41">
        <f t="shared" ref="Y115" si="220">X115/W115*100</f>
        <v>98.740888005301514</v>
      </c>
      <c r="Z115" s="40"/>
      <c r="AA115" s="40">
        <v>495.1</v>
      </c>
      <c r="AB115" s="38"/>
      <c r="AC115" s="40"/>
      <c r="AD115" s="40">
        <v>78.8</v>
      </c>
      <c r="AE115" s="41"/>
      <c r="AF115" s="40">
        <v>3933.7</v>
      </c>
      <c r="AG115" s="40">
        <v>1955.8</v>
      </c>
      <c r="AH115" s="41">
        <f t="shared" ref="AH115" si="221">AG115/AF115*100</f>
        <v>49.719093982764321</v>
      </c>
      <c r="AI115" s="40">
        <v>4051.9</v>
      </c>
      <c r="AJ115" s="40">
        <v>4508.8</v>
      </c>
      <c r="AK115" s="41">
        <f t="shared" ref="AK115" si="222">AJ115/AI115*100</f>
        <v>111.27619141637257</v>
      </c>
      <c r="AL115" s="40">
        <v>4051.9</v>
      </c>
      <c r="AM115" s="40">
        <v>3858</v>
      </c>
      <c r="AN115" s="41">
        <f t="shared" ref="AN115" si="223">AM115/AL115*100</f>
        <v>95.214590685851078</v>
      </c>
      <c r="AO115" s="40">
        <v>3088.6</v>
      </c>
      <c r="AP115" s="40">
        <f>5075.2</f>
        <v>5075.2</v>
      </c>
      <c r="AQ115" s="41">
        <f t="shared" ref="AQ115" si="224">AP115/AO115*100</f>
        <v>164.32040406656739</v>
      </c>
      <c r="AR115" s="115" t="s">
        <v>55</v>
      </c>
      <c r="AS115" s="115" t="s">
        <v>56</v>
      </c>
      <c r="AT115" s="43">
        <f t="shared" si="168"/>
        <v>0.92389507382101366</v>
      </c>
      <c r="AU115" s="55">
        <f t="shared" si="146"/>
        <v>9529.7999999999993</v>
      </c>
      <c r="AV115" s="55">
        <f t="shared" si="147"/>
        <v>9826.2000000000007</v>
      </c>
      <c r="AW115" s="55">
        <f t="shared" si="148"/>
        <v>3933.7</v>
      </c>
      <c r="AX115" s="55">
        <f t="shared" si="149"/>
        <v>11192.4</v>
      </c>
      <c r="AY115" s="44">
        <v>31690.25</v>
      </c>
      <c r="AZ115" s="55">
        <f t="shared" si="150"/>
        <v>-2791.8500000000004</v>
      </c>
    </row>
    <row r="116" spans="1:52" ht="12.75" customHeight="1">
      <c r="A116" s="152"/>
      <c r="B116" s="152"/>
      <c r="C116" s="152"/>
      <c r="D116" s="54" t="s">
        <v>24</v>
      </c>
      <c r="E116" s="40">
        <f t="shared" si="169"/>
        <v>0</v>
      </c>
      <c r="F116" s="40">
        <f t="shared" si="169"/>
        <v>0</v>
      </c>
      <c r="G116" s="41"/>
      <c r="H116" s="40"/>
      <c r="I116" s="40"/>
      <c r="J116" s="40"/>
      <c r="K116" s="40"/>
      <c r="L116" s="40"/>
      <c r="M116" s="41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1"/>
      <c r="AL116" s="40"/>
      <c r="AM116" s="40"/>
      <c r="AN116" s="40"/>
      <c r="AO116" s="40"/>
      <c r="AP116" s="40"/>
      <c r="AQ116" s="41"/>
      <c r="AR116" s="52"/>
      <c r="AS116" s="52"/>
      <c r="AT116" s="43"/>
      <c r="AU116" s="55">
        <f t="shared" si="146"/>
        <v>0</v>
      </c>
      <c r="AV116" s="55">
        <f t="shared" si="147"/>
        <v>0</v>
      </c>
      <c r="AW116" s="55">
        <f t="shared" si="148"/>
        <v>0</v>
      </c>
      <c r="AX116" s="55">
        <f t="shared" si="149"/>
        <v>0</v>
      </c>
      <c r="AZ116" s="55">
        <f t="shared" si="150"/>
        <v>0</v>
      </c>
    </row>
    <row r="117" spans="1:52" ht="15.75" customHeight="1">
      <c r="A117" s="152" t="s">
        <v>91</v>
      </c>
      <c r="B117" s="152" t="s">
        <v>128</v>
      </c>
      <c r="C117" s="152" t="s">
        <v>6</v>
      </c>
      <c r="D117" s="54" t="s">
        <v>3</v>
      </c>
      <c r="E117" s="40">
        <f t="shared" si="169"/>
        <v>3083.1</v>
      </c>
      <c r="F117" s="40">
        <f t="shared" si="169"/>
        <v>3083.1</v>
      </c>
      <c r="G117" s="41">
        <f>F117/E117*100</f>
        <v>100</v>
      </c>
      <c r="H117" s="40">
        <f>H118+H119+H120+H121</f>
        <v>0</v>
      </c>
      <c r="I117" s="40"/>
      <c r="J117" s="38"/>
      <c r="K117" s="40">
        <f t="shared" ref="K117:AP117" si="225">K118+K119+K120+K121</f>
        <v>0</v>
      </c>
      <c r="L117" s="40">
        <f t="shared" si="225"/>
        <v>0</v>
      </c>
      <c r="M117" s="41"/>
      <c r="N117" s="40">
        <f t="shared" si="225"/>
        <v>570.1</v>
      </c>
      <c r="O117" s="40">
        <f t="shared" si="225"/>
        <v>0</v>
      </c>
      <c r="P117" s="41">
        <f>O117/N117*100</f>
        <v>0</v>
      </c>
      <c r="Q117" s="40">
        <f t="shared" si="225"/>
        <v>346.6</v>
      </c>
      <c r="R117" s="40">
        <f t="shared" si="225"/>
        <v>643.5</v>
      </c>
      <c r="S117" s="41">
        <f>R117/Q117*100</f>
        <v>185.66070398153488</v>
      </c>
      <c r="T117" s="40">
        <f t="shared" si="225"/>
        <v>377.5</v>
      </c>
      <c r="U117" s="40">
        <f t="shared" si="225"/>
        <v>219.2</v>
      </c>
      <c r="V117" s="41">
        <f>U117/T117*100</f>
        <v>58.066225165562912</v>
      </c>
      <c r="W117" s="40">
        <f t="shared" si="225"/>
        <v>106.5</v>
      </c>
      <c r="X117" s="40">
        <f t="shared" si="225"/>
        <v>535.6</v>
      </c>
      <c r="Y117" s="41">
        <f>X117/W117*100</f>
        <v>502.91079812206573</v>
      </c>
      <c r="Z117" s="40">
        <f t="shared" si="225"/>
        <v>613.20000000000005</v>
      </c>
      <c r="AA117" s="40">
        <f t="shared" si="225"/>
        <v>554.6</v>
      </c>
      <c r="AB117" s="41">
        <f>AA117/Z117*100</f>
        <v>90.443574690150029</v>
      </c>
      <c r="AC117" s="40">
        <f t="shared" si="225"/>
        <v>102.2</v>
      </c>
      <c r="AD117" s="40">
        <f t="shared" si="225"/>
        <v>144.19999999999999</v>
      </c>
      <c r="AE117" s="41">
        <f>AD117/AC117*100</f>
        <v>141.0958904109589</v>
      </c>
      <c r="AF117" s="40">
        <f t="shared" si="225"/>
        <v>0</v>
      </c>
      <c r="AG117" s="40"/>
      <c r="AH117" s="38"/>
      <c r="AI117" s="40">
        <f t="shared" si="225"/>
        <v>136.9</v>
      </c>
      <c r="AJ117" s="40">
        <f t="shared" si="225"/>
        <v>122.4</v>
      </c>
      <c r="AK117" s="41">
        <f>AJ117/AI117*100</f>
        <v>89.408327246165086</v>
      </c>
      <c r="AL117" s="40">
        <f t="shared" si="225"/>
        <v>480</v>
      </c>
      <c r="AM117" s="40">
        <f t="shared" si="225"/>
        <v>38.1</v>
      </c>
      <c r="AN117" s="41">
        <f>AM117/AL117*100</f>
        <v>7.9375</v>
      </c>
      <c r="AO117" s="40">
        <f t="shared" si="225"/>
        <v>350.1</v>
      </c>
      <c r="AP117" s="40">
        <f t="shared" si="225"/>
        <v>825.5</v>
      </c>
      <c r="AQ117" s="41">
        <f>AP117/AO117*100</f>
        <v>235.78977435018564</v>
      </c>
      <c r="AR117" s="52"/>
      <c r="AS117" s="52"/>
      <c r="AT117" s="43">
        <f t="shared" si="168"/>
        <v>0.82605195755579941</v>
      </c>
      <c r="AU117" s="55">
        <f t="shared" si="146"/>
        <v>570.1</v>
      </c>
      <c r="AV117" s="55">
        <f t="shared" si="147"/>
        <v>830.6</v>
      </c>
      <c r="AW117" s="55">
        <f t="shared" si="148"/>
        <v>715.40000000000009</v>
      </c>
      <c r="AX117" s="55">
        <f t="shared" si="149"/>
        <v>967</v>
      </c>
      <c r="AY117" s="56">
        <f>AY119</f>
        <v>2603.1</v>
      </c>
      <c r="AZ117" s="55">
        <f t="shared" si="150"/>
        <v>-480</v>
      </c>
    </row>
    <row r="118" spans="1:52" ht="15.75">
      <c r="A118" s="152"/>
      <c r="B118" s="152"/>
      <c r="C118" s="152"/>
      <c r="D118" s="54" t="s">
        <v>23</v>
      </c>
      <c r="E118" s="40">
        <f t="shared" si="169"/>
        <v>0</v>
      </c>
      <c r="F118" s="40">
        <f t="shared" si="169"/>
        <v>0</v>
      </c>
      <c r="G118" s="41"/>
      <c r="H118" s="40"/>
      <c r="I118" s="40"/>
      <c r="J118" s="38"/>
      <c r="K118" s="40"/>
      <c r="L118" s="40"/>
      <c r="M118" s="41"/>
      <c r="N118" s="40"/>
      <c r="O118" s="40"/>
      <c r="P118" s="41"/>
      <c r="Q118" s="40"/>
      <c r="R118" s="40"/>
      <c r="S118" s="41"/>
      <c r="T118" s="40"/>
      <c r="U118" s="40"/>
      <c r="V118" s="41"/>
      <c r="W118" s="40"/>
      <c r="X118" s="40"/>
      <c r="Y118" s="41"/>
      <c r="Z118" s="40"/>
      <c r="AA118" s="40"/>
      <c r="AB118" s="41"/>
      <c r="AC118" s="40"/>
      <c r="AD118" s="40"/>
      <c r="AE118" s="41"/>
      <c r="AF118" s="40"/>
      <c r="AG118" s="40"/>
      <c r="AH118" s="38"/>
      <c r="AI118" s="40"/>
      <c r="AJ118" s="40"/>
      <c r="AK118" s="41"/>
      <c r="AL118" s="40"/>
      <c r="AM118" s="40"/>
      <c r="AN118" s="41"/>
      <c r="AO118" s="40"/>
      <c r="AP118" s="40"/>
      <c r="AQ118" s="41"/>
      <c r="AR118" s="52"/>
      <c r="AS118" s="52"/>
      <c r="AT118" s="43"/>
      <c r="AU118" s="55">
        <f t="shared" si="146"/>
        <v>0</v>
      </c>
      <c r="AV118" s="55">
        <f t="shared" si="147"/>
        <v>0</v>
      </c>
      <c r="AW118" s="55">
        <f t="shared" si="148"/>
        <v>0</v>
      </c>
      <c r="AX118" s="55">
        <f t="shared" si="149"/>
        <v>0</v>
      </c>
      <c r="AZ118" s="55">
        <f t="shared" si="150"/>
        <v>0</v>
      </c>
    </row>
    <row r="119" spans="1:52" ht="146.25" customHeight="1">
      <c r="A119" s="152"/>
      <c r="B119" s="152"/>
      <c r="C119" s="152"/>
      <c r="D119" s="54" t="s">
        <v>4</v>
      </c>
      <c r="E119" s="40">
        <f t="shared" si="169"/>
        <v>3083.1</v>
      </c>
      <c r="F119" s="40">
        <f t="shared" si="169"/>
        <v>3083.1</v>
      </c>
      <c r="G119" s="41">
        <f>F119/E119*100</f>
        <v>100</v>
      </c>
      <c r="H119" s="41"/>
      <c r="I119" s="41"/>
      <c r="J119" s="38"/>
      <c r="K119" s="41"/>
      <c r="L119" s="41"/>
      <c r="M119" s="41"/>
      <c r="N119" s="41">
        <v>570.1</v>
      </c>
      <c r="O119" s="41"/>
      <c r="P119" s="41">
        <f>O119/N119*100</f>
        <v>0</v>
      </c>
      <c r="Q119" s="41">
        <v>346.6</v>
      </c>
      <c r="R119" s="41">
        <v>643.5</v>
      </c>
      <c r="S119" s="41">
        <f>R119/Q119*100</f>
        <v>185.66070398153488</v>
      </c>
      <c r="T119" s="41">
        <v>377.5</v>
      </c>
      <c r="U119" s="41">
        <v>219.2</v>
      </c>
      <c r="V119" s="41">
        <f>U119/T119*100</f>
        <v>58.066225165562912</v>
      </c>
      <c r="W119" s="41">
        <v>106.5</v>
      </c>
      <c r="X119" s="41">
        <v>535.6</v>
      </c>
      <c r="Y119" s="41">
        <f>X119/W119*100</f>
        <v>502.91079812206573</v>
      </c>
      <c r="Z119" s="41">
        <v>613.20000000000005</v>
      </c>
      <c r="AA119" s="41">
        <v>554.6</v>
      </c>
      <c r="AB119" s="41">
        <f>AA119/Z119*100</f>
        <v>90.443574690150029</v>
      </c>
      <c r="AC119" s="41">
        <v>102.2</v>
      </c>
      <c r="AD119" s="41">
        <v>144.19999999999999</v>
      </c>
      <c r="AE119" s="41">
        <f>AD119/AC119*100</f>
        <v>141.0958904109589</v>
      </c>
      <c r="AF119" s="41"/>
      <c r="AG119" s="41"/>
      <c r="AH119" s="38"/>
      <c r="AI119" s="41">
        <v>136.9</v>
      </c>
      <c r="AJ119" s="41">
        <v>122.4</v>
      </c>
      <c r="AK119" s="41">
        <f>AJ119/AI119*100</f>
        <v>89.408327246165086</v>
      </c>
      <c r="AL119" s="41">
        <v>480</v>
      </c>
      <c r="AM119" s="41">
        <v>38.1</v>
      </c>
      <c r="AN119" s="41">
        <f>AM119/AL119*100</f>
        <v>7.9375</v>
      </c>
      <c r="AO119" s="41">
        <f>350+0.1</f>
        <v>350.1</v>
      </c>
      <c r="AP119" s="41">
        <v>825.5</v>
      </c>
      <c r="AQ119" s="41">
        <f>AP119/AO119*100</f>
        <v>235.78977435018564</v>
      </c>
      <c r="AR119" s="115" t="s">
        <v>68</v>
      </c>
      <c r="AS119" s="116"/>
      <c r="AT119" s="43">
        <f t="shared" si="168"/>
        <v>0.82605195755579941</v>
      </c>
      <c r="AU119" s="57">
        <f t="shared" si="146"/>
        <v>570.1</v>
      </c>
      <c r="AV119" s="83">
        <f t="shared" si="147"/>
        <v>830.6</v>
      </c>
      <c r="AW119" s="57">
        <f t="shared" si="148"/>
        <v>715.40000000000009</v>
      </c>
      <c r="AX119" s="83">
        <f t="shared" si="149"/>
        <v>967</v>
      </c>
      <c r="AY119" s="83">
        <f>344.1+2259</f>
        <v>2603.1</v>
      </c>
      <c r="AZ119" s="55">
        <f t="shared" si="150"/>
        <v>-480</v>
      </c>
    </row>
    <row r="120" spans="1:52" ht="15" customHeight="1">
      <c r="A120" s="152"/>
      <c r="B120" s="152"/>
      <c r="C120" s="152"/>
      <c r="D120" s="54" t="s">
        <v>70</v>
      </c>
      <c r="E120" s="40">
        <f t="shared" si="169"/>
        <v>0</v>
      </c>
      <c r="F120" s="40">
        <f t="shared" si="169"/>
        <v>0</v>
      </c>
      <c r="G120" s="41"/>
      <c r="H120" s="41"/>
      <c r="I120" s="41"/>
      <c r="J120" s="38"/>
      <c r="K120" s="41"/>
      <c r="L120" s="41"/>
      <c r="M120" s="41"/>
      <c r="N120" s="41"/>
      <c r="O120" s="41"/>
      <c r="P120" s="41"/>
      <c r="Q120" s="41"/>
      <c r="R120" s="41"/>
      <c r="S120" s="38"/>
      <c r="T120" s="41"/>
      <c r="U120" s="41"/>
      <c r="V120" s="41"/>
      <c r="W120" s="41"/>
      <c r="X120" s="41"/>
      <c r="Y120" s="38"/>
      <c r="Z120" s="41"/>
      <c r="AA120" s="41"/>
      <c r="AB120" s="38"/>
      <c r="AC120" s="41"/>
      <c r="AD120" s="41"/>
      <c r="AE120" s="38"/>
      <c r="AF120" s="41"/>
      <c r="AG120" s="41"/>
      <c r="AH120" s="38"/>
      <c r="AI120" s="41"/>
      <c r="AJ120" s="41"/>
      <c r="AK120" s="38"/>
      <c r="AL120" s="41"/>
      <c r="AM120" s="41"/>
      <c r="AN120" s="38"/>
      <c r="AO120" s="41"/>
      <c r="AP120" s="41"/>
      <c r="AQ120" s="38"/>
      <c r="AR120" s="52"/>
      <c r="AS120" s="52"/>
      <c r="AT120" s="43"/>
      <c r="AU120" s="55">
        <f t="shared" si="146"/>
        <v>0</v>
      </c>
      <c r="AV120" s="55">
        <f t="shared" si="147"/>
        <v>0</v>
      </c>
      <c r="AW120" s="55">
        <f t="shared" si="148"/>
        <v>0</v>
      </c>
      <c r="AX120" s="55">
        <f t="shared" si="149"/>
        <v>0</v>
      </c>
      <c r="AZ120" s="55">
        <f t="shared" si="150"/>
        <v>0</v>
      </c>
    </row>
    <row r="121" spans="1:52" ht="13.5" customHeight="1" thickBot="1">
      <c r="A121" s="152"/>
      <c r="B121" s="152"/>
      <c r="C121" s="152"/>
      <c r="D121" s="54" t="s">
        <v>24</v>
      </c>
      <c r="E121" s="40">
        <f t="shared" si="169"/>
        <v>0</v>
      </c>
      <c r="F121" s="40">
        <f t="shared" si="169"/>
        <v>0</v>
      </c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52"/>
      <c r="AS121" s="52"/>
      <c r="AT121" s="43"/>
      <c r="AU121" s="108">
        <f t="shared" si="146"/>
        <v>0</v>
      </c>
      <c r="AV121" s="108">
        <f t="shared" si="147"/>
        <v>0</v>
      </c>
      <c r="AW121" s="108">
        <f t="shared" si="148"/>
        <v>0</v>
      </c>
      <c r="AX121" s="108">
        <f t="shared" si="149"/>
        <v>0</v>
      </c>
      <c r="AZ121" s="55">
        <f t="shared" si="150"/>
        <v>0</v>
      </c>
    </row>
    <row r="122" spans="1:52" ht="13.5" customHeight="1">
      <c r="A122" s="153" t="s">
        <v>12</v>
      </c>
      <c r="B122" s="153"/>
      <c r="C122" s="153"/>
      <c r="D122" s="58" t="s">
        <v>3</v>
      </c>
      <c r="E122" s="59">
        <f t="shared" si="169"/>
        <v>715644.50000000012</v>
      </c>
      <c r="F122" s="59">
        <f t="shared" si="169"/>
        <v>715241.9</v>
      </c>
      <c r="G122" s="42">
        <f>F122/E122*100</f>
        <v>99.943743017657496</v>
      </c>
      <c r="H122" s="59">
        <f>H124+H123+H125+H126</f>
        <v>15520.6</v>
      </c>
      <c r="I122" s="59">
        <f>I124+I123+I125+I126</f>
        <v>15520.6</v>
      </c>
      <c r="J122" s="42">
        <f>I122/H122*100</f>
        <v>100</v>
      </c>
      <c r="K122" s="59">
        <f t="shared" ref="K122:AO122" si="226">K124+K123+K125+K126</f>
        <v>54268.2</v>
      </c>
      <c r="L122" s="59">
        <f t="shared" si="226"/>
        <v>53757.2</v>
      </c>
      <c r="M122" s="42">
        <f t="shared" si="191"/>
        <v>99.058380414312623</v>
      </c>
      <c r="N122" s="59">
        <f t="shared" si="226"/>
        <v>57435.1</v>
      </c>
      <c r="O122" s="59">
        <f t="shared" si="226"/>
        <v>56260.2</v>
      </c>
      <c r="P122" s="42">
        <f t="shared" ref="P122:P125" si="227">O122/N122*100</f>
        <v>97.954386777423565</v>
      </c>
      <c r="Q122" s="59">
        <f t="shared" si="226"/>
        <v>68940.799999999988</v>
      </c>
      <c r="R122" s="59">
        <f t="shared" ref="R122" si="228">R124+R123+R125+R126</f>
        <v>69325</v>
      </c>
      <c r="S122" s="42">
        <f>R122/Q122*100</f>
        <v>100.5572897326402</v>
      </c>
      <c r="T122" s="59">
        <f t="shared" si="226"/>
        <v>88755.8</v>
      </c>
      <c r="U122" s="59">
        <f t="shared" ref="U122" si="229">U124+U123+U125+U126</f>
        <v>87809.4</v>
      </c>
      <c r="V122" s="42">
        <f>U122/T122*100</f>
        <v>98.933703487546722</v>
      </c>
      <c r="W122" s="59">
        <f t="shared" si="226"/>
        <v>119958</v>
      </c>
      <c r="X122" s="59">
        <f t="shared" ref="X122" si="230">X124+X123+X125+X126</f>
        <v>119810.6</v>
      </c>
      <c r="Y122" s="42">
        <f>X122/W122*100</f>
        <v>99.877123659947657</v>
      </c>
      <c r="Z122" s="59">
        <f t="shared" si="226"/>
        <v>45030.3</v>
      </c>
      <c r="AA122" s="59">
        <f t="shared" ref="AA122" si="231">AA124+AA123+AA125+AA126</f>
        <v>47691.200000000004</v>
      </c>
      <c r="AB122" s="42">
        <f>AA122/Z122*100</f>
        <v>105.90913229536557</v>
      </c>
      <c r="AC122" s="59">
        <f t="shared" si="226"/>
        <v>25723.200000000001</v>
      </c>
      <c r="AD122" s="59">
        <f t="shared" ref="AD122" si="232">AD124+AD123+AD125+AD126</f>
        <v>20900.600000000002</v>
      </c>
      <c r="AE122" s="42">
        <f>AD122/AC122*100</f>
        <v>81.251943770603972</v>
      </c>
      <c r="AF122" s="59">
        <f t="shared" si="226"/>
        <v>42203.199999999997</v>
      </c>
      <c r="AG122" s="59">
        <f t="shared" ref="AG122" si="233">AG124+AG123+AG125+AG126</f>
        <v>41429.200000000004</v>
      </c>
      <c r="AH122" s="42">
        <f>AG122/AF122*100</f>
        <v>98.166015847139562</v>
      </c>
      <c r="AI122" s="59">
        <f t="shared" si="226"/>
        <v>56111.6</v>
      </c>
      <c r="AJ122" s="59">
        <f t="shared" ref="AJ122" si="234">AJ124+AJ123+AJ125+AJ126</f>
        <v>55693.4</v>
      </c>
      <c r="AK122" s="42">
        <f>AJ122/AI122*100</f>
        <v>99.254699563013716</v>
      </c>
      <c r="AL122" s="59">
        <f t="shared" si="226"/>
        <v>57756.299999999996</v>
      </c>
      <c r="AM122" s="59">
        <f t="shared" ref="AM122" si="235">AM124+AM123+AM125+AM126</f>
        <v>58903.899999999994</v>
      </c>
      <c r="AN122" s="42">
        <f>AM122/AL122*100</f>
        <v>101.9869693868894</v>
      </c>
      <c r="AO122" s="59">
        <f t="shared" si="226"/>
        <v>83941.400000000009</v>
      </c>
      <c r="AP122" s="59">
        <f t="shared" ref="AP122" si="236">AP124+AP123+AP125+AP126</f>
        <v>88140.6</v>
      </c>
      <c r="AQ122" s="42">
        <f>AP122/AO122*100</f>
        <v>105.00253748448323</v>
      </c>
      <c r="AR122" s="52"/>
      <c r="AS122" s="52"/>
      <c r="AT122" s="43">
        <f t="shared" si="168"/>
        <v>0.99271524866665994</v>
      </c>
      <c r="AU122" s="108">
        <f t="shared" si="146"/>
        <v>127223.9</v>
      </c>
      <c r="AV122" s="108">
        <f t="shared" si="147"/>
        <v>277654.59999999998</v>
      </c>
      <c r="AW122" s="108">
        <f t="shared" si="148"/>
        <v>112956.7</v>
      </c>
      <c r="AX122" s="108">
        <f t="shared" si="149"/>
        <v>197809.3</v>
      </c>
      <c r="AY122" s="60">
        <f t="shared" ref="AY122" si="237">AY124+AY123+AY125+AY126</f>
        <v>714061.89999999991</v>
      </c>
      <c r="AZ122" s="55">
        <f t="shared" si="150"/>
        <v>-1582.6000000000931</v>
      </c>
    </row>
    <row r="123" spans="1:52" ht="13.5" customHeight="1">
      <c r="A123" s="153"/>
      <c r="B123" s="153"/>
      <c r="C123" s="153"/>
      <c r="D123" s="58" t="s">
        <v>23</v>
      </c>
      <c r="E123" s="59">
        <f t="shared" si="169"/>
        <v>0</v>
      </c>
      <c r="F123" s="59">
        <f t="shared" si="169"/>
        <v>0</v>
      </c>
      <c r="G123" s="42"/>
      <c r="H123" s="59">
        <f t="shared" ref="H123:AO126" si="238">H73+H78+H83+H88+H93+H98+H103+H108+H113+H118</f>
        <v>0</v>
      </c>
      <c r="I123" s="59"/>
      <c r="J123" s="42"/>
      <c r="K123" s="59">
        <f t="shared" si="238"/>
        <v>0</v>
      </c>
      <c r="L123" s="59">
        <f t="shared" si="238"/>
        <v>0</v>
      </c>
      <c r="M123" s="42"/>
      <c r="N123" s="59">
        <f t="shared" si="238"/>
        <v>0</v>
      </c>
      <c r="O123" s="59">
        <f t="shared" si="238"/>
        <v>0</v>
      </c>
      <c r="P123" s="42"/>
      <c r="Q123" s="59">
        <f t="shared" si="238"/>
        <v>0</v>
      </c>
      <c r="R123" s="59">
        <f t="shared" ref="R123" si="239">R73+R78+R83+R88+R93+R98+R103+R108+R113+R118</f>
        <v>0</v>
      </c>
      <c r="S123" s="42"/>
      <c r="T123" s="59">
        <f t="shared" si="238"/>
        <v>0</v>
      </c>
      <c r="U123" s="59">
        <f t="shared" ref="U123" si="240">U73+U78+U83+U88+U93+U98+U103+U108+U113+U118</f>
        <v>0</v>
      </c>
      <c r="V123" s="42"/>
      <c r="W123" s="59">
        <f t="shared" si="238"/>
        <v>0</v>
      </c>
      <c r="X123" s="59">
        <f t="shared" ref="X123" si="241">X73+X78+X83+X88+X93+X98+X103+X108+X113+X118</f>
        <v>0</v>
      </c>
      <c r="Y123" s="42"/>
      <c r="Z123" s="59">
        <f t="shared" si="238"/>
        <v>0</v>
      </c>
      <c r="AA123" s="59">
        <f t="shared" ref="AA123" si="242">AA73+AA78+AA83+AA88+AA93+AA98+AA103+AA108+AA113+AA118</f>
        <v>0</v>
      </c>
      <c r="AB123" s="42"/>
      <c r="AC123" s="59">
        <f t="shared" si="238"/>
        <v>0</v>
      </c>
      <c r="AD123" s="59">
        <f t="shared" ref="AD123" si="243">AD73+AD78+AD83+AD88+AD93+AD98+AD103+AD108+AD113+AD118</f>
        <v>0</v>
      </c>
      <c r="AE123" s="42"/>
      <c r="AF123" s="59">
        <f t="shared" si="238"/>
        <v>0</v>
      </c>
      <c r="AG123" s="59">
        <f t="shared" ref="AG123" si="244">AG73+AG78+AG83+AG88+AG93+AG98+AG103+AG108+AG113+AG118</f>
        <v>0</v>
      </c>
      <c r="AH123" s="42"/>
      <c r="AI123" s="59">
        <f t="shared" si="238"/>
        <v>0</v>
      </c>
      <c r="AJ123" s="59">
        <f t="shared" ref="AJ123" si="245">AJ73+AJ78+AJ83+AJ88+AJ93+AJ98+AJ103+AJ108+AJ113+AJ118</f>
        <v>0</v>
      </c>
      <c r="AK123" s="42"/>
      <c r="AL123" s="59">
        <f t="shared" si="238"/>
        <v>0</v>
      </c>
      <c r="AM123" s="59">
        <f t="shared" ref="AM123" si="246">AM73+AM78+AM83+AM88+AM93+AM98+AM103+AM108+AM113+AM118</f>
        <v>0</v>
      </c>
      <c r="AN123" s="42"/>
      <c r="AO123" s="59">
        <f t="shared" si="238"/>
        <v>0</v>
      </c>
      <c r="AP123" s="59">
        <f t="shared" ref="AP123" si="247">AP73+AP78+AP83+AP88+AP93+AP98+AP103+AP108+AP113+AP118</f>
        <v>0</v>
      </c>
      <c r="AQ123" s="42"/>
      <c r="AR123" s="52"/>
      <c r="AS123" s="52"/>
      <c r="AT123" s="43"/>
      <c r="AU123" s="108">
        <f t="shared" si="146"/>
        <v>0</v>
      </c>
      <c r="AV123" s="108">
        <f t="shared" si="147"/>
        <v>0</v>
      </c>
      <c r="AW123" s="108">
        <f t="shared" si="148"/>
        <v>0</v>
      </c>
      <c r="AX123" s="108">
        <f t="shared" si="149"/>
        <v>0</v>
      </c>
      <c r="AY123" s="61">
        <f t="shared" ref="AY123:AY126" si="248">AY73+AY78+AY83+AY88+AY93+AY98+AY103+AY108+AY113+AY118</f>
        <v>0</v>
      </c>
      <c r="AZ123" s="55">
        <f t="shared" si="150"/>
        <v>0</v>
      </c>
    </row>
    <row r="124" spans="1:52" ht="23.25" customHeight="1">
      <c r="A124" s="153"/>
      <c r="B124" s="153"/>
      <c r="C124" s="153"/>
      <c r="D124" s="58" t="s">
        <v>4</v>
      </c>
      <c r="E124" s="59">
        <f t="shared" si="169"/>
        <v>595327.6</v>
      </c>
      <c r="F124" s="59">
        <f t="shared" si="169"/>
        <v>595327.6</v>
      </c>
      <c r="G124" s="42">
        <f t="shared" ref="G124:G125" si="249">F124/E124*100</f>
        <v>100</v>
      </c>
      <c r="H124" s="59">
        <f t="shared" si="238"/>
        <v>13025</v>
      </c>
      <c r="I124" s="59">
        <f t="shared" si="238"/>
        <v>13025</v>
      </c>
      <c r="J124" s="42">
        <f t="shared" ref="J124:J125" si="250">I124/H124*100</f>
        <v>100</v>
      </c>
      <c r="K124" s="59">
        <f t="shared" si="238"/>
        <v>42465.7</v>
      </c>
      <c r="L124" s="59">
        <f t="shared" si="238"/>
        <v>42465.7</v>
      </c>
      <c r="M124" s="42">
        <f t="shared" si="191"/>
        <v>100</v>
      </c>
      <c r="N124" s="59">
        <f t="shared" si="238"/>
        <v>45629.7</v>
      </c>
      <c r="O124" s="59">
        <f t="shared" si="238"/>
        <v>44557.599999999999</v>
      </c>
      <c r="P124" s="42">
        <f t="shared" si="227"/>
        <v>97.650433818324473</v>
      </c>
      <c r="Q124" s="59">
        <f t="shared" si="238"/>
        <v>55595.299999999996</v>
      </c>
      <c r="R124" s="59">
        <f t="shared" ref="R124" si="251">R74+R79+R84+R89+R94+R99+R104+R109+R114+R119</f>
        <v>56394.2</v>
      </c>
      <c r="S124" s="42">
        <f t="shared" ref="S124:S125" si="252">R124/Q124*100</f>
        <v>101.4369919759404</v>
      </c>
      <c r="T124" s="59">
        <f t="shared" si="238"/>
        <v>77658.2</v>
      </c>
      <c r="U124" s="59">
        <f t="shared" ref="U124" si="253">U74+U79+U84+U89+U94+U99+U104+U109+U114+U119</f>
        <v>77499.899999999994</v>
      </c>
      <c r="V124" s="42">
        <f t="shared" ref="V124:V125" si="254">U124/T124*100</f>
        <v>99.796158036112089</v>
      </c>
      <c r="W124" s="59">
        <f t="shared" si="238"/>
        <v>111087.3</v>
      </c>
      <c r="X124" s="59">
        <f t="shared" ref="X124" si="255">X74+X79+X84+X89+X94+X99+X104+X109+X114+X119</f>
        <v>111516.40000000001</v>
      </c>
      <c r="Y124" s="42">
        <f t="shared" ref="Y124:Y125" si="256">X124/W124*100</f>
        <v>100.38627277825638</v>
      </c>
      <c r="Z124" s="59">
        <f t="shared" si="238"/>
        <v>37319</v>
      </c>
      <c r="AA124" s="59">
        <f t="shared" ref="AA124" si="257">AA74+AA79+AA84+AA89+AA94+AA99+AA104+AA109+AA114+AA119</f>
        <v>37260.400000000001</v>
      </c>
      <c r="AB124" s="42">
        <f t="shared" ref="AB124:AB125" si="258">AA124/Z124*100</f>
        <v>99.84297542806614</v>
      </c>
      <c r="AC124" s="59">
        <f t="shared" si="238"/>
        <v>20502.900000000001</v>
      </c>
      <c r="AD124" s="59">
        <f t="shared" ref="AD124" si="259">AD74+AD79+AD84+AD89+AD94+AD99+AD104+AD109+AD114+AD119</f>
        <v>16042.7</v>
      </c>
      <c r="AE124" s="42">
        <f t="shared" ref="AE124:AE125" si="260">AD124/AC124*100</f>
        <v>78.246004223792738</v>
      </c>
      <c r="AF124" s="59">
        <f t="shared" si="238"/>
        <v>30106.1</v>
      </c>
      <c r="AG124" s="59">
        <f t="shared" ref="AG124" si="261">AG74+AG79+AG84+AG89+AG94+AG99+AG104+AG109+AG114+AG119</f>
        <v>34452.800000000003</v>
      </c>
      <c r="AH124" s="42">
        <f t="shared" ref="AH124:AH125" si="262">AG124/AF124*100</f>
        <v>114.43793782655345</v>
      </c>
      <c r="AI124" s="59">
        <f t="shared" si="238"/>
        <v>43633</v>
      </c>
      <c r="AJ124" s="59">
        <f t="shared" ref="AJ124" si="263">AJ74+AJ79+AJ84+AJ89+AJ94+AJ99+AJ104+AJ109+AJ114+AJ119</f>
        <v>42964.9</v>
      </c>
      <c r="AK124" s="42">
        <f t="shared" ref="AK124:AK125" si="264">AJ124/AI124*100</f>
        <v>98.468819471500936</v>
      </c>
      <c r="AL124" s="59">
        <f t="shared" si="238"/>
        <v>46888.6</v>
      </c>
      <c r="AM124" s="59">
        <f t="shared" ref="AM124" si="265">AM74+AM79+AM84+AM89+AM94+AM99+AM104+AM109+AM114+AM119</f>
        <v>46863.6</v>
      </c>
      <c r="AN124" s="42">
        <f t="shared" ref="AN124:AN125" si="266">AM124/AL124*100</f>
        <v>99.946682135956294</v>
      </c>
      <c r="AO124" s="59">
        <f t="shared" si="238"/>
        <v>71416.800000000003</v>
      </c>
      <c r="AP124" s="59">
        <f t="shared" ref="AP124" si="267">AP74+AP79+AP84+AP89+AP94+AP99+AP104+AP109+AP114+AP119</f>
        <v>72284.400000000009</v>
      </c>
      <c r="AQ124" s="42">
        <f t="shared" ref="AQ124:AQ125" si="268">AP124/AO124*100</f>
        <v>101.21484020566591</v>
      </c>
      <c r="AR124" s="52"/>
      <c r="AS124" s="52"/>
      <c r="AT124" s="43">
        <f t="shared" si="168"/>
        <v>0.99834399290871667</v>
      </c>
      <c r="AU124" s="108">
        <f t="shared" si="146"/>
        <v>101120.4</v>
      </c>
      <c r="AV124" s="108">
        <f t="shared" si="147"/>
        <v>244340.8</v>
      </c>
      <c r="AW124" s="108">
        <f t="shared" si="148"/>
        <v>87928</v>
      </c>
      <c r="AX124" s="109">
        <f t="shared" si="149"/>
        <v>161938.40000000002</v>
      </c>
      <c r="AY124" s="61">
        <f t="shared" si="248"/>
        <v>597490.79999999993</v>
      </c>
      <c r="AZ124" s="55">
        <f t="shared" si="150"/>
        <v>2163.1999999998952</v>
      </c>
    </row>
    <row r="125" spans="1:52" ht="13.5" customHeight="1">
      <c r="A125" s="153"/>
      <c r="B125" s="153"/>
      <c r="C125" s="153"/>
      <c r="D125" s="58" t="s">
        <v>70</v>
      </c>
      <c r="E125" s="59">
        <f t="shared" si="169"/>
        <v>120316.90000000001</v>
      </c>
      <c r="F125" s="59">
        <f t="shared" si="169"/>
        <v>119914.29999999999</v>
      </c>
      <c r="G125" s="42">
        <f t="shared" si="249"/>
        <v>99.665383665968761</v>
      </c>
      <c r="H125" s="59">
        <f t="shared" si="238"/>
        <v>2495.6</v>
      </c>
      <c r="I125" s="59">
        <f t="shared" si="238"/>
        <v>2495.6</v>
      </c>
      <c r="J125" s="42">
        <f t="shared" si="250"/>
        <v>100</v>
      </c>
      <c r="K125" s="59">
        <f t="shared" si="238"/>
        <v>11802.5</v>
      </c>
      <c r="L125" s="59">
        <f t="shared" si="238"/>
        <v>11291.5</v>
      </c>
      <c r="M125" s="42">
        <f t="shared" si="191"/>
        <v>95.67040881169244</v>
      </c>
      <c r="N125" s="59">
        <f t="shared" si="238"/>
        <v>11805.400000000001</v>
      </c>
      <c r="O125" s="59">
        <f t="shared" si="238"/>
        <v>11702.6</v>
      </c>
      <c r="P125" s="42">
        <f t="shared" si="227"/>
        <v>99.12921205550002</v>
      </c>
      <c r="Q125" s="59">
        <f t="shared" si="238"/>
        <v>13345.5</v>
      </c>
      <c r="R125" s="59">
        <f t="shared" ref="R125" si="269">R75+R80+R85+R90+R95+R100+R105+R110+R115+R120</f>
        <v>12930.8</v>
      </c>
      <c r="S125" s="42">
        <f t="shared" si="252"/>
        <v>96.892585515716902</v>
      </c>
      <c r="T125" s="59">
        <f t="shared" si="238"/>
        <v>11097.6</v>
      </c>
      <c r="U125" s="59">
        <f t="shared" ref="U125" si="270">U75+U80+U85+U90+U95+U100+U105+U110+U115+U120</f>
        <v>10309.5</v>
      </c>
      <c r="V125" s="42">
        <f t="shared" si="254"/>
        <v>92.898464532871969</v>
      </c>
      <c r="W125" s="59">
        <f t="shared" si="238"/>
        <v>8870.7000000000007</v>
      </c>
      <c r="X125" s="59">
        <f t="shared" ref="X125" si="271">X75+X80+X85+X90+X95+X100+X105+X110+X115+X120</f>
        <v>8294.2000000000007</v>
      </c>
      <c r="Y125" s="42">
        <f t="shared" si="256"/>
        <v>93.501076577947629</v>
      </c>
      <c r="Z125" s="59">
        <f t="shared" si="238"/>
        <v>7711.3</v>
      </c>
      <c r="AA125" s="59">
        <f t="shared" ref="AA125" si="272">AA75+AA80+AA85+AA90+AA95+AA100+AA105+AA110+AA115+AA120</f>
        <v>10430.800000000001</v>
      </c>
      <c r="AB125" s="42">
        <f t="shared" si="258"/>
        <v>135.26642719126477</v>
      </c>
      <c r="AC125" s="59">
        <f t="shared" si="238"/>
        <v>5220.2999999999993</v>
      </c>
      <c r="AD125" s="59">
        <f t="shared" ref="AD125" si="273">AD75+AD80+AD85+AD90+AD95+AD100+AD105+AD110+AD115+AD120</f>
        <v>4857.9000000000005</v>
      </c>
      <c r="AE125" s="42">
        <f t="shared" si="260"/>
        <v>93.057870237342712</v>
      </c>
      <c r="AF125" s="59">
        <f t="shared" si="238"/>
        <v>12097.099999999999</v>
      </c>
      <c r="AG125" s="59">
        <f t="shared" ref="AG125" si="274">AG75+AG80+AG85+AG90+AG95+AG100+AG105+AG110+AG115+AG120</f>
        <v>6976.4000000000005</v>
      </c>
      <c r="AH125" s="42">
        <f t="shared" si="262"/>
        <v>57.670020087458987</v>
      </c>
      <c r="AI125" s="59">
        <f t="shared" si="238"/>
        <v>12478.6</v>
      </c>
      <c r="AJ125" s="59">
        <f t="shared" ref="AJ125" si="275">AJ75+AJ80+AJ85+AJ90+AJ95+AJ100+AJ105+AJ110+AJ115+AJ120</f>
        <v>12728.5</v>
      </c>
      <c r="AK125" s="42">
        <f t="shared" si="264"/>
        <v>102.00262849999197</v>
      </c>
      <c r="AL125" s="59">
        <f t="shared" si="238"/>
        <v>10867.699999999999</v>
      </c>
      <c r="AM125" s="59">
        <f t="shared" ref="AM125" si="276">AM75+AM80+AM85+AM90+AM95+AM100+AM105+AM110+AM115+AM120</f>
        <v>12040.3</v>
      </c>
      <c r="AN125" s="42">
        <f t="shared" si="266"/>
        <v>110.78977152479365</v>
      </c>
      <c r="AO125" s="59">
        <f t="shared" si="238"/>
        <v>12524.6</v>
      </c>
      <c r="AP125" s="59">
        <f t="shared" ref="AP125" si="277">AP75+AP80+AP85+AP90+AP95+AP100+AP105+AP110+AP115+AP120</f>
        <v>15856.2</v>
      </c>
      <c r="AQ125" s="42">
        <f t="shared" si="268"/>
        <v>126.60045031378249</v>
      </c>
      <c r="AR125" s="52"/>
      <c r="AS125" s="52"/>
      <c r="AT125" s="43">
        <f t="shared" si="168"/>
        <v>0.96535745132073425</v>
      </c>
      <c r="AU125" s="108">
        <f t="shared" si="146"/>
        <v>26103.5</v>
      </c>
      <c r="AV125" s="109">
        <f t="shared" si="147"/>
        <v>33313.800000000003</v>
      </c>
      <c r="AW125" s="108">
        <f t="shared" si="148"/>
        <v>25028.699999999997</v>
      </c>
      <c r="AX125" s="108">
        <f t="shared" si="149"/>
        <v>35870.9</v>
      </c>
      <c r="AY125" s="61">
        <f t="shared" si="248"/>
        <v>116571.1</v>
      </c>
      <c r="AZ125" s="55">
        <f t="shared" si="150"/>
        <v>-3745.7999999999956</v>
      </c>
    </row>
    <row r="126" spans="1:52" ht="13.5" customHeight="1" thickBot="1">
      <c r="A126" s="153"/>
      <c r="B126" s="153"/>
      <c r="C126" s="153"/>
      <c r="D126" s="58" t="s">
        <v>24</v>
      </c>
      <c r="E126" s="59">
        <f t="shared" si="169"/>
        <v>0</v>
      </c>
      <c r="F126" s="59">
        <f t="shared" si="169"/>
        <v>0</v>
      </c>
      <c r="G126" s="59"/>
      <c r="H126" s="59">
        <f t="shared" si="238"/>
        <v>0</v>
      </c>
      <c r="I126" s="59"/>
      <c r="J126" s="59"/>
      <c r="K126" s="59">
        <f t="shared" si="238"/>
        <v>0</v>
      </c>
      <c r="L126" s="59">
        <f t="shared" si="238"/>
        <v>0</v>
      </c>
      <c r="M126" s="42"/>
      <c r="N126" s="59">
        <f t="shared" si="238"/>
        <v>0</v>
      </c>
      <c r="O126" s="59">
        <f t="shared" si="238"/>
        <v>0</v>
      </c>
      <c r="P126" s="59"/>
      <c r="Q126" s="59">
        <f t="shared" si="238"/>
        <v>0</v>
      </c>
      <c r="R126" s="59">
        <f t="shared" ref="R126" si="278">R76+R81+R86+R91+R96+R101+R106+R111+R116+R121</f>
        <v>0</v>
      </c>
      <c r="S126" s="59"/>
      <c r="T126" s="59">
        <f t="shared" si="238"/>
        <v>0</v>
      </c>
      <c r="U126" s="59">
        <f t="shared" ref="U126" si="279">U76+U81+U86+U91+U96+U101+U106+U111+U116+U121</f>
        <v>0</v>
      </c>
      <c r="V126" s="59"/>
      <c r="W126" s="59">
        <f t="shared" si="238"/>
        <v>0</v>
      </c>
      <c r="X126" s="59">
        <f t="shared" ref="X126" si="280">X76+X81+X86+X91+X96+X101+X106+X111+X116+X121</f>
        <v>0</v>
      </c>
      <c r="Y126" s="59"/>
      <c r="Z126" s="59">
        <f t="shared" si="238"/>
        <v>0</v>
      </c>
      <c r="AA126" s="59">
        <f t="shared" ref="AA126" si="281">AA76+AA81+AA86+AA91+AA96+AA101+AA106+AA111+AA116+AA121</f>
        <v>0</v>
      </c>
      <c r="AB126" s="59"/>
      <c r="AC126" s="59">
        <f t="shared" si="238"/>
        <v>0</v>
      </c>
      <c r="AD126" s="59">
        <f t="shared" ref="AD126" si="282">AD76+AD81+AD86+AD91+AD96+AD101+AD106+AD111+AD116+AD121</f>
        <v>0</v>
      </c>
      <c r="AE126" s="59"/>
      <c r="AF126" s="59">
        <f t="shared" si="238"/>
        <v>0</v>
      </c>
      <c r="AG126" s="59"/>
      <c r="AH126" s="59"/>
      <c r="AI126" s="59">
        <f t="shared" si="238"/>
        <v>0</v>
      </c>
      <c r="AJ126" s="59"/>
      <c r="AK126" s="59"/>
      <c r="AL126" s="59">
        <f t="shared" si="238"/>
        <v>0</v>
      </c>
      <c r="AM126" s="59">
        <f t="shared" ref="AM126" si="283">AM76+AM81+AM86+AM91+AM96+AM101+AM106+AM111+AM116+AM121</f>
        <v>0</v>
      </c>
      <c r="AN126" s="59"/>
      <c r="AO126" s="59">
        <f t="shared" si="238"/>
        <v>0</v>
      </c>
      <c r="AP126" s="40"/>
      <c r="AQ126" s="59"/>
      <c r="AR126" s="52"/>
      <c r="AS126" s="52"/>
      <c r="AT126" s="43"/>
      <c r="AU126" s="108">
        <f t="shared" si="146"/>
        <v>0</v>
      </c>
      <c r="AV126" s="108">
        <f t="shared" si="147"/>
        <v>0</v>
      </c>
      <c r="AW126" s="108">
        <f t="shared" si="148"/>
        <v>0</v>
      </c>
      <c r="AX126" s="108">
        <f t="shared" si="149"/>
        <v>0</v>
      </c>
      <c r="AY126" s="62">
        <f t="shared" si="248"/>
        <v>0</v>
      </c>
      <c r="AZ126" s="55">
        <f t="shared" si="150"/>
        <v>0</v>
      </c>
    </row>
    <row r="127" spans="1:52" ht="15.75" customHeight="1">
      <c r="A127" s="66" t="s">
        <v>92</v>
      </c>
      <c r="B127" s="53" t="s">
        <v>13</v>
      </c>
      <c r="C127" s="53"/>
      <c r="D127" s="53"/>
      <c r="E127" s="112"/>
      <c r="F127" s="112"/>
      <c r="G127" s="112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2"/>
      <c r="AS127" s="52"/>
      <c r="AT127" s="43"/>
      <c r="AU127" s="55">
        <f t="shared" si="146"/>
        <v>0</v>
      </c>
      <c r="AV127" s="55">
        <f t="shared" si="147"/>
        <v>0</v>
      </c>
      <c r="AW127" s="55">
        <f t="shared" si="148"/>
        <v>0</v>
      </c>
      <c r="AX127" s="55">
        <f t="shared" si="149"/>
        <v>0</v>
      </c>
      <c r="AZ127" s="55">
        <f t="shared" si="150"/>
        <v>0</v>
      </c>
    </row>
    <row r="128" spans="1:52" ht="13.5" customHeight="1">
      <c r="A128" s="152" t="s">
        <v>93</v>
      </c>
      <c r="B128" s="152" t="s">
        <v>129</v>
      </c>
      <c r="C128" s="152" t="s">
        <v>6</v>
      </c>
      <c r="D128" s="54" t="s">
        <v>3</v>
      </c>
      <c r="E128" s="40">
        <f t="shared" ref="E128:F143" si="284">H128+K128+N128+Q128+T128+W128+Z128+AC128+AF128+AI128+AL128+AO128</f>
        <v>10.1</v>
      </c>
      <c r="F128" s="40">
        <f t="shared" si="284"/>
        <v>10.1</v>
      </c>
      <c r="G128" s="41">
        <f>F128/E128*100</f>
        <v>100</v>
      </c>
      <c r="H128" s="40">
        <f>H129+H130+H131+H132</f>
        <v>0</v>
      </c>
      <c r="I128" s="40"/>
      <c r="J128" s="38"/>
      <c r="K128" s="40">
        <f t="shared" ref="K128:AP128" si="285">K129+K130+K131+K132</f>
        <v>0</v>
      </c>
      <c r="L128" s="40">
        <f t="shared" si="285"/>
        <v>0</v>
      </c>
      <c r="M128" s="41"/>
      <c r="N128" s="40">
        <f t="shared" si="285"/>
        <v>0</v>
      </c>
      <c r="O128" s="40"/>
      <c r="P128" s="38"/>
      <c r="Q128" s="40">
        <f t="shared" si="285"/>
        <v>0</v>
      </c>
      <c r="R128" s="40"/>
      <c r="S128" s="38"/>
      <c r="T128" s="40">
        <f t="shared" si="285"/>
        <v>0</v>
      </c>
      <c r="U128" s="40"/>
      <c r="V128" s="38"/>
      <c r="W128" s="40">
        <f t="shared" si="285"/>
        <v>0</v>
      </c>
      <c r="X128" s="40"/>
      <c r="Y128" s="38"/>
      <c r="Z128" s="40">
        <f t="shared" si="285"/>
        <v>0</v>
      </c>
      <c r="AA128" s="40"/>
      <c r="AB128" s="38"/>
      <c r="AC128" s="40">
        <f t="shared" si="285"/>
        <v>0</v>
      </c>
      <c r="AD128" s="40"/>
      <c r="AE128" s="38"/>
      <c r="AF128" s="40">
        <f t="shared" si="285"/>
        <v>0</v>
      </c>
      <c r="AG128" s="40">
        <f t="shared" si="285"/>
        <v>0</v>
      </c>
      <c r="AH128" s="38"/>
      <c r="AI128" s="40">
        <f t="shared" si="285"/>
        <v>15.2</v>
      </c>
      <c r="AJ128" s="40">
        <f t="shared" si="285"/>
        <v>10.1</v>
      </c>
      <c r="AK128" s="41">
        <f>AJ128/AI128*100</f>
        <v>66.44736842105263</v>
      </c>
      <c r="AL128" s="40">
        <f t="shared" si="285"/>
        <v>0</v>
      </c>
      <c r="AM128" s="40"/>
      <c r="AN128" s="41"/>
      <c r="AO128" s="40">
        <f t="shared" si="285"/>
        <v>-5.0999999999999996</v>
      </c>
      <c r="AP128" s="40">
        <f t="shared" si="285"/>
        <v>0</v>
      </c>
      <c r="AQ128" s="41">
        <f>AP128/AO128*100</f>
        <v>0</v>
      </c>
      <c r="AR128" s="52"/>
      <c r="AS128" s="52"/>
      <c r="AT128" s="43">
        <f t="shared" si="168"/>
        <v>0.66447368421052633</v>
      </c>
      <c r="AU128" s="55">
        <f t="shared" si="146"/>
        <v>0</v>
      </c>
      <c r="AV128" s="55">
        <f t="shared" si="147"/>
        <v>0</v>
      </c>
      <c r="AW128" s="55">
        <f t="shared" si="148"/>
        <v>0</v>
      </c>
      <c r="AX128" s="55">
        <f t="shared" si="149"/>
        <v>10.1</v>
      </c>
      <c r="AY128" s="56">
        <f>AY131</f>
        <v>150</v>
      </c>
      <c r="AZ128" s="55">
        <f t="shared" si="150"/>
        <v>139.9</v>
      </c>
    </row>
    <row r="129" spans="1:52" ht="15.75">
      <c r="A129" s="152"/>
      <c r="B129" s="152"/>
      <c r="C129" s="152"/>
      <c r="D129" s="54" t="s">
        <v>23</v>
      </c>
      <c r="E129" s="40">
        <f t="shared" si="284"/>
        <v>0</v>
      </c>
      <c r="F129" s="40">
        <f t="shared" si="284"/>
        <v>0</v>
      </c>
      <c r="G129" s="41"/>
      <c r="H129" s="40"/>
      <c r="I129" s="40"/>
      <c r="J129" s="38"/>
      <c r="K129" s="40"/>
      <c r="L129" s="40"/>
      <c r="M129" s="41"/>
      <c r="N129" s="40"/>
      <c r="O129" s="40"/>
      <c r="P129" s="38"/>
      <c r="Q129" s="40"/>
      <c r="R129" s="40"/>
      <c r="S129" s="38"/>
      <c r="T129" s="40"/>
      <c r="U129" s="40"/>
      <c r="V129" s="38"/>
      <c r="W129" s="40"/>
      <c r="X129" s="40"/>
      <c r="Y129" s="38"/>
      <c r="Z129" s="40"/>
      <c r="AA129" s="40"/>
      <c r="AB129" s="38"/>
      <c r="AC129" s="40"/>
      <c r="AD129" s="40"/>
      <c r="AE129" s="38"/>
      <c r="AF129" s="40"/>
      <c r="AG129" s="40"/>
      <c r="AH129" s="38"/>
      <c r="AI129" s="40"/>
      <c r="AJ129" s="40"/>
      <c r="AK129" s="41"/>
      <c r="AL129" s="40"/>
      <c r="AM129" s="40"/>
      <c r="AN129" s="41"/>
      <c r="AO129" s="40"/>
      <c r="AP129" s="40"/>
      <c r="AQ129" s="41"/>
      <c r="AR129" s="52"/>
      <c r="AS129" s="52"/>
      <c r="AT129" s="43"/>
      <c r="AU129" s="55">
        <f t="shared" si="146"/>
        <v>0</v>
      </c>
      <c r="AV129" s="55">
        <f t="shared" si="147"/>
        <v>0</v>
      </c>
      <c r="AW129" s="55">
        <f t="shared" si="148"/>
        <v>0</v>
      </c>
      <c r="AX129" s="55">
        <f t="shared" si="149"/>
        <v>0</v>
      </c>
      <c r="AZ129" s="55">
        <f t="shared" si="150"/>
        <v>0</v>
      </c>
    </row>
    <row r="130" spans="1:52" ht="26.25" customHeight="1">
      <c r="A130" s="152"/>
      <c r="B130" s="152"/>
      <c r="C130" s="152"/>
      <c r="D130" s="54" t="s">
        <v>4</v>
      </c>
      <c r="E130" s="40">
        <f t="shared" si="284"/>
        <v>0</v>
      </c>
      <c r="F130" s="40">
        <f t="shared" si="284"/>
        <v>0</v>
      </c>
      <c r="G130" s="41"/>
      <c r="H130" s="41"/>
      <c r="I130" s="41"/>
      <c r="J130" s="38"/>
      <c r="K130" s="41"/>
      <c r="L130" s="41"/>
      <c r="M130" s="41"/>
      <c r="N130" s="41"/>
      <c r="O130" s="41"/>
      <c r="P130" s="38"/>
      <c r="Q130" s="41"/>
      <c r="R130" s="41"/>
      <c r="S130" s="38"/>
      <c r="T130" s="41"/>
      <c r="U130" s="41"/>
      <c r="V130" s="38"/>
      <c r="W130" s="41"/>
      <c r="X130" s="41"/>
      <c r="Y130" s="38"/>
      <c r="Z130" s="41"/>
      <c r="AA130" s="41"/>
      <c r="AB130" s="38"/>
      <c r="AC130" s="41"/>
      <c r="AD130" s="41"/>
      <c r="AE130" s="38"/>
      <c r="AF130" s="41"/>
      <c r="AG130" s="41"/>
      <c r="AH130" s="38"/>
      <c r="AI130" s="41"/>
      <c r="AJ130" s="41"/>
      <c r="AK130" s="41"/>
      <c r="AL130" s="41"/>
      <c r="AM130" s="41"/>
      <c r="AN130" s="41"/>
      <c r="AO130" s="41"/>
      <c r="AP130" s="41"/>
      <c r="AQ130" s="41"/>
      <c r="AR130" s="52"/>
      <c r="AS130" s="52"/>
      <c r="AT130" s="43"/>
      <c r="AU130" s="55">
        <f t="shared" si="146"/>
        <v>0</v>
      </c>
      <c r="AV130" s="55">
        <f t="shared" si="147"/>
        <v>0</v>
      </c>
      <c r="AW130" s="55">
        <f t="shared" si="148"/>
        <v>0</v>
      </c>
      <c r="AX130" s="55">
        <f t="shared" si="149"/>
        <v>0</v>
      </c>
      <c r="AZ130" s="55">
        <f t="shared" si="150"/>
        <v>0</v>
      </c>
    </row>
    <row r="131" spans="1:52" ht="48.75">
      <c r="A131" s="152"/>
      <c r="B131" s="152"/>
      <c r="C131" s="152"/>
      <c r="D131" s="54" t="s">
        <v>70</v>
      </c>
      <c r="E131" s="40">
        <f t="shared" si="284"/>
        <v>10.1</v>
      </c>
      <c r="F131" s="40">
        <f t="shared" si="284"/>
        <v>10.1</v>
      </c>
      <c r="G131" s="41">
        <f t="shared" ref="G131" si="286">F131/E131*100</f>
        <v>100</v>
      </c>
      <c r="H131" s="41"/>
      <c r="I131" s="41"/>
      <c r="J131" s="38"/>
      <c r="K131" s="41">
        <f>30-30</f>
        <v>0</v>
      </c>
      <c r="L131" s="41"/>
      <c r="M131" s="41"/>
      <c r="N131" s="41"/>
      <c r="O131" s="41"/>
      <c r="P131" s="38"/>
      <c r="Q131" s="41"/>
      <c r="R131" s="41"/>
      <c r="S131" s="38"/>
      <c r="T131" s="41"/>
      <c r="U131" s="41"/>
      <c r="V131" s="38"/>
      <c r="W131" s="41"/>
      <c r="X131" s="41"/>
      <c r="Y131" s="38"/>
      <c r="Z131" s="41"/>
      <c r="AA131" s="41"/>
      <c r="AB131" s="38"/>
      <c r="AC131" s="41"/>
      <c r="AD131" s="41"/>
      <c r="AE131" s="38"/>
      <c r="AF131" s="41"/>
      <c r="AG131" s="41"/>
      <c r="AH131" s="38"/>
      <c r="AI131" s="41">
        <v>15.2</v>
      </c>
      <c r="AJ131" s="41">
        <v>10.1</v>
      </c>
      <c r="AK131" s="41">
        <f t="shared" ref="AK131" si="287">AJ131/AI131*100</f>
        <v>66.44736842105263</v>
      </c>
      <c r="AL131" s="41"/>
      <c r="AM131" s="41"/>
      <c r="AN131" s="41"/>
      <c r="AO131" s="41">
        <v>-5.0999999999999996</v>
      </c>
      <c r="AP131" s="41"/>
      <c r="AQ131" s="41">
        <f t="shared" ref="AQ131" si="288">AP131/AO131*100</f>
        <v>0</v>
      </c>
      <c r="AR131" s="64" t="s">
        <v>178</v>
      </c>
      <c r="AS131" s="52"/>
      <c r="AT131" s="43">
        <f t="shared" si="168"/>
        <v>0.66447368421052633</v>
      </c>
      <c r="AU131" s="55">
        <f t="shared" si="146"/>
        <v>0</v>
      </c>
      <c r="AV131" s="55">
        <f t="shared" si="147"/>
        <v>0</v>
      </c>
      <c r="AW131" s="55">
        <f t="shared" si="148"/>
        <v>0</v>
      </c>
      <c r="AX131" s="55">
        <f t="shared" si="149"/>
        <v>10.1</v>
      </c>
      <c r="AY131" s="56">
        <v>150</v>
      </c>
      <c r="AZ131" s="55">
        <f t="shared" si="150"/>
        <v>139.9</v>
      </c>
    </row>
    <row r="132" spans="1:52" ht="15.75">
      <c r="A132" s="152"/>
      <c r="B132" s="152"/>
      <c r="C132" s="152"/>
      <c r="D132" s="54" t="s">
        <v>24</v>
      </c>
      <c r="E132" s="40">
        <f t="shared" si="284"/>
        <v>0</v>
      </c>
      <c r="F132" s="40">
        <f t="shared" si="284"/>
        <v>0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52"/>
      <c r="AS132" s="52"/>
      <c r="AT132" s="43"/>
      <c r="AU132" s="55">
        <f t="shared" si="146"/>
        <v>0</v>
      </c>
      <c r="AV132" s="55">
        <f t="shared" si="147"/>
        <v>0</v>
      </c>
      <c r="AW132" s="55">
        <f t="shared" si="148"/>
        <v>0</v>
      </c>
      <c r="AX132" s="55">
        <f t="shared" si="149"/>
        <v>0</v>
      </c>
      <c r="AZ132" s="55">
        <f t="shared" si="150"/>
        <v>0</v>
      </c>
    </row>
    <row r="133" spans="1:52" ht="12.75" customHeight="1">
      <c r="A133" s="152" t="s">
        <v>94</v>
      </c>
      <c r="B133" s="152" t="s">
        <v>130</v>
      </c>
      <c r="C133" s="152" t="s">
        <v>6</v>
      </c>
      <c r="D133" s="54" t="s">
        <v>3</v>
      </c>
      <c r="E133" s="40">
        <f t="shared" si="284"/>
        <v>129</v>
      </c>
      <c r="F133" s="40">
        <f t="shared" si="284"/>
        <v>129</v>
      </c>
      <c r="G133" s="41">
        <f>F133/E133*100</f>
        <v>100</v>
      </c>
      <c r="H133" s="40">
        <f>H134+H135+H136+H137</f>
        <v>0</v>
      </c>
      <c r="I133" s="40"/>
      <c r="J133" s="38"/>
      <c r="K133" s="40">
        <f t="shared" ref="K133:AP133" si="289">K134+K135+K136+K137</f>
        <v>0</v>
      </c>
      <c r="L133" s="40"/>
      <c r="M133" s="38"/>
      <c r="N133" s="40">
        <f t="shared" si="289"/>
        <v>0</v>
      </c>
      <c r="O133" s="40"/>
      <c r="P133" s="38"/>
      <c r="Q133" s="40">
        <f t="shared" si="289"/>
        <v>0</v>
      </c>
      <c r="R133" s="40"/>
      <c r="S133" s="38"/>
      <c r="T133" s="40">
        <f t="shared" si="289"/>
        <v>0</v>
      </c>
      <c r="U133" s="40"/>
      <c r="V133" s="38"/>
      <c r="W133" s="40">
        <f t="shared" si="289"/>
        <v>0</v>
      </c>
      <c r="X133" s="40"/>
      <c r="Y133" s="38"/>
      <c r="Z133" s="40">
        <f t="shared" si="289"/>
        <v>0</v>
      </c>
      <c r="AA133" s="40"/>
      <c r="AB133" s="38"/>
      <c r="AC133" s="40">
        <f t="shared" si="289"/>
        <v>0</v>
      </c>
      <c r="AD133" s="40"/>
      <c r="AE133" s="38"/>
      <c r="AF133" s="40">
        <f t="shared" si="289"/>
        <v>129</v>
      </c>
      <c r="AG133" s="40">
        <f t="shared" si="289"/>
        <v>129</v>
      </c>
      <c r="AH133" s="41">
        <f>AG133/AF133*100</f>
        <v>100</v>
      </c>
      <c r="AI133" s="40">
        <f t="shared" si="289"/>
        <v>0</v>
      </c>
      <c r="AJ133" s="40">
        <f t="shared" si="289"/>
        <v>0</v>
      </c>
      <c r="AK133" s="41"/>
      <c r="AL133" s="40">
        <f t="shared" si="289"/>
        <v>0</v>
      </c>
      <c r="AM133" s="40"/>
      <c r="AN133" s="41"/>
      <c r="AO133" s="40">
        <f t="shared" si="289"/>
        <v>0</v>
      </c>
      <c r="AP133" s="40">
        <f t="shared" si="289"/>
        <v>0</v>
      </c>
      <c r="AQ133" s="38"/>
      <c r="AR133" s="52"/>
      <c r="AS133" s="52"/>
      <c r="AT133" s="43">
        <f t="shared" si="168"/>
        <v>1</v>
      </c>
      <c r="AU133" s="55">
        <f t="shared" si="146"/>
        <v>0</v>
      </c>
      <c r="AV133" s="55">
        <f t="shared" si="147"/>
        <v>0</v>
      </c>
      <c r="AW133" s="55">
        <f t="shared" si="148"/>
        <v>129</v>
      </c>
      <c r="AX133" s="55">
        <f t="shared" si="149"/>
        <v>0</v>
      </c>
      <c r="AY133" s="56">
        <f>AY136</f>
        <v>7.97</v>
      </c>
      <c r="AZ133" s="55">
        <f t="shared" si="150"/>
        <v>-121.03</v>
      </c>
    </row>
    <row r="134" spans="1:52" ht="13.5" customHeight="1">
      <c r="A134" s="152"/>
      <c r="B134" s="152"/>
      <c r="C134" s="152"/>
      <c r="D134" s="54" t="s">
        <v>23</v>
      </c>
      <c r="E134" s="40">
        <f t="shared" si="284"/>
        <v>0</v>
      </c>
      <c r="F134" s="40">
        <f t="shared" si="284"/>
        <v>0</v>
      </c>
      <c r="G134" s="41"/>
      <c r="H134" s="40"/>
      <c r="I134" s="40"/>
      <c r="J134" s="38"/>
      <c r="K134" s="40"/>
      <c r="L134" s="40"/>
      <c r="M134" s="38"/>
      <c r="N134" s="40"/>
      <c r="O134" s="40"/>
      <c r="P134" s="38"/>
      <c r="Q134" s="40"/>
      <c r="R134" s="40"/>
      <c r="S134" s="38"/>
      <c r="T134" s="40"/>
      <c r="U134" s="40"/>
      <c r="V134" s="38"/>
      <c r="W134" s="40"/>
      <c r="X134" s="40"/>
      <c r="Y134" s="38"/>
      <c r="Z134" s="40"/>
      <c r="AA134" s="40"/>
      <c r="AB134" s="38"/>
      <c r="AC134" s="40"/>
      <c r="AD134" s="40"/>
      <c r="AE134" s="38"/>
      <c r="AF134" s="40"/>
      <c r="AG134" s="40"/>
      <c r="AH134" s="41"/>
      <c r="AI134" s="40"/>
      <c r="AJ134" s="40"/>
      <c r="AK134" s="41"/>
      <c r="AL134" s="40"/>
      <c r="AM134" s="40"/>
      <c r="AN134" s="41"/>
      <c r="AO134" s="40"/>
      <c r="AP134" s="40"/>
      <c r="AQ134" s="38"/>
      <c r="AR134" s="52"/>
      <c r="AS134" s="52"/>
      <c r="AT134" s="43"/>
      <c r="AU134" s="55">
        <f t="shared" si="146"/>
        <v>0</v>
      </c>
      <c r="AV134" s="55">
        <f t="shared" si="147"/>
        <v>0</v>
      </c>
      <c r="AW134" s="55">
        <f t="shared" si="148"/>
        <v>0</v>
      </c>
      <c r="AX134" s="55">
        <f t="shared" si="149"/>
        <v>0</v>
      </c>
      <c r="AZ134" s="55">
        <f t="shared" si="150"/>
        <v>0</v>
      </c>
    </row>
    <row r="135" spans="1:52" ht="24" customHeight="1">
      <c r="A135" s="152"/>
      <c r="B135" s="152"/>
      <c r="C135" s="152"/>
      <c r="D135" s="54" t="s">
        <v>4</v>
      </c>
      <c r="E135" s="40">
        <f t="shared" si="284"/>
        <v>0</v>
      </c>
      <c r="F135" s="40">
        <f t="shared" si="284"/>
        <v>0</v>
      </c>
      <c r="G135" s="41"/>
      <c r="H135" s="41"/>
      <c r="I135" s="41"/>
      <c r="J135" s="38"/>
      <c r="K135" s="41"/>
      <c r="L135" s="41"/>
      <c r="M135" s="38"/>
      <c r="N135" s="41"/>
      <c r="O135" s="41"/>
      <c r="P135" s="38"/>
      <c r="Q135" s="41"/>
      <c r="R135" s="41"/>
      <c r="S135" s="38"/>
      <c r="T135" s="41"/>
      <c r="U135" s="41"/>
      <c r="V135" s="38"/>
      <c r="W135" s="41"/>
      <c r="X135" s="41"/>
      <c r="Y135" s="38"/>
      <c r="Z135" s="41"/>
      <c r="AA135" s="41"/>
      <c r="AB135" s="38"/>
      <c r="AC135" s="41"/>
      <c r="AD135" s="41"/>
      <c r="AE135" s="38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38"/>
      <c r="AR135" s="52"/>
      <c r="AS135" s="52"/>
      <c r="AT135" s="43"/>
      <c r="AU135" s="55">
        <f t="shared" si="146"/>
        <v>0</v>
      </c>
      <c r="AV135" s="55">
        <f t="shared" si="147"/>
        <v>0</v>
      </c>
      <c r="AW135" s="55">
        <f t="shared" si="148"/>
        <v>0</v>
      </c>
      <c r="AX135" s="55">
        <f t="shared" si="149"/>
        <v>0</v>
      </c>
      <c r="AZ135" s="55">
        <f t="shared" si="150"/>
        <v>0</v>
      </c>
    </row>
    <row r="136" spans="1:52" ht="50.25" customHeight="1">
      <c r="A136" s="152"/>
      <c r="B136" s="152"/>
      <c r="C136" s="152"/>
      <c r="D136" s="54" t="s">
        <v>70</v>
      </c>
      <c r="E136" s="40">
        <f t="shared" si="284"/>
        <v>129</v>
      </c>
      <c r="F136" s="40">
        <f t="shared" si="284"/>
        <v>129</v>
      </c>
      <c r="G136" s="41">
        <f t="shared" ref="G136" si="290">F136/E136*100</f>
        <v>100</v>
      </c>
      <c r="H136" s="41"/>
      <c r="I136" s="41"/>
      <c r="J136" s="38"/>
      <c r="K136" s="41"/>
      <c r="L136" s="41"/>
      <c r="M136" s="38"/>
      <c r="N136" s="41"/>
      <c r="O136" s="41"/>
      <c r="P136" s="38"/>
      <c r="Q136" s="41"/>
      <c r="R136" s="41"/>
      <c r="S136" s="38"/>
      <c r="T136" s="41"/>
      <c r="U136" s="41"/>
      <c r="V136" s="38"/>
      <c r="W136" s="41"/>
      <c r="X136" s="41"/>
      <c r="Y136" s="38"/>
      <c r="Z136" s="41"/>
      <c r="AA136" s="41"/>
      <c r="AB136" s="38"/>
      <c r="AC136" s="41"/>
      <c r="AD136" s="41"/>
      <c r="AE136" s="38"/>
      <c r="AF136" s="41">
        <v>129</v>
      </c>
      <c r="AG136" s="41">
        <v>129</v>
      </c>
      <c r="AH136" s="41">
        <f t="shared" ref="AH136" si="291">AG136/AF136*100</f>
        <v>100</v>
      </c>
      <c r="AI136" s="41"/>
      <c r="AJ136" s="41"/>
      <c r="AK136" s="41"/>
      <c r="AL136" s="41"/>
      <c r="AM136" s="41"/>
      <c r="AN136" s="41"/>
      <c r="AO136" s="41"/>
      <c r="AP136" s="41"/>
      <c r="AQ136" s="38"/>
      <c r="AR136" s="64" t="s">
        <v>152</v>
      </c>
      <c r="AS136" s="52"/>
      <c r="AT136" s="43">
        <f t="shared" si="168"/>
        <v>1</v>
      </c>
      <c r="AU136" s="55">
        <f t="shared" ref="AU136:AU197" si="292">H136+K136+N136</f>
        <v>0</v>
      </c>
      <c r="AV136" s="55">
        <f t="shared" ref="AV136:AV197" si="293">Q136+T136+W136</f>
        <v>0</v>
      </c>
      <c r="AW136" s="55">
        <f t="shared" ref="AW136:AW197" si="294">Z136+AC136+AF136</f>
        <v>129</v>
      </c>
      <c r="AX136" s="55">
        <f t="shared" ref="AX136:AX197" si="295">AI136+AL136+AO136</f>
        <v>0</v>
      </c>
      <c r="AY136" s="56">
        <v>7.97</v>
      </c>
      <c r="AZ136" s="55">
        <f t="shared" ref="AZ136:AZ197" si="296">AY136-AU136-AV136-AW136-AX136</f>
        <v>-121.03</v>
      </c>
    </row>
    <row r="137" spans="1:52" ht="20.25" customHeight="1">
      <c r="A137" s="152"/>
      <c r="B137" s="152"/>
      <c r="C137" s="152"/>
      <c r="D137" s="54" t="s">
        <v>24</v>
      </c>
      <c r="E137" s="40">
        <f t="shared" si="284"/>
        <v>0</v>
      </c>
      <c r="F137" s="40">
        <f t="shared" si="284"/>
        <v>0</v>
      </c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52"/>
      <c r="AS137" s="52"/>
      <c r="AT137" s="43"/>
      <c r="AU137" s="55">
        <f t="shared" si="292"/>
        <v>0</v>
      </c>
      <c r="AV137" s="55">
        <f t="shared" si="293"/>
        <v>0</v>
      </c>
      <c r="AW137" s="55">
        <f t="shared" si="294"/>
        <v>0</v>
      </c>
      <c r="AX137" s="55">
        <f t="shared" si="295"/>
        <v>0</v>
      </c>
      <c r="AZ137" s="55">
        <f t="shared" si="296"/>
        <v>0</v>
      </c>
    </row>
    <row r="138" spans="1:52" ht="14.25" customHeight="1">
      <c r="A138" s="152" t="s">
        <v>95</v>
      </c>
      <c r="B138" s="152" t="s">
        <v>131</v>
      </c>
      <c r="C138" s="152" t="s">
        <v>6</v>
      </c>
      <c r="D138" s="54" t="s">
        <v>3</v>
      </c>
      <c r="E138" s="40">
        <f t="shared" si="284"/>
        <v>275.39999999999998</v>
      </c>
      <c r="F138" s="40">
        <f t="shared" si="284"/>
        <v>275.39999999999998</v>
      </c>
      <c r="G138" s="41">
        <f>F138/E138*100</f>
        <v>100</v>
      </c>
      <c r="H138" s="40">
        <f>H139+H140+H141+H142</f>
        <v>0</v>
      </c>
      <c r="I138" s="40"/>
      <c r="J138" s="38"/>
      <c r="K138" s="40">
        <f t="shared" ref="K138:AP138" si="297">K139+K140+K141+K142</f>
        <v>0</v>
      </c>
      <c r="L138" s="40"/>
      <c r="M138" s="38"/>
      <c r="N138" s="40">
        <f t="shared" si="297"/>
        <v>60.2</v>
      </c>
      <c r="O138" s="40">
        <f t="shared" si="297"/>
        <v>60.2</v>
      </c>
      <c r="P138" s="41">
        <f t="shared" ref="P138:P141" si="298">O138/N138*100</f>
        <v>100</v>
      </c>
      <c r="Q138" s="40">
        <f t="shared" si="297"/>
        <v>0</v>
      </c>
      <c r="R138" s="40"/>
      <c r="S138" s="38"/>
      <c r="T138" s="40">
        <f t="shared" si="297"/>
        <v>0</v>
      </c>
      <c r="U138" s="40"/>
      <c r="V138" s="38"/>
      <c r="W138" s="40">
        <f t="shared" si="297"/>
        <v>0</v>
      </c>
      <c r="X138" s="40">
        <f t="shared" si="297"/>
        <v>0</v>
      </c>
      <c r="Y138" s="38"/>
      <c r="Z138" s="40">
        <f t="shared" si="297"/>
        <v>0</v>
      </c>
      <c r="AA138" s="40"/>
      <c r="AB138" s="38"/>
      <c r="AC138" s="40">
        <f t="shared" si="297"/>
        <v>0</v>
      </c>
      <c r="AD138" s="40"/>
      <c r="AE138" s="38"/>
      <c r="AF138" s="40">
        <f t="shared" si="297"/>
        <v>12.8</v>
      </c>
      <c r="AG138" s="40">
        <f t="shared" si="297"/>
        <v>12.8</v>
      </c>
      <c r="AH138" s="41">
        <f>AG138/AF138*100</f>
        <v>100</v>
      </c>
      <c r="AI138" s="40">
        <f t="shared" si="297"/>
        <v>74.3</v>
      </c>
      <c r="AJ138" s="40">
        <f t="shared" si="297"/>
        <v>74.3</v>
      </c>
      <c r="AK138" s="41">
        <f>AJ138/AI138*100</f>
        <v>100</v>
      </c>
      <c r="AL138" s="40">
        <f t="shared" si="297"/>
        <v>0</v>
      </c>
      <c r="AM138" s="40"/>
      <c r="AN138" s="38"/>
      <c r="AO138" s="40">
        <f t="shared" si="297"/>
        <v>128.1</v>
      </c>
      <c r="AP138" s="40">
        <f t="shared" si="297"/>
        <v>128.1</v>
      </c>
      <c r="AQ138" s="41">
        <f>AP138/AO138*100</f>
        <v>100</v>
      </c>
      <c r="AR138" s="52"/>
      <c r="AS138" s="52"/>
      <c r="AT138" s="43">
        <f t="shared" si="168"/>
        <v>1</v>
      </c>
      <c r="AU138" s="55">
        <f t="shared" si="292"/>
        <v>60.2</v>
      </c>
      <c r="AV138" s="55">
        <f t="shared" si="293"/>
        <v>0</v>
      </c>
      <c r="AW138" s="55">
        <f t="shared" si="294"/>
        <v>12.8</v>
      </c>
      <c r="AX138" s="55">
        <f t="shared" si="295"/>
        <v>202.39999999999998</v>
      </c>
      <c r="AY138" s="56">
        <f>AY141</f>
        <v>187.13</v>
      </c>
      <c r="AZ138" s="55">
        <f t="shared" si="296"/>
        <v>-88.269999999999982</v>
      </c>
    </row>
    <row r="139" spans="1:52" ht="14.25" customHeight="1">
      <c r="A139" s="152"/>
      <c r="B139" s="152"/>
      <c r="C139" s="152"/>
      <c r="D139" s="54" t="s">
        <v>23</v>
      </c>
      <c r="E139" s="40">
        <f t="shared" si="284"/>
        <v>0</v>
      </c>
      <c r="F139" s="40">
        <f t="shared" si="284"/>
        <v>0</v>
      </c>
      <c r="G139" s="41"/>
      <c r="H139" s="40"/>
      <c r="I139" s="40"/>
      <c r="J139" s="38"/>
      <c r="K139" s="40"/>
      <c r="L139" s="40"/>
      <c r="M139" s="38"/>
      <c r="N139" s="40"/>
      <c r="O139" s="40"/>
      <c r="P139" s="41"/>
      <c r="Q139" s="40"/>
      <c r="R139" s="40"/>
      <c r="S139" s="38"/>
      <c r="T139" s="40"/>
      <c r="U139" s="40"/>
      <c r="V139" s="38"/>
      <c r="W139" s="40"/>
      <c r="X139" s="40"/>
      <c r="Y139" s="38"/>
      <c r="Z139" s="40"/>
      <c r="AA139" s="40"/>
      <c r="AB139" s="38"/>
      <c r="AC139" s="40"/>
      <c r="AD139" s="40"/>
      <c r="AE139" s="38"/>
      <c r="AF139" s="40"/>
      <c r="AG139" s="40"/>
      <c r="AH139" s="41"/>
      <c r="AI139" s="40"/>
      <c r="AJ139" s="40"/>
      <c r="AK139" s="41"/>
      <c r="AL139" s="40"/>
      <c r="AM139" s="40"/>
      <c r="AN139" s="38"/>
      <c r="AO139" s="40"/>
      <c r="AP139" s="40"/>
      <c r="AQ139" s="41"/>
      <c r="AR139" s="52"/>
      <c r="AS139" s="52"/>
      <c r="AT139" s="43"/>
      <c r="AU139" s="55">
        <f t="shared" si="292"/>
        <v>0</v>
      </c>
      <c r="AV139" s="55">
        <f t="shared" si="293"/>
        <v>0</v>
      </c>
      <c r="AW139" s="55">
        <f t="shared" si="294"/>
        <v>0</v>
      </c>
      <c r="AX139" s="55">
        <f t="shared" si="295"/>
        <v>0</v>
      </c>
      <c r="AZ139" s="55">
        <f t="shared" si="296"/>
        <v>0</v>
      </c>
    </row>
    <row r="140" spans="1:52" ht="24">
      <c r="A140" s="152"/>
      <c r="B140" s="152"/>
      <c r="C140" s="152"/>
      <c r="D140" s="54" t="s">
        <v>4</v>
      </c>
      <c r="E140" s="40">
        <f t="shared" si="284"/>
        <v>0</v>
      </c>
      <c r="F140" s="40">
        <f t="shared" si="284"/>
        <v>0</v>
      </c>
      <c r="G140" s="41"/>
      <c r="H140" s="41"/>
      <c r="I140" s="41"/>
      <c r="J140" s="38"/>
      <c r="K140" s="41"/>
      <c r="L140" s="41"/>
      <c r="M140" s="38"/>
      <c r="N140" s="41"/>
      <c r="O140" s="41"/>
      <c r="P140" s="41"/>
      <c r="Q140" s="41"/>
      <c r="R140" s="41"/>
      <c r="S140" s="38"/>
      <c r="T140" s="41"/>
      <c r="U140" s="41"/>
      <c r="V140" s="38"/>
      <c r="W140" s="41"/>
      <c r="X140" s="41"/>
      <c r="Y140" s="38"/>
      <c r="Z140" s="41"/>
      <c r="AA140" s="41"/>
      <c r="AB140" s="38"/>
      <c r="AC140" s="41"/>
      <c r="AD140" s="41"/>
      <c r="AE140" s="38"/>
      <c r="AF140" s="41"/>
      <c r="AG140" s="41"/>
      <c r="AH140" s="41"/>
      <c r="AI140" s="41"/>
      <c r="AJ140" s="41"/>
      <c r="AK140" s="41"/>
      <c r="AL140" s="41"/>
      <c r="AM140" s="41"/>
      <c r="AN140" s="38"/>
      <c r="AO140" s="41"/>
      <c r="AP140" s="41"/>
      <c r="AQ140" s="41"/>
      <c r="AR140" s="52"/>
      <c r="AS140" s="52"/>
      <c r="AT140" s="43"/>
      <c r="AU140" s="55">
        <f t="shared" si="292"/>
        <v>0</v>
      </c>
      <c r="AV140" s="55">
        <f t="shared" si="293"/>
        <v>0</v>
      </c>
      <c r="AW140" s="55">
        <f t="shared" si="294"/>
        <v>0</v>
      </c>
      <c r="AX140" s="55">
        <f t="shared" si="295"/>
        <v>0</v>
      </c>
      <c r="AZ140" s="55">
        <f t="shared" si="296"/>
        <v>0</v>
      </c>
    </row>
    <row r="141" spans="1:52" ht="229.5" customHeight="1">
      <c r="A141" s="152"/>
      <c r="B141" s="152"/>
      <c r="C141" s="152"/>
      <c r="D141" s="54" t="s">
        <v>70</v>
      </c>
      <c r="E141" s="40">
        <f t="shared" si="284"/>
        <v>275.39999999999998</v>
      </c>
      <c r="F141" s="40">
        <f t="shared" si="284"/>
        <v>275.39999999999998</v>
      </c>
      <c r="G141" s="41">
        <f t="shared" ref="G141" si="299">F141/E141*100</f>
        <v>100</v>
      </c>
      <c r="H141" s="41"/>
      <c r="I141" s="41"/>
      <c r="J141" s="38"/>
      <c r="K141" s="41"/>
      <c r="L141" s="41"/>
      <c r="M141" s="38"/>
      <c r="N141" s="41">
        <v>60.2</v>
      </c>
      <c r="O141" s="41">
        <v>60.2</v>
      </c>
      <c r="P141" s="41">
        <f t="shared" si="298"/>
        <v>100</v>
      </c>
      <c r="Q141" s="41"/>
      <c r="R141" s="41"/>
      <c r="S141" s="38"/>
      <c r="T141" s="41"/>
      <c r="U141" s="41"/>
      <c r="V141" s="38"/>
      <c r="W141" s="41"/>
      <c r="X141" s="41"/>
      <c r="Y141" s="38"/>
      <c r="Z141" s="41"/>
      <c r="AA141" s="41"/>
      <c r="AB141" s="38"/>
      <c r="AC141" s="41"/>
      <c r="AD141" s="41"/>
      <c r="AE141" s="38"/>
      <c r="AF141" s="41">
        <v>12.8</v>
      </c>
      <c r="AG141" s="41">
        <v>12.8</v>
      </c>
      <c r="AH141" s="41">
        <f t="shared" ref="AH141" si="300">AG141/AF141*100</f>
        <v>100</v>
      </c>
      <c r="AI141" s="41">
        <v>74.3</v>
      </c>
      <c r="AJ141" s="41">
        <v>74.3</v>
      </c>
      <c r="AK141" s="41">
        <f t="shared" ref="AK141" si="301">AJ141/AI141*100</f>
        <v>100</v>
      </c>
      <c r="AL141" s="41"/>
      <c r="AM141" s="41"/>
      <c r="AN141" s="38"/>
      <c r="AO141" s="41">
        <v>128.1</v>
      </c>
      <c r="AP141" s="41">
        <v>128.1</v>
      </c>
      <c r="AQ141" s="41">
        <f t="shared" ref="AQ141" si="302">AP141/AO141*100</f>
        <v>100</v>
      </c>
      <c r="AR141" s="115" t="s">
        <v>179</v>
      </c>
      <c r="AS141" s="115"/>
      <c r="AT141" s="43">
        <f t="shared" si="168"/>
        <v>1</v>
      </c>
      <c r="AU141" s="55">
        <f t="shared" si="292"/>
        <v>60.2</v>
      </c>
      <c r="AV141" s="55">
        <f t="shared" si="293"/>
        <v>0</v>
      </c>
      <c r="AW141" s="55">
        <f t="shared" si="294"/>
        <v>12.8</v>
      </c>
      <c r="AX141" s="55">
        <f t="shared" si="295"/>
        <v>202.39999999999998</v>
      </c>
      <c r="AY141" s="56">
        <v>187.13</v>
      </c>
      <c r="AZ141" s="55">
        <f t="shared" si="296"/>
        <v>-88.269999999999982</v>
      </c>
    </row>
    <row r="142" spans="1:52" ht="15.75">
      <c r="A142" s="152"/>
      <c r="B142" s="152"/>
      <c r="C142" s="152"/>
      <c r="D142" s="54" t="s">
        <v>24</v>
      </c>
      <c r="E142" s="40">
        <f t="shared" si="284"/>
        <v>0</v>
      </c>
      <c r="F142" s="40">
        <f t="shared" si="284"/>
        <v>0</v>
      </c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52"/>
      <c r="AS142" s="52"/>
      <c r="AT142" s="43"/>
      <c r="AU142" s="55">
        <f t="shared" si="292"/>
        <v>0</v>
      </c>
      <c r="AV142" s="55">
        <f t="shared" si="293"/>
        <v>0</v>
      </c>
      <c r="AW142" s="55">
        <f t="shared" si="294"/>
        <v>0</v>
      </c>
      <c r="AX142" s="55">
        <f t="shared" si="295"/>
        <v>0</v>
      </c>
      <c r="AZ142" s="55">
        <f t="shared" si="296"/>
        <v>0</v>
      </c>
    </row>
    <row r="143" spans="1:52" ht="13.5" customHeight="1">
      <c r="A143" s="152" t="s">
        <v>96</v>
      </c>
      <c r="B143" s="152" t="s">
        <v>132</v>
      </c>
      <c r="C143" s="152" t="s">
        <v>6</v>
      </c>
      <c r="D143" s="54" t="s">
        <v>3</v>
      </c>
      <c r="E143" s="40">
        <f t="shared" si="284"/>
        <v>19010.8</v>
      </c>
      <c r="F143" s="40">
        <f t="shared" si="284"/>
        <v>19010.799999999996</v>
      </c>
      <c r="G143" s="41">
        <f>F143/E143*100</f>
        <v>99.999999999999972</v>
      </c>
      <c r="H143" s="40">
        <f>H144+H145+H146+H147</f>
        <v>360</v>
      </c>
      <c r="I143" s="40">
        <f>I144+I145+I146+I147</f>
        <v>360</v>
      </c>
      <c r="J143" s="41">
        <f>I143/H143*100</f>
        <v>100</v>
      </c>
      <c r="K143" s="40">
        <f t="shared" ref="K143:AP143" si="303">K144+K145+K146+K147</f>
        <v>1706</v>
      </c>
      <c r="L143" s="40">
        <f t="shared" si="303"/>
        <v>1706</v>
      </c>
      <c r="M143" s="41">
        <f t="shared" ref="M143:M146" si="304">L143/K143*100</f>
        <v>100</v>
      </c>
      <c r="N143" s="40">
        <f t="shared" si="303"/>
        <v>1629</v>
      </c>
      <c r="O143" s="40">
        <f t="shared" si="303"/>
        <v>1629</v>
      </c>
      <c r="P143" s="41">
        <f t="shared" ref="P143:P146" si="305">O143/N143*100</f>
        <v>100</v>
      </c>
      <c r="Q143" s="40">
        <f t="shared" si="303"/>
        <v>2006</v>
      </c>
      <c r="R143" s="40">
        <f t="shared" si="303"/>
        <v>2256</v>
      </c>
      <c r="S143" s="41">
        <f>R143/Q143*100</f>
        <v>112.46261216350948</v>
      </c>
      <c r="T143" s="40">
        <f t="shared" si="303"/>
        <v>918</v>
      </c>
      <c r="U143" s="40">
        <f t="shared" si="303"/>
        <v>918</v>
      </c>
      <c r="V143" s="41">
        <f>U143/T143*100</f>
        <v>100</v>
      </c>
      <c r="W143" s="40">
        <f t="shared" si="303"/>
        <v>2028.9</v>
      </c>
      <c r="X143" s="40">
        <f t="shared" si="303"/>
        <v>1778.9</v>
      </c>
      <c r="Y143" s="41">
        <f>X143/W143*100</f>
        <v>87.678052146483324</v>
      </c>
      <c r="Z143" s="40">
        <f t="shared" si="303"/>
        <v>1847.9</v>
      </c>
      <c r="AA143" s="40">
        <f t="shared" si="303"/>
        <v>1847.9</v>
      </c>
      <c r="AB143" s="41">
        <f>AA143/Z143*100</f>
        <v>100</v>
      </c>
      <c r="AC143" s="40">
        <f t="shared" si="303"/>
        <v>1438</v>
      </c>
      <c r="AD143" s="40">
        <f t="shared" si="303"/>
        <v>1438</v>
      </c>
      <c r="AE143" s="41">
        <f>AD143/AC143*100</f>
        <v>100</v>
      </c>
      <c r="AF143" s="40">
        <f t="shared" si="303"/>
        <v>1303</v>
      </c>
      <c r="AG143" s="40">
        <f t="shared" si="303"/>
        <v>682.6</v>
      </c>
      <c r="AH143" s="41">
        <f>AG143/AF143*100</f>
        <v>52.386799693016115</v>
      </c>
      <c r="AI143" s="40">
        <f t="shared" si="303"/>
        <v>1912</v>
      </c>
      <c r="AJ143" s="40">
        <f t="shared" si="303"/>
        <v>2532.4</v>
      </c>
      <c r="AK143" s="41">
        <f>AJ143/AI143*100</f>
        <v>132.44769874476987</v>
      </c>
      <c r="AL143" s="40">
        <f t="shared" si="303"/>
        <v>1647</v>
      </c>
      <c r="AM143" s="40">
        <f t="shared" si="303"/>
        <v>1646.9999999999982</v>
      </c>
      <c r="AN143" s="41">
        <f>AM143/AL143*100</f>
        <v>99.999999999999886</v>
      </c>
      <c r="AO143" s="40">
        <f t="shared" si="303"/>
        <v>2215</v>
      </c>
      <c r="AP143" s="40">
        <f t="shared" si="303"/>
        <v>2215</v>
      </c>
      <c r="AQ143" s="41">
        <f>AP143/AO143*100</f>
        <v>100</v>
      </c>
      <c r="AR143" s="52"/>
      <c r="AS143" s="52"/>
      <c r="AT143" s="43">
        <f t="shared" si="168"/>
        <v>0.99999999999999978</v>
      </c>
      <c r="AU143" s="55">
        <f t="shared" si="292"/>
        <v>3695</v>
      </c>
      <c r="AV143" s="55">
        <f t="shared" si="293"/>
        <v>4952.8999999999996</v>
      </c>
      <c r="AW143" s="55">
        <f t="shared" si="294"/>
        <v>4588.8999999999996</v>
      </c>
      <c r="AX143" s="55">
        <f t="shared" si="295"/>
        <v>5774</v>
      </c>
      <c r="AY143" s="56">
        <f>AY146</f>
        <v>18998.900000000001</v>
      </c>
      <c r="AZ143" s="55">
        <f t="shared" si="296"/>
        <v>-11.899999999997817</v>
      </c>
    </row>
    <row r="144" spans="1:52" ht="13.5" customHeight="1">
      <c r="A144" s="152"/>
      <c r="B144" s="152"/>
      <c r="C144" s="152"/>
      <c r="D144" s="54" t="s">
        <v>23</v>
      </c>
      <c r="E144" s="40">
        <f t="shared" ref="E144:F162" si="306">H144+K144+N144+Q144+T144+W144+Z144+AC144+AF144+AI144+AL144+AO144</f>
        <v>0</v>
      </c>
      <c r="F144" s="40">
        <f t="shared" si="306"/>
        <v>0</v>
      </c>
      <c r="G144" s="41"/>
      <c r="H144" s="40"/>
      <c r="I144" s="40"/>
      <c r="J144" s="41"/>
      <c r="K144" s="40"/>
      <c r="L144" s="40"/>
      <c r="M144" s="41"/>
      <c r="N144" s="40"/>
      <c r="O144" s="40"/>
      <c r="P144" s="41"/>
      <c r="Q144" s="40"/>
      <c r="R144" s="40"/>
      <c r="S144" s="41"/>
      <c r="T144" s="40"/>
      <c r="U144" s="40"/>
      <c r="V144" s="41"/>
      <c r="W144" s="40"/>
      <c r="X144" s="40"/>
      <c r="Y144" s="41"/>
      <c r="Z144" s="40"/>
      <c r="AA144" s="40"/>
      <c r="AB144" s="41"/>
      <c r="AC144" s="40"/>
      <c r="AD144" s="40"/>
      <c r="AE144" s="41"/>
      <c r="AF144" s="40"/>
      <c r="AG144" s="40"/>
      <c r="AH144" s="41"/>
      <c r="AI144" s="40"/>
      <c r="AJ144" s="40"/>
      <c r="AK144" s="41"/>
      <c r="AL144" s="40"/>
      <c r="AM144" s="40"/>
      <c r="AN144" s="41"/>
      <c r="AO144" s="40"/>
      <c r="AP144" s="40"/>
      <c r="AQ144" s="41"/>
      <c r="AR144" s="52"/>
      <c r="AS144" s="52"/>
      <c r="AT144" s="43"/>
      <c r="AU144" s="55">
        <f t="shared" si="292"/>
        <v>0</v>
      </c>
      <c r="AV144" s="55">
        <f t="shared" si="293"/>
        <v>0</v>
      </c>
      <c r="AW144" s="55">
        <f t="shared" si="294"/>
        <v>0</v>
      </c>
      <c r="AX144" s="55">
        <f t="shared" si="295"/>
        <v>0</v>
      </c>
      <c r="AZ144" s="55">
        <f t="shared" si="296"/>
        <v>0</v>
      </c>
    </row>
    <row r="145" spans="1:52" ht="24">
      <c r="A145" s="152"/>
      <c r="B145" s="152"/>
      <c r="C145" s="152"/>
      <c r="D145" s="54" t="s">
        <v>4</v>
      </c>
      <c r="E145" s="40">
        <f t="shared" si="306"/>
        <v>0</v>
      </c>
      <c r="F145" s="40">
        <f t="shared" si="306"/>
        <v>0</v>
      </c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52"/>
      <c r="AS145" s="52"/>
      <c r="AT145" s="43"/>
      <c r="AU145" s="55">
        <f t="shared" si="292"/>
        <v>0</v>
      </c>
      <c r="AV145" s="55">
        <f t="shared" si="293"/>
        <v>0</v>
      </c>
      <c r="AW145" s="55">
        <f t="shared" si="294"/>
        <v>0</v>
      </c>
      <c r="AX145" s="55">
        <f t="shared" si="295"/>
        <v>0</v>
      </c>
      <c r="AZ145" s="55">
        <f t="shared" si="296"/>
        <v>0</v>
      </c>
    </row>
    <row r="146" spans="1:52" ht="72.75">
      <c r="A146" s="152"/>
      <c r="B146" s="152"/>
      <c r="C146" s="152"/>
      <c r="D146" s="54" t="s">
        <v>70</v>
      </c>
      <c r="E146" s="40">
        <f t="shared" si="306"/>
        <v>19010.8</v>
      </c>
      <c r="F146" s="40">
        <f t="shared" si="306"/>
        <v>19010.799999999996</v>
      </c>
      <c r="G146" s="41">
        <f t="shared" ref="G146" si="307">F146/E146*100</f>
        <v>99.999999999999972</v>
      </c>
      <c r="H146" s="41">
        <v>360</v>
      </c>
      <c r="I146" s="41">
        <v>360</v>
      </c>
      <c r="J146" s="41">
        <f t="shared" ref="J146" si="308">I146/H146*100</f>
        <v>100</v>
      </c>
      <c r="K146" s="41">
        <v>1706</v>
      </c>
      <c r="L146" s="41">
        <v>1706</v>
      </c>
      <c r="M146" s="41">
        <f t="shared" si="304"/>
        <v>100</v>
      </c>
      <c r="N146" s="41">
        <v>1629</v>
      </c>
      <c r="O146" s="41">
        <v>1629</v>
      </c>
      <c r="P146" s="41">
        <f t="shared" si="305"/>
        <v>100</v>
      </c>
      <c r="Q146" s="41">
        <v>2006</v>
      </c>
      <c r="R146" s="41">
        <v>2256</v>
      </c>
      <c r="S146" s="41">
        <f t="shared" ref="S146" si="309">R146/Q146*100</f>
        <v>112.46261216350948</v>
      </c>
      <c r="T146" s="41">
        <v>918</v>
      </c>
      <c r="U146" s="41">
        <v>918</v>
      </c>
      <c r="V146" s="41">
        <f t="shared" ref="V146" si="310">U146/T146*100</f>
        <v>100</v>
      </c>
      <c r="W146" s="41">
        <v>2028.9</v>
      </c>
      <c r="X146" s="41">
        <v>1778.9</v>
      </c>
      <c r="Y146" s="41">
        <f t="shared" ref="Y146" si="311">X146/W146*100</f>
        <v>87.678052146483324</v>
      </c>
      <c r="Z146" s="41">
        <v>1847.9</v>
      </c>
      <c r="AA146" s="41">
        <v>1847.9</v>
      </c>
      <c r="AB146" s="41">
        <f t="shared" ref="AB146" si="312">AA146/Z146*100</f>
        <v>100</v>
      </c>
      <c r="AC146" s="41">
        <v>1438</v>
      </c>
      <c r="AD146" s="41">
        <v>1438</v>
      </c>
      <c r="AE146" s="41">
        <f t="shared" ref="AE146" si="313">AD146/AC146*100</f>
        <v>100</v>
      </c>
      <c r="AF146" s="41">
        <v>1303</v>
      </c>
      <c r="AG146" s="41">
        <v>682.6</v>
      </c>
      <c r="AH146" s="41">
        <f t="shared" ref="AH146" si="314">AG146/AF146*100</f>
        <v>52.386799693016115</v>
      </c>
      <c r="AI146" s="41">
        <v>1912</v>
      </c>
      <c r="AJ146" s="41">
        <v>2532.4</v>
      </c>
      <c r="AK146" s="41">
        <f t="shared" ref="AK146" si="315">AJ146/AI146*100</f>
        <v>132.44769874476987</v>
      </c>
      <c r="AL146" s="41">
        <v>1647</v>
      </c>
      <c r="AM146" s="41">
        <v>1646.9999999999982</v>
      </c>
      <c r="AN146" s="41">
        <f t="shared" ref="AN146" si="316">AM146/AL146*100</f>
        <v>99.999999999999886</v>
      </c>
      <c r="AO146" s="41">
        <f>2214.9+0.1</f>
        <v>2215</v>
      </c>
      <c r="AP146" s="41">
        <f>2214.9+0.1</f>
        <v>2215</v>
      </c>
      <c r="AQ146" s="41">
        <f t="shared" ref="AQ146" si="317">AP146/AO146*100</f>
        <v>100</v>
      </c>
      <c r="AR146" s="64" t="s">
        <v>186</v>
      </c>
      <c r="AS146" s="64"/>
      <c r="AT146" s="43">
        <f t="shared" si="168"/>
        <v>0.99999999999999978</v>
      </c>
      <c r="AU146" s="55">
        <f t="shared" si="292"/>
        <v>3695</v>
      </c>
      <c r="AV146" s="55">
        <f t="shared" si="293"/>
        <v>4952.8999999999996</v>
      </c>
      <c r="AW146" s="55">
        <f t="shared" si="294"/>
        <v>4588.8999999999996</v>
      </c>
      <c r="AX146" s="55">
        <f t="shared" si="295"/>
        <v>5774</v>
      </c>
      <c r="AY146" s="56">
        <v>18998.900000000001</v>
      </c>
      <c r="AZ146" s="55">
        <f t="shared" si="296"/>
        <v>-11.899999999997817</v>
      </c>
    </row>
    <row r="147" spans="1:52" ht="13.5" customHeight="1">
      <c r="A147" s="152"/>
      <c r="B147" s="152"/>
      <c r="C147" s="152"/>
      <c r="D147" s="54" t="s">
        <v>24</v>
      </c>
      <c r="E147" s="40">
        <f t="shared" si="306"/>
        <v>0</v>
      </c>
      <c r="F147" s="40">
        <f t="shared" si="306"/>
        <v>0</v>
      </c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52"/>
      <c r="AS147" s="52"/>
      <c r="AT147" s="43"/>
      <c r="AU147" s="55">
        <f t="shared" si="292"/>
        <v>0</v>
      </c>
      <c r="AV147" s="55">
        <f t="shared" si="293"/>
        <v>0</v>
      </c>
      <c r="AW147" s="55">
        <f t="shared" si="294"/>
        <v>0</v>
      </c>
      <c r="AX147" s="55">
        <f t="shared" si="295"/>
        <v>0</v>
      </c>
      <c r="AZ147" s="55">
        <f t="shared" si="296"/>
        <v>0</v>
      </c>
    </row>
    <row r="148" spans="1:52" ht="15.75" customHeight="1">
      <c r="A148" s="152" t="s">
        <v>97</v>
      </c>
      <c r="B148" s="152" t="s">
        <v>133</v>
      </c>
      <c r="C148" s="152" t="s">
        <v>6</v>
      </c>
      <c r="D148" s="54" t="s">
        <v>3</v>
      </c>
      <c r="E148" s="40">
        <f>H148+K148+N148+Q148+T148+W148+Z148+AC148+AF148+AI148+AL148+AO148</f>
        <v>29699.599999999995</v>
      </c>
      <c r="F148" s="40">
        <f>I148+L148+O148+R148+U148+X148+AA148+AD148+AG148+AJ148+AM148+AP148</f>
        <v>29695.499999999996</v>
      </c>
      <c r="G148" s="41">
        <f>F148/E148*100</f>
        <v>99.98619510027072</v>
      </c>
      <c r="H148" s="40">
        <f>H149+H150+H151+H152</f>
        <v>1445</v>
      </c>
      <c r="I148" s="40">
        <f>I149+I150+I151+I152</f>
        <v>1159.9000000000001</v>
      </c>
      <c r="J148" s="41">
        <f>I148/H148*100</f>
        <v>80.269896193771629</v>
      </c>
      <c r="K148" s="40">
        <f t="shared" ref="K148:AM148" si="318">K149+K150+K151+K152</f>
        <v>4306.5</v>
      </c>
      <c r="L148" s="40">
        <f t="shared" si="318"/>
        <v>2550.9</v>
      </c>
      <c r="M148" s="41">
        <f t="shared" ref="M148:M151" si="319">L148/K148*100</f>
        <v>59.23371647509579</v>
      </c>
      <c r="N148" s="40">
        <f t="shared" si="318"/>
        <v>3184.4</v>
      </c>
      <c r="O148" s="40">
        <f t="shared" si="318"/>
        <v>4721.2</v>
      </c>
      <c r="P148" s="41">
        <f t="shared" ref="P148:P151" si="320">O148/N148*100</f>
        <v>148.26026881045092</v>
      </c>
      <c r="Q148" s="40">
        <f t="shared" si="318"/>
        <v>2156.4</v>
      </c>
      <c r="R148" s="40">
        <f t="shared" si="318"/>
        <v>2275.2999999999997</v>
      </c>
      <c r="S148" s="41">
        <f>R148/Q148*100</f>
        <v>105.51381932851046</v>
      </c>
      <c r="T148" s="40">
        <f t="shared" si="318"/>
        <v>2364.3000000000002</v>
      </c>
      <c r="U148" s="40">
        <f t="shared" si="318"/>
        <v>1714.1</v>
      </c>
      <c r="V148" s="41">
        <f>U148/T148*100</f>
        <v>72.499259823203474</v>
      </c>
      <c r="W148" s="40">
        <f t="shared" si="318"/>
        <v>2145.5</v>
      </c>
      <c r="X148" s="40">
        <f t="shared" si="318"/>
        <v>2784.9</v>
      </c>
      <c r="Y148" s="41">
        <f>X148/W148*100</f>
        <v>129.80191097646235</v>
      </c>
      <c r="Z148" s="40">
        <f t="shared" si="318"/>
        <v>3265.2</v>
      </c>
      <c r="AA148" s="40">
        <f t="shared" si="318"/>
        <v>2896.7000000000003</v>
      </c>
      <c r="AB148" s="41">
        <f>AA148/Z148*100</f>
        <v>88.71432071542327</v>
      </c>
      <c r="AC148" s="40">
        <f t="shared" si="318"/>
        <v>2162.6</v>
      </c>
      <c r="AD148" s="40">
        <f t="shared" si="318"/>
        <v>1815</v>
      </c>
      <c r="AE148" s="41">
        <f>AD148/AC148*100</f>
        <v>83.926754832146486</v>
      </c>
      <c r="AF148" s="40">
        <f t="shared" si="318"/>
        <v>1588.6</v>
      </c>
      <c r="AG148" s="40">
        <f t="shared" si="318"/>
        <v>2109.8000000000002</v>
      </c>
      <c r="AH148" s="41">
        <f>AG148/AF148*100</f>
        <v>132.80876243233038</v>
      </c>
      <c r="AI148" s="40">
        <f t="shared" si="318"/>
        <v>1916.3</v>
      </c>
      <c r="AJ148" s="40">
        <f t="shared" si="318"/>
        <v>1816.8</v>
      </c>
      <c r="AK148" s="41">
        <f>AJ148/AI148*100</f>
        <v>94.807702343056931</v>
      </c>
      <c r="AL148" s="40">
        <f t="shared" si="318"/>
        <v>1702.2</v>
      </c>
      <c r="AM148" s="40">
        <f t="shared" si="318"/>
        <v>1813.6000000000001</v>
      </c>
      <c r="AN148" s="41">
        <f>AM148/AL148*100</f>
        <v>106.54447185994596</v>
      </c>
      <c r="AO148" s="40">
        <f>AO149+AO150+AO151+AO152</f>
        <v>3462.6</v>
      </c>
      <c r="AP148" s="40">
        <f>AP149+AP150+AP151+AP152</f>
        <v>4037.3</v>
      </c>
      <c r="AQ148" s="41">
        <f>AP148/AO148*100</f>
        <v>116.59735458903715</v>
      </c>
      <c r="AR148" s="52"/>
      <c r="AS148" s="52"/>
      <c r="AT148" s="43">
        <f t="shared" si="168"/>
        <v>0.97793955101574115</v>
      </c>
      <c r="AU148" s="55">
        <f t="shared" si="292"/>
        <v>8935.9</v>
      </c>
      <c r="AV148" s="55">
        <f t="shared" si="293"/>
        <v>6666.2000000000007</v>
      </c>
      <c r="AW148" s="55">
        <f t="shared" si="294"/>
        <v>7016.4</v>
      </c>
      <c r="AX148" s="55">
        <f>AI148+AL148+AO148</f>
        <v>7081.1</v>
      </c>
      <c r="AY148" s="56">
        <f>AY150+AY151</f>
        <v>29043.9</v>
      </c>
      <c r="AZ148" s="55">
        <f t="shared" si="296"/>
        <v>-655.70000000000073</v>
      </c>
    </row>
    <row r="149" spans="1:52" ht="14.25" customHeight="1">
      <c r="A149" s="152"/>
      <c r="B149" s="152"/>
      <c r="C149" s="152"/>
      <c r="D149" s="54" t="s">
        <v>23</v>
      </c>
      <c r="E149" s="40">
        <f t="shared" si="306"/>
        <v>276.5</v>
      </c>
      <c r="F149" s="40">
        <f t="shared" si="306"/>
        <v>276.5</v>
      </c>
      <c r="G149" s="41">
        <f>F149/E149*100</f>
        <v>100</v>
      </c>
      <c r="H149" s="40"/>
      <c r="I149" s="40"/>
      <c r="J149" s="41"/>
      <c r="K149" s="40"/>
      <c r="L149" s="40"/>
      <c r="M149" s="41"/>
      <c r="N149" s="40"/>
      <c r="O149" s="40"/>
      <c r="P149" s="41"/>
      <c r="Q149" s="40"/>
      <c r="R149" s="40"/>
      <c r="S149" s="41"/>
      <c r="T149" s="40"/>
      <c r="U149" s="40"/>
      <c r="V149" s="41"/>
      <c r="W149" s="40"/>
      <c r="X149" s="40"/>
      <c r="Y149" s="41"/>
      <c r="Z149" s="40"/>
      <c r="AA149" s="40"/>
      <c r="AB149" s="38"/>
      <c r="AC149" s="40"/>
      <c r="AD149" s="40"/>
      <c r="AE149" s="41"/>
      <c r="AF149" s="40"/>
      <c r="AG149" s="40"/>
      <c r="AH149" s="41"/>
      <c r="AI149" s="40"/>
      <c r="AJ149" s="40"/>
      <c r="AK149" s="41"/>
      <c r="AL149" s="40"/>
      <c r="AM149" s="40"/>
      <c r="AN149" s="41"/>
      <c r="AO149" s="40">
        <v>276.5</v>
      </c>
      <c r="AP149" s="40">
        <v>276.5</v>
      </c>
      <c r="AQ149" s="41">
        <f>AP149/AO149*100</f>
        <v>100</v>
      </c>
      <c r="AR149" s="52"/>
      <c r="AS149" s="52"/>
      <c r="AT149" s="43"/>
      <c r="AU149" s="55">
        <f t="shared" si="292"/>
        <v>0</v>
      </c>
      <c r="AV149" s="55">
        <f t="shared" si="293"/>
        <v>0</v>
      </c>
      <c r="AW149" s="55">
        <f t="shared" si="294"/>
        <v>0</v>
      </c>
      <c r="AX149" s="55">
        <f t="shared" si="295"/>
        <v>276.5</v>
      </c>
      <c r="AY149" s="56"/>
      <c r="AZ149" s="55">
        <f t="shared" si="296"/>
        <v>-276.5</v>
      </c>
    </row>
    <row r="150" spans="1:52" ht="72">
      <c r="A150" s="152"/>
      <c r="B150" s="152"/>
      <c r="C150" s="152"/>
      <c r="D150" s="54" t="s">
        <v>4</v>
      </c>
      <c r="E150" s="40">
        <f t="shared" si="306"/>
        <v>1669</v>
      </c>
      <c r="F150" s="40">
        <f t="shared" si="306"/>
        <v>1669.0000000000002</v>
      </c>
      <c r="G150" s="41">
        <f t="shared" ref="G150:G151" si="321">F150/E150*100</f>
        <v>100.00000000000003</v>
      </c>
      <c r="H150" s="41">
        <v>28</v>
      </c>
      <c r="I150" s="41">
        <v>6.2</v>
      </c>
      <c r="J150" s="41">
        <f>I150/H150*100</f>
        <v>22.142857142857146</v>
      </c>
      <c r="K150" s="41">
        <v>110</v>
      </c>
      <c r="L150" s="41">
        <v>83.8</v>
      </c>
      <c r="M150" s="41">
        <f t="shared" si="319"/>
        <v>76.181818181818187</v>
      </c>
      <c r="N150" s="41">
        <v>229.4</v>
      </c>
      <c r="O150" s="41">
        <v>185</v>
      </c>
      <c r="P150" s="41">
        <f t="shared" si="320"/>
        <v>80.645161290322577</v>
      </c>
      <c r="Q150" s="41">
        <f>134</f>
        <v>134</v>
      </c>
      <c r="R150" s="41">
        <v>86.6</v>
      </c>
      <c r="S150" s="41">
        <f t="shared" ref="S150:S151" si="322">R150/Q150*100</f>
        <v>64.626865671641781</v>
      </c>
      <c r="T150" s="41">
        <v>73.8</v>
      </c>
      <c r="U150" s="41">
        <v>132</v>
      </c>
      <c r="V150" s="41">
        <f t="shared" ref="V150:V151" si="323">U150/T150*100</f>
        <v>178.86178861788616</v>
      </c>
      <c r="W150" s="41">
        <f>100-12-88</f>
        <v>0</v>
      </c>
      <c r="X150" s="41">
        <v>78.599999999999994</v>
      </c>
      <c r="Y150" s="41"/>
      <c r="Z150" s="41">
        <v>616.1</v>
      </c>
      <c r="AA150" s="41">
        <v>96.4</v>
      </c>
      <c r="AB150" s="41">
        <f>AA150/Z150*100</f>
        <v>15.646810582697615</v>
      </c>
      <c r="AC150" s="41">
        <f>144+25</f>
        <v>169</v>
      </c>
      <c r="AD150" s="41">
        <v>128.30000000000001</v>
      </c>
      <c r="AE150" s="41">
        <f t="shared" ref="AE150:AE151" si="324">AD150/AC150*100</f>
        <v>75.917159763313606</v>
      </c>
      <c r="AF150" s="41">
        <f>116+25</f>
        <v>141</v>
      </c>
      <c r="AG150" s="41">
        <v>358.5</v>
      </c>
      <c r="AH150" s="41">
        <f t="shared" ref="AH150:AH151" si="325">AG150/AF150*100</f>
        <v>254.25531914893617</v>
      </c>
      <c r="AI150" s="41">
        <f>209-209+6</f>
        <v>6</v>
      </c>
      <c r="AJ150" s="41">
        <v>81.2</v>
      </c>
      <c r="AK150" s="41">
        <f t="shared" ref="AK150:AK151" si="326">AJ150/AI150*100</f>
        <v>1353.3333333333333</v>
      </c>
      <c r="AL150" s="41">
        <v>56.7</v>
      </c>
      <c r="AM150" s="41">
        <v>87.2</v>
      </c>
      <c r="AN150" s="41">
        <f t="shared" ref="AN150:AN151" si="327">AM150/AL150*100</f>
        <v>153.79188712522046</v>
      </c>
      <c r="AO150" s="41">
        <f>155-50</f>
        <v>105</v>
      </c>
      <c r="AP150" s="41">
        <v>345.2</v>
      </c>
      <c r="AQ150" s="41">
        <f t="shared" ref="AQ150:AQ151" si="328">AP150/AO150*100</f>
        <v>328.76190476190476</v>
      </c>
      <c r="AR150" s="115" t="s">
        <v>180</v>
      </c>
      <c r="AS150" s="67"/>
      <c r="AT150" s="43">
        <f t="shared" si="168"/>
        <v>0.84641943734015357</v>
      </c>
      <c r="AU150" s="57">
        <f t="shared" si="292"/>
        <v>367.4</v>
      </c>
      <c r="AV150" s="57">
        <f t="shared" si="293"/>
        <v>207.8</v>
      </c>
      <c r="AW150" s="57">
        <f t="shared" si="294"/>
        <v>926.1</v>
      </c>
      <c r="AX150" s="57">
        <f t="shared" si="295"/>
        <v>167.7</v>
      </c>
      <c r="AY150" s="56">
        <v>1669</v>
      </c>
      <c r="AZ150" s="55">
        <f t="shared" si="296"/>
        <v>0</v>
      </c>
    </row>
    <row r="151" spans="1:52" ht="62.25" customHeight="1">
      <c r="A151" s="152"/>
      <c r="B151" s="152"/>
      <c r="C151" s="152"/>
      <c r="D151" s="54" t="s">
        <v>70</v>
      </c>
      <c r="E151" s="40">
        <f t="shared" si="306"/>
        <v>27754.099999999995</v>
      </c>
      <c r="F151" s="40">
        <f t="shared" si="306"/>
        <v>27750</v>
      </c>
      <c r="G151" s="41">
        <f t="shared" si="321"/>
        <v>99.985227407842459</v>
      </c>
      <c r="H151" s="41">
        <v>1417</v>
      </c>
      <c r="I151" s="41">
        <v>1153.7</v>
      </c>
      <c r="J151" s="41">
        <f t="shared" ref="J151" si="329">I151/H151*100</f>
        <v>81.418489767113627</v>
      </c>
      <c r="K151" s="41">
        <f>4196.5</f>
        <v>4196.5</v>
      </c>
      <c r="L151" s="41">
        <v>2467.1</v>
      </c>
      <c r="M151" s="41">
        <f t="shared" si="319"/>
        <v>58.789467413320615</v>
      </c>
      <c r="N151" s="41">
        <f>2960.5+2.5-8</f>
        <v>2955</v>
      </c>
      <c r="O151" s="41">
        <v>4536.2</v>
      </c>
      <c r="P151" s="41">
        <f t="shared" si="320"/>
        <v>153.50930626057527</v>
      </c>
      <c r="Q151" s="41">
        <v>2022.4</v>
      </c>
      <c r="R151" s="41">
        <v>2188.6999999999998</v>
      </c>
      <c r="S151" s="41">
        <f t="shared" si="322"/>
        <v>108.22290348101265</v>
      </c>
      <c r="T151" s="41">
        <v>2290.5</v>
      </c>
      <c r="U151" s="41">
        <v>1582.1</v>
      </c>
      <c r="V151" s="41">
        <f t="shared" si="323"/>
        <v>69.072254966164593</v>
      </c>
      <c r="W151" s="41">
        <f>2145.5</f>
        <v>2145.5</v>
      </c>
      <c r="X151" s="41">
        <v>2706.3</v>
      </c>
      <c r="Y151" s="41">
        <f t="shared" ref="Y151" si="330">X151/W151*100</f>
        <v>126.13842927056631</v>
      </c>
      <c r="Z151" s="41">
        <v>2649.1</v>
      </c>
      <c r="AA151" s="41">
        <v>2800.3</v>
      </c>
      <c r="AB151" s="41">
        <f>AA151/Z151*100</f>
        <v>105.70759880714206</v>
      </c>
      <c r="AC151" s="41">
        <v>1993.6</v>
      </c>
      <c r="AD151" s="41">
        <v>1686.7</v>
      </c>
      <c r="AE151" s="41">
        <f t="shared" si="324"/>
        <v>84.605738362760846</v>
      </c>
      <c r="AF151" s="41">
        <v>1447.6</v>
      </c>
      <c r="AG151" s="41">
        <v>1751.3</v>
      </c>
      <c r="AH151" s="41">
        <f t="shared" si="325"/>
        <v>120.97955236253108</v>
      </c>
      <c r="AI151" s="41">
        <v>1910.3</v>
      </c>
      <c r="AJ151" s="41">
        <v>1735.6</v>
      </c>
      <c r="AK151" s="41">
        <f t="shared" si="326"/>
        <v>90.85483955399674</v>
      </c>
      <c r="AL151" s="41">
        <v>1645.5</v>
      </c>
      <c r="AM151" s="41">
        <v>1726.4</v>
      </c>
      <c r="AN151" s="41">
        <f t="shared" si="327"/>
        <v>104.91643877240962</v>
      </c>
      <c r="AO151" s="41">
        <v>3081.1</v>
      </c>
      <c r="AP151" s="41">
        <v>3415.6</v>
      </c>
      <c r="AQ151" s="41">
        <f t="shared" si="328"/>
        <v>110.8565122845737</v>
      </c>
      <c r="AR151" s="115" t="s">
        <v>181</v>
      </c>
      <c r="AS151" s="116" t="s">
        <v>164</v>
      </c>
      <c r="AT151" s="43">
        <f t="shared" ref="AT151:AT213" si="331">(I151+L151+O151+R151+U151+X151+AA151+AD151+AG151+AJ151+AM151)/(H151+K151+N151+Q151+T151+W151+Z151+AC151+AF151+AI151+AL151)</f>
        <v>0.98627649657520389</v>
      </c>
      <c r="AU151" s="57">
        <f t="shared" si="292"/>
        <v>8568.5</v>
      </c>
      <c r="AV151" s="57">
        <f t="shared" si="293"/>
        <v>6458.4</v>
      </c>
      <c r="AW151" s="57">
        <f t="shared" si="294"/>
        <v>6090.2999999999993</v>
      </c>
      <c r="AX151" s="57">
        <f t="shared" si="295"/>
        <v>6636.9</v>
      </c>
      <c r="AY151" s="56">
        <v>27374.9</v>
      </c>
      <c r="AZ151" s="55">
        <f t="shared" si="296"/>
        <v>-379.19999999999709</v>
      </c>
    </row>
    <row r="152" spans="1:52" ht="12.75" customHeight="1">
      <c r="A152" s="152"/>
      <c r="B152" s="152"/>
      <c r="C152" s="152"/>
      <c r="D152" s="54" t="s">
        <v>24</v>
      </c>
      <c r="E152" s="40">
        <f t="shared" si="306"/>
        <v>0</v>
      </c>
      <c r="F152" s="40">
        <f t="shared" si="306"/>
        <v>0</v>
      </c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52"/>
      <c r="AS152" s="52"/>
      <c r="AT152" s="43"/>
      <c r="AU152" s="55">
        <f t="shared" si="292"/>
        <v>0</v>
      </c>
      <c r="AV152" s="55">
        <f t="shared" si="293"/>
        <v>0</v>
      </c>
      <c r="AW152" s="55">
        <f t="shared" si="294"/>
        <v>0</v>
      </c>
      <c r="AX152" s="55">
        <f t="shared" si="295"/>
        <v>0</v>
      </c>
      <c r="AZ152" s="55">
        <f t="shared" si="296"/>
        <v>0</v>
      </c>
    </row>
    <row r="153" spans="1:52" ht="15.75">
      <c r="A153" s="152" t="s">
        <v>98</v>
      </c>
      <c r="B153" s="152" t="s">
        <v>134</v>
      </c>
      <c r="C153" s="152" t="s">
        <v>6</v>
      </c>
      <c r="D153" s="54" t="s">
        <v>3</v>
      </c>
      <c r="E153" s="40">
        <f t="shared" si="306"/>
        <v>0</v>
      </c>
      <c r="F153" s="40">
        <f t="shared" si="306"/>
        <v>0</v>
      </c>
      <c r="G153" s="41"/>
      <c r="H153" s="40">
        <f>H154+H155+H156+H157</f>
        <v>0</v>
      </c>
      <c r="I153" s="40"/>
      <c r="J153" s="41"/>
      <c r="K153" s="40">
        <f t="shared" ref="K153:AO153" si="332">K154+K155+K156+K157</f>
        <v>0</v>
      </c>
      <c r="L153" s="40"/>
      <c r="M153" s="41"/>
      <c r="N153" s="40">
        <f t="shared" si="332"/>
        <v>0</v>
      </c>
      <c r="O153" s="40"/>
      <c r="P153" s="41"/>
      <c r="Q153" s="40">
        <f t="shared" si="332"/>
        <v>0</v>
      </c>
      <c r="R153" s="40"/>
      <c r="S153" s="41"/>
      <c r="T153" s="40">
        <f t="shared" si="332"/>
        <v>0</v>
      </c>
      <c r="U153" s="40"/>
      <c r="V153" s="41"/>
      <c r="W153" s="40">
        <f t="shared" si="332"/>
        <v>0</v>
      </c>
      <c r="X153" s="40"/>
      <c r="Y153" s="41"/>
      <c r="Z153" s="40">
        <f t="shared" si="332"/>
        <v>0</v>
      </c>
      <c r="AA153" s="40"/>
      <c r="AB153" s="41"/>
      <c r="AC153" s="40">
        <f t="shared" si="332"/>
        <v>0</v>
      </c>
      <c r="AD153" s="40"/>
      <c r="AE153" s="41"/>
      <c r="AF153" s="40">
        <f t="shared" si="332"/>
        <v>0</v>
      </c>
      <c r="AG153" s="40"/>
      <c r="AH153" s="41"/>
      <c r="AI153" s="40">
        <f t="shared" si="332"/>
        <v>0</v>
      </c>
      <c r="AJ153" s="40"/>
      <c r="AK153" s="41"/>
      <c r="AL153" s="40">
        <f t="shared" si="332"/>
        <v>0</v>
      </c>
      <c r="AM153" s="40"/>
      <c r="AN153" s="41"/>
      <c r="AO153" s="40">
        <f t="shared" si="332"/>
        <v>0</v>
      </c>
      <c r="AP153" s="40"/>
      <c r="AQ153" s="41"/>
      <c r="AR153" s="52"/>
      <c r="AS153" s="52"/>
      <c r="AT153" s="43"/>
      <c r="AU153" s="55">
        <f t="shared" si="292"/>
        <v>0</v>
      </c>
      <c r="AV153" s="55">
        <f t="shared" si="293"/>
        <v>0</v>
      </c>
      <c r="AW153" s="55">
        <f t="shared" si="294"/>
        <v>0</v>
      </c>
      <c r="AX153" s="55">
        <f t="shared" si="295"/>
        <v>0</v>
      </c>
      <c r="AZ153" s="55">
        <f t="shared" si="296"/>
        <v>0</v>
      </c>
    </row>
    <row r="154" spans="1:52" ht="15.75">
      <c r="A154" s="152"/>
      <c r="B154" s="152"/>
      <c r="C154" s="152"/>
      <c r="D154" s="54" t="s">
        <v>23</v>
      </c>
      <c r="E154" s="40">
        <f t="shared" si="306"/>
        <v>0</v>
      </c>
      <c r="F154" s="40">
        <f t="shared" si="306"/>
        <v>0</v>
      </c>
      <c r="G154" s="41"/>
      <c r="H154" s="40"/>
      <c r="I154" s="40"/>
      <c r="J154" s="41"/>
      <c r="K154" s="40"/>
      <c r="L154" s="40"/>
      <c r="M154" s="41"/>
      <c r="N154" s="40"/>
      <c r="O154" s="40"/>
      <c r="P154" s="41"/>
      <c r="Q154" s="40"/>
      <c r="R154" s="40"/>
      <c r="S154" s="41"/>
      <c r="T154" s="40"/>
      <c r="U154" s="40"/>
      <c r="V154" s="41"/>
      <c r="W154" s="40"/>
      <c r="X154" s="40"/>
      <c r="Y154" s="41"/>
      <c r="Z154" s="40"/>
      <c r="AA154" s="40"/>
      <c r="AB154" s="41"/>
      <c r="AC154" s="40"/>
      <c r="AD154" s="40"/>
      <c r="AE154" s="41"/>
      <c r="AF154" s="40"/>
      <c r="AG154" s="40"/>
      <c r="AH154" s="41"/>
      <c r="AI154" s="40"/>
      <c r="AJ154" s="40"/>
      <c r="AK154" s="41"/>
      <c r="AL154" s="40"/>
      <c r="AM154" s="40"/>
      <c r="AN154" s="41"/>
      <c r="AO154" s="40"/>
      <c r="AP154" s="40"/>
      <c r="AQ154" s="41"/>
      <c r="AR154" s="52"/>
      <c r="AS154" s="52"/>
      <c r="AT154" s="43"/>
      <c r="AU154" s="55">
        <f t="shared" si="292"/>
        <v>0</v>
      </c>
      <c r="AV154" s="55">
        <f t="shared" si="293"/>
        <v>0</v>
      </c>
      <c r="AW154" s="55">
        <f t="shared" si="294"/>
        <v>0</v>
      </c>
      <c r="AX154" s="55">
        <f t="shared" si="295"/>
        <v>0</v>
      </c>
      <c r="AZ154" s="55">
        <f t="shared" si="296"/>
        <v>0</v>
      </c>
    </row>
    <row r="155" spans="1:52" ht="24">
      <c r="A155" s="152"/>
      <c r="B155" s="152"/>
      <c r="C155" s="152"/>
      <c r="D155" s="54" t="s">
        <v>4</v>
      </c>
      <c r="E155" s="40">
        <f t="shared" si="306"/>
        <v>0</v>
      </c>
      <c r="F155" s="40">
        <f t="shared" si="306"/>
        <v>0</v>
      </c>
      <c r="G155" s="41"/>
      <c r="H155" s="40"/>
      <c r="I155" s="40"/>
      <c r="J155" s="41"/>
      <c r="K155" s="40"/>
      <c r="L155" s="40"/>
      <c r="M155" s="41"/>
      <c r="N155" s="40"/>
      <c r="O155" s="40"/>
      <c r="P155" s="41"/>
      <c r="Q155" s="40"/>
      <c r="R155" s="40"/>
      <c r="S155" s="41"/>
      <c r="T155" s="40"/>
      <c r="U155" s="40"/>
      <c r="V155" s="41"/>
      <c r="W155" s="40"/>
      <c r="X155" s="40"/>
      <c r="Y155" s="41"/>
      <c r="Z155" s="40"/>
      <c r="AA155" s="40"/>
      <c r="AB155" s="41"/>
      <c r="AC155" s="40"/>
      <c r="AD155" s="40"/>
      <c r="AE155" s="41"/>
      <c r="AF155" s="40"/>
      <c r="AG155" s="40"/>
      <c r="AH155" s="41"/>
      <c r="AI155" s="40"/>
      <c r="AJ155" s="40"/>
      <c r="AK155" s="41"/>
      <c r="AL155" s="40"/>
      <c r="AM155" s="40"/>
      <c r="AN155" s="41"/>
      <c r="AO155" s="40"/>
      <c r="AP155" s="40"/>
      <c r="AQ155" s="41"/>
      <c r="AR155" s="52"/>
      <c r="AS155" s="52"/>
      <c r="AT155" s="43"/>
      <c r="AU155" s="55">
        <f t="shared" si="292"/>
        <v>0</v>
      </c>
      <c r="AV155" s="55">
        <f t="shared" si="293"/>
        <v>0</v>
      </c>
      <c r="AW155" s="55">
        <f t="shared" si="294"/>
        <v>0</v>
      </c>
      <c r="AX155" s="55">
        <f t="shared" si="295"/>
        <v>0</v>
      </c>
      <c r="AZ155" s="55">
        <f t="shared" si="296"/>
        <v>0</v>
      </c>
    </row>
    <row r="156" spans="1:52" ht="15.75">
      <c r="A156" s="152"/>
      <c r="B156" s="152"/>
      <c r="C156" s="152"/>
      <c r="D156" s="54" t="s">
        <v>70</v>
      </c>
      <c r="E156" s="40">
        <f t="shared" si="306"/>
        <v>0</v>
      </c>
      <c r="F156" s="40">
        <f t="shared" si="306"/>
        <v>0</v>
      </c>
      <c r="G156" s="41"/>
      <c r="H156" s="40"/>
      <c r="I156" s="40"/>
      <c r="J156" s="41"/>
      <c r="K156" s="40"/>
      <c r="L156" s="40"/>
      <c r="M156" s="41"/>
      <c r="N156" s="40"/>
      <c r="O156" s="40"/>
      <c r="P156" s="41"/>
      <c r="Q156" s="40"/>
      <c r="R156" s="40"/>
      <c r="S156" s="41"/>
      <c r="T156" s="40"/>
      <c r="U156" s="40"/>
      <c r="V156" s="41"/>
      <c r="W156" s="40"/>
      <c r="X156" s="40"/>
      <c r="Y156" s="41"/>
      <c r="Z156" s="40"/>
      <c r="AA156" s="40"/>
      <c r="AB156" s="41"/>
      <c r="AC156" s="40"/>
      <c r="AD156" s="40"/>
      <c r="AE156" s="41"/>
      <c r="AF156" s="40"/>
      <c r="AG156" s="40"/>
      <c r="AH156" s="41"/>
      <c r="AI156" s="40"/>
      <c r="AJ156" s="40"/>
      <c r="AK156" s="41"/>
      <c r="AL156" s="40"/>
      <c r="AM156" s="40"/>
      <c r="AN156" s="41"/>
      <c r="AO156" s="40"/>
      <c r="AP156" s="40"/>
      <c r="AQ156" s="41"/>
      <c r="AR156" s="52"/>
      <c r="AS156" s="52"/>
      <c r="AT156" s="43"/>
      <c r="AU156" s="55">
        <f t="shared" si="292"/>
        <v>0</v>
      </c>
      <c r="AV156" s="55">
        <f t="shared" si="293"/>
        <v>0</v>
      </c>
      <c r="AW156" s="55">
        <f t="shared" si="294"/>
        <v>0</v>
      </c>
      <c r="AX156" s="55">
        <f t="shared" si="295"/>
        <v>0</v>
      </c>
      <c r="AZ156" s="55">
        <f t="shared" si="296"/>
        <v>0</v>
      </c>
    </row>
    <row r="157" spans="1:52" ht="16.5" thickBot="1">
      <c r="A157" s="152"/>
      <c r="B157" s="152"/>
      <c r="C157" s="152"/>
      <c r="D157" s="54" t="s">
        <v>24</v>
      </c>
      <c r="E157" s="40">
        <f t="shared" si="306"/>
        <v>0</v>
      </c>
      <c r="F157" s="40">
        <f t="shared" si="306"/>
        <v>0</v>
      </c>
      <c r="G157" s="41"/>
      <c r="H157" s="40"/>
      <c r="I157" s="40"/>
      <c r="J157" s="41"/>
      <c r="K157" s="40"/>
      <c r="L157" s="40"/>
      <c r="M157" s="41"/>
      <c r="N157" s="40"/>
      <c r="O157" s="40"/>
      <c r="P157" s="41"/>
      <c r="Q157" s="40"/>
      <c r="R157" s="40"/>
      <c r="S157" s="41"/>
      <c r="T157" s="40"/>
      <c r="U157" s="40"/>
      <c r="V157" s="41"/>
      <c r="W157" s="40"/>
      <c r="X157" s="40"/>
      <c r="Y157" s="41"/>
      <c r="Z157" s="40"/>
      <c r="AA157" s="40"/>
      <c r="AB157" s="41"/>
      <c r="AC157" s="40"/>
      <c r="AD157" s="40"/>
      <c r="AE157" s="41"/>
      <c r="AF157" s="40"/>
      <c r="AG157" s="40"/>
      <c r="AH157" s="41"/>
      <c r="AI157" s="40"/>
      <c r="AJ157" s="40"/>
      <c r="AK157" s="41"/>
      <c r="AL157" s="40"/>
      <c r="AM157" s="40"/>
      <c r="AN157" s="41"/>
      <c r="AO157" s="40"/>
      <c r="AP157" s="40"/>
      <c r="AQ157" s="41"/>
      <c r="AR157" s="52"/>
      <c r="AS157" s="52"/>
      <c r="AT157" s="43"/>
      <c r="AU157" s="55">
        <f t="shared" si="292"/>
        <v>0</v>
      </c>
      <c r="AV157" s="55">
        <f t="shared" si="293"/>
        <v>0</v>
      </c>
      <c r="AW157" s="55">
        <f t="shared" si="294"/>
        <v>0</v>
      </c>
      <c r="AX157" s="55">
        <f t="shared" si="295"/>
        <v>0</v>
      </c>
      <c r="AZ157" s="55">
        <f t="shared" si="296"/>
        <v>0</v>
      </c>
    </row>
    <row r="158" spans="1:52" ht="13.5" customHeight="1">
      <c r="A158" s="156" t="s">
        <v>14</v>
      </c>
      <c r="B158" s="156"/>
      <c r="C158" s="156"/>
      <c r="D158" s="58" t="s">
        <v>3</v>
      </c>
      <c r="E158" s="59">
        <f t="shared" si="306"/>
        <v>49124.899999999994</v>
      </c>
      <c r="F158" s="59">
        <f t="shared" si="306"/>
        <v>49120.799999999996</v>
      </c>
      <c r="G158" s="42">
        <f>F158/E158*100</f>
        <v>99.991653927030896</v>
      </c>
      <c r="H158" s="59">
        <f>H159+H160+H161+H162</f>
        <v>1805</v>
      </c>
      <c r="I158" s="59">
        <f>I159+I160+I161+I162</f>
        <v>1519.9</v>
      </c>
      <c r="J158" s="42">
        <f>I158/H158*100</f>
        <v>84.204986149584499</v>
      </c>
      <c r="K158" s="59">
        <f t="shared" ref="K158:AO158" si="333">K159+K160+K161+K162</f>
        <v>6012.5</v>
      </c>
      <c r="L158" s="59">
        <f t="shared" si="333"/>
        <v>4256.9000000000005</v>
      </c>
      <c r="M158" s="42">
        <f t="shared" ref="M158:M161" si="334">L158/K158*100</f>
        <v>70.800831600831614</v>
      </c>
      <c r="N158" s="59">
        <f t="shared" si="333"/>
        <v>4873.5999999999995</v>
      </c>
      <c r="O158" s="59">
        <f t="shared" si="333"/>
        <v>6410.4</v>
      </c>
      <c r="P158" s="42">
        <f t="shared" ref="P158:P161" si="335">O158/N158*100</f>
        <v>131.53315824031517</v>
      </c>
      <c r="Q158" s="59">
        <f t="shared" si="333"/>
        <v>4162.3999999999996</v>
      </c>
      <c r="R158" s="59">
        <f t="shared" ref="R158" si="336">R159+R160+R161+R162</f>
        <v>4531.3</v>
      </c>
      <c r="S158" s="42">
        <f>R158/Q158*100</f>
        <v>108.86267537958871</v>
      </c>
      <c r="T158" s="59">
        <f t="shared" si="333"/>
        <v>3282.3</v>
      </c>
      <c r="U158" s="59">
        <f t="shared" ref="U158" si="337">U159+U160+U161+U162</f>
        <v>2632.1</v>
      </c>
      <c r="V158" s="42">
        <f>U158/T158*100</f>
        <v>80.190719922005911</v>
      </c>
      <c r="W158" s="59">
        <f t="shared" si="333"/>
        <v>4174.3999999999996</v>
      </c>
      <c r="X158" s="59">
        <f t="shared" ref="X158" si="338">X159+X160+X161+X162</f>
        <v>4563.8000000000011</v>
      </c>
      <c r="Y158" s="42">
        <f>X158/W158*100</f>
        <v>109.32828669988506</v>
      </c>
      <c r="Z158" s="59">
        <f t="shared" si="333"/>
        <v>5113.1000000000004</v>
      </c>
      <c r="AA158" s="59">
        <f t="shared" ref="AA158" si="339">AA159+AA160+AA161+AA162</f>
        <v>4744.6000000000004</v>
      </c>
      <c r="AB158" s="42">
        <f>AA158/Z158*100</f>
        <v>92.793021845846951</v>
      </c>
      <c r="AC158" s="59">
        <f t="shared" si="333"/>
        <v>3600.6</v>
      </c>
      <c r="AD158" s="59">
        <f t="shared" ref="AD158" si="340">AD159+AD160+AD161+AD162</f>
        <v>3253</v>
      </c>
      <c r="AE158" s="42">
        <f>AD158/AC158*100</f>
        <v>90.346053435538522</v>
      </c>
      <c r="AF158" s="59">
        <f t="shared" si="333"/>
        <v>3033.3999999999996</v>
      </c>
      <c r="AG158" s="59">
        <f t="shared" ref="AG158" si="341">AG159+AG160+AG161+AG162</f>
        <v>2934.2</v>
      </c>
      <c r="AH158" s="42">
        <f>AG158/AF158*100</f>
        <v>96.729742203468064</v>
      </c>
      <c r="AI158" s="59">
        <f t="shared" si="333"/>
        <v>3917.8</v>
      </c>
      <c r="AJ158" s="59">
        <f t="shared" ref="AJ158" si="342">AJ159+AJ160+AJ161+AJ162</f>
        <v>4433.5999999999995</v>
      </c>
      <c r="AK158" s="42">
        <f>AJ158/AI158*100</f>
        <v>113.16555209556383</v>
      </c>
      <c r="AL158" s="59">
        <f t="shared" si="333"/>
        <v>3349.2</v>
      </c>
      <c r="AM158" s="59">
        <f t="shared" ref="AM158" si="343">AM159+AM160+AM161+AM162</f>
        <v>3460.5999999999981</v>
      </c>
      <c r="AN158" s="42">
        <f>AM158/AL158*100</f>
        <v>103.32616744297141</v>
      </c>
      <c r="AO158" s="59">
        <f t="shared" si="333"/>
        <v>5800.6</v>
      </c>
      <c r="AP158" s="59">
        <f t="shared" ref="AP158" si="344">AP159+AP160+AP161+AP162</f>
        <v>6380.4</v>
      </c>
      <c r="AQ158" s="42">
        <f>AP158/AO158*100</f>
        <v>109.99551770506497</v>
      </c>
      <c r="AR158" s="52"/>
      <c r="AS158" s="52"/>
      <c r="AT158" s="43">
        <f t="shared" si="331"/>
        <v>0.98652257509065344</v>
      </c>
      <c r="AU158" s="108">
        <f t="shared" si="292"/>
        <v>12691.099999999999</v>
      </c>
      <c r="AV158" s="108">
        <f t="shared" si="293"/>
        <v>11619.099999999999</v>
      </c>
      <c r="AW158" s="108">
        <f t="shared" si="294"/>
        <v>11747.1</v>
      </c>
      <c r="AX158" s="108">
        <f t="shared" si="295"/>
        <v>13067.6</v>
      </c>
      <c r="AY158" s="60">
        <f>AY159+AY160+AY161+AY162</f>
        <v>48387.9</v>
      </c>
      <c r="AZ158" s="55">
        <f>AY158-AU158-AV158-AW158-AX158</f>
        <v>-736.99999999999636</v>
      </c>
    </row>
    <row r="159" spans="1:52" ht="13.5" customHeight="1">
      <c r="A159" s="156"/>
      <c r="B159" s="156"/>
      <c r="C159" s="156"/>
      <c r="D159" s="58" t="s">
        <v>23</v>
      </c>
      <c r="E159" s="59">
        <f t="shared" si="306"/>
        <v>276.5</v>
      </c>
      <c r="F159" s="59">
        <f t="shared" si="306"/>
        <v>276.5</v>
      </c>
      <c r="G159" s="42">
        <f>F159/E159*100</f>
        <v>100</v>
      </c>
      <c r="H159" s="42">
        <f t="shared" ref="H159:I162" si="345">H129+H134+H139+H144+H149+H154</f>
        <v>0</v>
      </c>
      <c r="I159" s="42">
        <f t="shared" si="345"/>
        <v>0</v>
      </c>
      <c r="J159" s="39"/>
      <c r="K159" s="42">
        <f t="shared" ref="K159:AO162" si="346">K129+K134+K139+K144+K149+K154</f>
        <v>0</v>
      </c>
      <c r="L159" s="42">
        <f t="shared" si="346"/>
        <v>0</v>
      </c>
      <c r="M159" s="42"/>
      <c r="N159" s="42">
        <f t="shared" si="346"/>
        <v>0</v>
      </c>
      <c r="O159" s="42">
        <f t="shared" si="346"/>
        <v>0</v>
      </c>
      <c r="P159" s="42"/>
      <c r="Q159" s="42">
        <f t="shared" si="346"/>
        <v>0</v>
      </c>
      <c r="R159" s="42">
        <f t="shared" ref="R159" si="347">R129+R134+R139+R144+R149+R154</f>
        <v>0</v>
      </c>
      <c r="S159" s="39"/>
      <c r="T159" s="42">
        <f t="shared" si="346"/>
        <v>0</v>
      </c>
      <c r="U159" s="42">
        <f t="shared" ref="U159" si="348">U129+U134+U139+U144+U149+U154</f>
        <v>0</v>
      </c>
      <c r="V159" s="39"/>
      <c r="W159" s="42">
        <f t="shared" si="346"/>
        <v>0</v>
      </c>
      <c r="X159" s="42">
        <f t="shared" ref="X159" si="349">X129+X134+X139+X144+X149+X154</f>
        <v>0</v>
      </c>
      <c r="Y159" s="39"/>
      <c r="Z159" s="42">
        <f t="shared" si="346"/>
        <v>0</v>
      </c>
      <c r="AA159" s="42">
        <f t="shared" ref="AA159" si="350">AA129+AA134+AA139+AA144+AA149+AA154</f>
        <v>0</v>
      </c>
      <c r="AB159" s="39"/>
      <c r="AC159" s="42">
        <f t="shared" si="346"/>
        <v>0</v>
      </c>
      <c r="AD159" s="42">
        <f t="shared" ref="AD159" si="351">AD129+AD134+AD139+AD144+AD149+AD154</f>
        <v>0</v>
      </c>
      <c r="AE159" s="39"/>
      <c r="AF159" s="42">
        <f t="shared" si="346"/>
        <v>0</v>
      </c>
      <c r="AG159" s="42">
        <f t="shared" ref="AG159" si="352">AG129+AG134+AG139+AG144+AG149+AG154</f>
        <v>0</v>
      </c>
      <c r="AH159" s="39"/>
      <c r="AI159" s="42">
        <f t="shared" si="346"/>
        <v>0</v>
      </c>
      <c r="AJ159" s="42">
        <f t="shared" ref="AJ159" si="353">AJ129+AJ134+AJ139+AJ144+AJ149+AJ154</f>
        <v>0</v>
      </c>
      <c r="AK159" s="39"/>
      <c r="AL159" s="42">
        <f t="shared" si="346"/>
        <v>0</v>
      </c>
      <c r="AM159" s="42">
        <f t="shared" ref="AM159" si="354">AM129+AM134+AM139+AM144+AM149+AM154</f>
        <v>0</v>
      </c>
      <c r="AN159" s="39"/>
      <c r="AO159" s="42">
        <f t="shared" si="346"/>
        <v>276.5</v>
      </c>
      <c r="AP159" s="42">
        <f t="shared" ref="AP159" si="355">AP129+AP134+AP139+AP144+AP149+AP154</f>
        <v>276.5</v>
      </c>
      <c r="AQ159" s="42">
        <f>AP159/AO159*100</f>
        <v>100</v>
      </c>
      <c r="AR159" s="52"/>
      <c r="AS159" s="52"/>
      <c r="AT159" s="43"/>
      <c r="AU159" s="108">
        <f t="shared" si="292"/>
        <v>0</v>
      </c>
      <c r="AV159" s="108">
        <f t="shared" si="293"/>
        <v>0</v>
      </c>
      <c r="AW159" s="108">
        <f t="shared" si="294"/>
        <v>0</v>
      </c>
      <c r="AX159" s="108">
        <f t="shared" si="295"/>
        <v>276.5</v>
      </c>
      <c r="AY159" s="93">
        <f t="shared" ref="AY159" si="356">AY129+AY134+AY139+AY144+AY149+AY154</f>
        <v>0</v>
      </c>
      <c r="AZ159" s="55">
        <f t="shared" si="296"/>
        <v>-276.5</v>
      </c>
    </row>
    <row r="160" spans="1:52" ht="24">
      <c r="A160" s="156"/>
      <c r="B160" s="156"/>
      <c r="C160" s="156"/>
      <c r="D160" s="58" t="s">
        <v>4</v>
      </c>
      <c r="E160" s="59">
        <f t="shared" si="306"/>
        <v>1669</v>
      </c>
      <c r="F160" s="59">
        <f t="shared" si="306"/>
        <v>1669.0000000000002</v>
      </c>
      <c r="G160" s="42">
        <f>F160/E160*100</f>
        <v>100.00000000000003</v>
      </c>
      <c r="H160" s="42">
        <f t="shared" si="345"/>
        <v>28</v>
      </c>
      <c r="I160" s="42">
        <f t="shared" si="345"/>
        <v>6.2</v>
      </c>
      <c r="J160" s="42">
        <f>I160/H160*100</f>
        <v>22.142857142857146</v>
      </c>
      <c r="K160" s="42">
        <f t="shared" si="346"/>
        <v>110</v>
      </c>
      <c r="L160" s="42">
        <f t="shared" si="346"/>
        <v>83.8</v>
      </c>
      <c r="M160" s="42">
        <f t="shared" si="334"/>
        <v>76.181818181818187</v>
      </c>
      <c r="N160" s="42">
        <f t="shared" si="346"/>
        <v>229.4</v>
      </c>
      <c r="O160" s="42">
        <f t="shared" si="346"/>
        <v>185</v>
      </c>
      <c r="P160" s="42">
        <f t="shared" si="335"/>
        <v>80.645161290322577</v>
      </c>
      <c r="Q160" s="42">
        <f t="shared" si="346"/>
        <v>134</v>
      </c>
      <c r="R160" s="42">
        <f t="shared" ref="R160" si="357">R130+R135+R140+R145+R150+R155</f>
        <v>86.6</v>
      </c>
      <c r="S160" s="42">
        <f>R160/Q160*100</f>
        <v>64.626865671641781</v>
      </c>
      <c r="T160" s="42">
        <f t="shared" si="346"/>
        <v>73.8</v>
      </c>
      <c r="U160" s="42">
        <f t="shared" ref="U160" si="358">U130+U135+U140+U145+U150+U155</f>
        <v>132</v>
      </c>
      <c r="V160" s="42">
        <f>U160/T160*100</f>
        <v>178.86178861788616</v>
      </c>
      <c r="W160" s="42">
        <f t="shared" si="346"/>
        <v>0</v>
      </c>
      <c r="X160" s="42">
        <f t="shared" ref="X160" si="359">X130+X135+X140+X145+X150+X155</f>
        <v>78.599999999999994</v>
      </c>
      <c r="Y160" s="42"/>
      <c r="Z160" s="42">
        <f t="shared" si="346"/>
        <v>616.1</v>
      </c>
      <c r="AA160" s="42">
        <f t="shared" ref="AA160" si="360">AA130+AA135+AA140+AA145+AA150+AA155</f>
        <v>96.4</v>
      </c>
      <c r="AB160" s="42">
        <f>AA160/Z160*100</f>
        <v>15.646810582697615</v>
      </c>
      <c r="AC160" s="42">
        <f t="shared" si="346"/>
        <v>169</v>
      </c>
      <c r="AD160" s="42">
        <f t="shared" ref="AD160" si="361">AD130+AD135+AD140+AD145+AD150+AD155</f>
        <v>128.30000000000001</v>
      </c>
      <c r="AE160" s="42">
        <f>AD160/AC160*100</f>
        <v>75.917159763313606</v>
      </c>
      <c r="AF160" s="42">
        <f t="shared" si="346"/>
        <v>141</v>
      </c>
      <c r="AG160" s="42">
        <f t="shared" ref="AG160" si="362">AG130+AG135+AG140+AG145+AG150+AG155</f>
        <v>358.5</v>
      </c>
      <c r="AH160" s="42">
        <f>AG160/AF160*100</f>
        <v>254.25531914893617</v>
      </c>
      <c r="AI160" s="42">
        <f t="shared" si="346"/>
        <v>6</v>
      </c>
      <c r="AJ160" s="42">
        <f t="shared" ref="AJ160" si="363">AJ130+AJ135+AJ140+AJ145+AJ150+AJ155</f>
        <v>81.2</v>
      </c>
      <c r="AK160" s="42">
        <f>AJ160/AI160*100</f>
        <v>1353.3333333333333</v>
      </c>
      <c r="AL160" s="42">
        <f t="shared" si="346"/>
        <v>56.7</v>
      </c>
      <c r="AM160" s="42">
        <f t="shared" ref="AM160" si="364">AM130+AM135+AM140+AM145+AM150+AM155</f>
        <v>87.2</v>
      </c>
      <c r="AN160" s="42">
        <f>AM160/AL160*100</f>
        <v>153.79188712522046</v>
      </c>
      <c r="AO160" s="42">
        <f t="shared" si="346"/>
        <v>105</v>
      </c>
      <c r="AP160" s="42">
        <f t="shared" ref="AP160" si="365">AP130+AP135+AP140+AP145+AP150+AP155</f>
        <v>345.2</v>
      </c>
      <c r="AQ160" s="42">
        <f>AP160/AO160*100</f>
        <v>328.76190476190476</v>
      </c>
      <c r="AR160" s="52"/>
      <c r="AS160" s="52"/>
      <c r="AT160" s="43">
        <f t="shared" si="331"/>
        <v>0.84641943734015357</v>
      </c>
      <c r="AU160" s="108">
        <f t="shared" si="292"/>
        <v>367.4</v>
      </c>
      <c r="AV160" s="108">
        <f t="shared" si="293"/>
        <v>207.8</v>
      </c>
      <c r="AW160" s="108">
        <f t="shared" si="294"/>
        <v>926.1</v>
      </c>
      <c r="AX160" s="108">
        <f t="shared" si="295"/>
        <v>167.7</v>
      </c>
      <c r="AY160" s="93">
        <f>AY130+AY135+AY140+AY145+AY150+AY155</f>
        <v>1669</v>
      </c>
      <c r="AZ160" s="55">
        <f t="shared" si="296"/>
        <v>0</v>
      </c>
    </row>
    <row r="161" spans="1:52" ht="13.5" customHeight="1">
      <c r="A161" s="156"/>
      <c r="B161" s="156"/>
      <c r="C161" s="156"/>
      <c r="D161" s="58" t="s">
        <v>70</v>
      </c>
      <c r="E161" s="59">
        <f t="shared" si="306"/>
        <v>47179.4</v>
      </c>
      <c r="F161" s="59">
        <f t="shared" si="306"/>
        <v>47175.3</v>
      </c>
      <c r="G161" s="42">
        <f>F161/E161*100</f>
        <v>99.991309766550657</v>
      </c>
      <c r="H161" s="42">
        <f t="shared" si="345"/>
        <v>1777</v>
      </c>
      <c r="I161" s="42">
        <f t="shared" si="345"/>
        <v>1513.7</v>
      </c>
      <c r="J161" s="42">
        <f>I161/H161*100</f>
        <v>85.18289251547553</v>
      </c>
      <c r="K161" s="42">
        <f t="shared" si="346"/>
        <v>5902.5</v>
      </c>
      <c r="L161" s="42">
        <f t="shared" si="346"/>
        <v>4173.1000000000004</v>
      </c>
      <c r="M161" s="42">
        <f t="shared" si="334"/>
        <v>70.70055061414655</v>
      </c>
      <c r="N161" s="42">
        <f t="shared" si="346"/>
        <v>4644.2</v>
      </c>
      <c r="O161" s="42">
        <f t="shared" si="346"/>
        <v>6225.4</v>
      </c>
      <c r="P161" s="42">
        <f t="shared" si="335"/>
        <v>134.04676801171354</v>
      </c>
      <c r="Q161" s="42">
        <f t="shared" si="346"/>
        <v>4028.4</v>
      </c>
      <c r="R161" s="42">
        <f t="shared" ref="R161" si="366">R131+R136+R141+R146+R151+R156</f>
        <v>4444.7</v>
      </c>
      <c r="S161" s="42">
        <f>R161/Q161*100</f>
        <v>110.33412769337703</v>
      </c>
      <c r="T161" s="42">
        <f t="shared" si="346"/>
        <v>3208.5</v>
      </c>
      <c r="U161" s="42">
        <f t="shared" ref="U161" si="367">U131+U136+U141+U146+U151+U156</f>
        <v>2500.1</v>
      </c>
      <c r="V161" s="42">
        <f>U161/T161*100</f>
        <v>77.921146953405014</v>
      </c>
      <c r="W161" s="42">
        <f t="shared" si="346"/>
        <v>4174.3999999999996</v>
      </c>
      <c r="X161" s="42">
        <f t="shared" ref="X161" si="368">X131+X136+X141+X146+X151+X156</f>
        <v>4485.2000000000007</v>
      </c>
      <c r="Y161" s="42">
        <f>X161/W161*100</f>
        <v>107.44538137217327</v>
      </c>
      <c r="Z161" s="42">
        <f t="shared" si="346"/>
        <v>4497</v>
      </c>
      <c r="AA161" s="42">
        <f t="shared" ref="AA161" si="369">AA131+AA136+AA141+AA146+AA151+AA156</f>
        <v>4648.2000000000007</v>
      </c>
      <c r="AB161" s="42">
        <f>AA161/Z161*100</f>
        <v>103.36224149432958</v>
      </c>
      <c r="AC161" s="42">
        <f t="shared" si="346"/>
        <v>3431.6</v>
      </c>
      <c r="AD161" s="42">
        <f t="shared" ref="AD161" si="370">AD131+AD136+AD141+AD146+AD151+AD156</f>
        <v>3124.7</v>
      </c>
      <c r="AE161" s="42">
        <f>AD161/AC161*100</f>
        <v>91.056649959202701</v>
      </c>
      <c r="AF161" s="42">
        <f t="shared" si="346"/>
        <v>2892.3999999999996</v>
      </c>
      <c r="AG161" s="42">
        <f t="shared" ref="AG161" si="371">AG131+AG136+AG141+AG146+AG151+AG156</f>
        <v>2575.6999999999998</v>
      </c>
      <c r="AH161" s="42">
        <f>AG161/AF161*100</f>
        <v>89.050615405891307</v>
      </c>
      <c r="AI161" s="42">
        <f t="shared" si="346"/>
        <v>3911.8</v>
      </c>
      <c r="AJ161" s="42">
        <f t="shared" ref="AJ161" si="372">AJ131+AJ136+AJ141+AJ146+AJ151+AJ156</f>
        <v>4352.3999999999996</v>
      </c>
      <c r="AK161" s="42">
        <f>AJ161/AI161*100</f>
        <v>111.26335702234265</v>
      </c>
      <c r="AL161" s="42">
        <f t="shared" si="346"/>
        <v>3292.5</v>
      </c>
      <c r="AM161" s="42">
        <f t="shared" ref="AM161" si="373">AM131+AM136+AM141+AM146+AM151+AM156</f>
        <v>3373.3999999999983</v>
      </c>
      <c r="AN161" s="42">
        <f>AM161/AL161*100</f>
        <v>102.45709946848893</v>
      </c>
      <c r="AO161" s="42">
        <f t="shared" si="346"/>
        <v>5419.1</v>
      </c>
      <c r="AP161" s="42">
        <f t="shared" ref="AP161" si="374">AP131+AP136+AP141+AP146+AP151+AP156</f>
        <v>5758.7</v>
      </c>
      <c r="AQ161" s="42">
        <f>AP161/AO161*100</f>
        <v>106.26672325662932</v>
      </c>
      <c r="AR161" s="52"/>
      <c r="AS161" s="52"/>
      <c r="AT161" s="43">
        <f t="shared" si="331"/>
        <v>0.99176969514107904</v>
      </c>
      <c r="AU161" s="108">
        <f t="shared" si="292"/>
        <v>12323.7</v>
      </c>
      <c r="AV161" s="108">
        <f t="shared" si="293"/>
        <v>11411.3</v>
      </c>
      <c r="AW161" s="108">
        <f t="shared" si="294"/>
        <v>10821</v>
      </c>
      <c r="AX161" s="108">
        <f t="shared" si="295"/>
        <v>12623.400000000001</v>
      </c>
      <c r="AY161" s="93">
        <f t="shared" ref="AY161:AY162" si="375">AY131+AY136+AY141+AY146+AY151+AY156</f>
        <v>46718.9</v>
      </c>
      <c r="AZ161" s="55">
        <f t="shared" si="296"/>
        <v>-460.50000000000364</v>
      </c>
    </row>
    <row r="162" spans="1:52" ht="13.5" customHeight="1" thickBot="1">
      <c r="A162" s="156"/>
      <c r="B162" s="156"/>
      <c r="C162" s="156"/>
      <c r="D162" s="58" t="s">
        <v>24</v>
      </c>
      <c r="E162" s="59">
        <f t="shared" si="306"/>
        <v>0</v>
      </c>
      <c r="F162" s="59">
        <f t="shared" si="306"/>
        <v>0</v>
      </c>
      <c r="G162" s="42"/>
      <c r="H162" s="42">
        <f t="shared" si="345"/>
        <v>0</v>
      </c>
      <c r="I162" s="42">
        <f t="shared" si="345"/>
        <v>0</v>
      </c>
      <c r="J162" s="42"/>
      <c r="K162" s="42">
        <f t="shared" si="346"/>
        <v>0</v>
      </c>
      <c r="L162" s="42">
        <f t="shared" si="346"/>
        <v>0</v>
      </c>
      <c r="M162" s="42"/>
      <c r="N162" s="42">
        <f t="shared" si="346"/>
        <v>0</v>
      </c>
      <c r="O162" s="42">
        <f t="shared" si="346"/>
        <v>0</v>
      </c>
      <c r="P162" s="42"/>
      <c r="Q162" s="42">
        <f t="shared" si="346"/>
        <v>0</v>
      </c>
      <c r="R162" s="42">
        <f t="shared" ref="R162" si="376">R132+R137+R142+R147+R152+R157</f>
        <v>0</v>
      </c>
      <c r="S162" s="42"/>
      <c r="T162" s="42">
        <f t="shared" si="346"/>
        <v>0</v>
      </c>
      <c r="U162" s="42">
        <f t="shared" ref="U162" si="377">U132+U137+U142+U147+U152+U157</f>
        <v>0</v>
      </c>
      <c r="V162" s="42"/>
      <c r="W162" s="42">
        <f t="shared" si="346"/>
        <v>0</v>
      </c>
      <c r="X162" s="42">
        <f t="shared" si="346"/>
        <v>0</v>
      </c>
      <c r="Y162" s="42"/>
      <c r="Z162" s="42">
        <f t="shared" si="346"/>
        <v>0</v>
      </c>
      <c r="AA162" s="42"/>
      <c r="AB162" s="42"/>
      <c r="AC162" s="42">
        <f t="shared" si="346"/>
        <v>0</v>
      </c>
      <c r="AD162" s="42">
        <f t="shared" ref="AD162" si="378">AD132+AD137+AD142+AD147+AD152+AD157</f>
        <v>0</v>
      </c>
      <c r="AE162" s="42"/>
      <c r="AF162" s="42">
        <f t="shared" si="346"/>
        <v>0</v>
      </c>
      <c r="AG162" s="42"/>
      <c r="AH162" s="42"/>
      <c r="AI162" s="42">
        <f t="shared" si="346"/>
        <v>0</v>
      </c>
      <c r="AJ162" s="42"/>
      <c r="AK162" s="42"/>
      <c r="AL162" s="42">
        <f t="shared" si="346"/>
        <v>0</v>
      </c>
      <c r="AM162" s="42">
        <f t="shared" ref="AM162" si="379">AM132+AM137+AM142+AM147+AM152+AM157</f>
        <v>0</v>
      </c>
      <c r="AN162" s="42"/>
      <c r="AO162" s="42">
        <f t="shared" si="346"/>
        <v>0</v>
      </c>
      <c r="AP162" s="41"/>
      <c r="AQ162" s="42"/>
      <c r="AR162" s="52"/>
      <c r="AS162" s="52"/>
      <c r="AT162" s="43"/>
      <c r="AU162" s="55">
        <f t="shared" si="292"/>
        <v>0</v>
      </c>
      <c r="AV162" s="55">
        <f t="shared" si="293"/>
        <v>0</v>
      </c>
      <c r="AW162" s="55">
        <f t="shared" si="294"/>
        <v>0</v>
      </c>
      <c r="AX162" s="55">
        <f t="shared" si="295"/>
        <v>0</v>
      </c>
      <c r="AY162" s="94">
        <f t="shared" si="375"/>
        <v>0</v>
      </c>
      <c r="AZ162" s="55">
        <f t="shared" si="296"/>
        <v>0</v>
      </c>
    </row>
    <row r="163" spans="1:52" ht="15.75">
      <c r="A163" s="69" t="s">
        <v>99</v>
      </c>
      <c r="B163" s="53" t="s">
        <v>15</v>
      </c>
      <c r="C163" s="53"/>
      <c r="D163" s="53"/>
      <c r="E163" s="112"/>
      <c r="F163" s="112"/>
      <c r="G163" s="112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2"/>
      <c r="AS163" s="52"/>
      <c r="AT163" s="43"/>
      <c r="AU163" s="55">
        <f t="shared" si="292"/>
        <v>0</v>
      </c>
      <c r="AV163" s="55">
        <f t="shared" si="293"/>
        <v>0</v>
      </c>
      <c r="AW163" s="55">
        <f t="shared" si="294"/>
        <v>0</v>
      </c>
      <c r="AX163" s="55">
        <f t="shared" si="295"/>
        <v>0</v>
      </c>
      <c r="AZ163" s="55">
        <f t="shared" si="296"/>
        <v>0</v>
      </c>
    </row>
    <row r="164" spans="1:52" ht="13.5" customHeight="1">
      <c r="A164" s="155" t="s">
        <v>100</v>
      </c>
      <c r="B164" s="152" t="s">
        <v>135</v>
      </c>
      <c r="C164" s="152" t="s">
        <v>6</v>
      </c>
      <c r="D164" s="54" t="s">
        <v>3</v>
      </c>
      <c r="E164" s="40">
        <f t="shared" ref="E164:F179" si="380">H164+K164+N164+Q164+T164+W164+Z164+AC164+AF164+AI164+AL164+AO164</f>
        <v>40</v>
      </c>
      <c r="F164" s="40">
        <f t="shared" si="380"/>
        <v>40</v>
      </c>
      <c r="G164" s="41">
        <f>F164/E164*100</f>
        <v>100</v>
      </c>
      <c r="H164" s="40">
        <f>H165+H166+H167+H168</f>
        <v>0</v>
      </c>
      <c r="I164" s="40"/>
      <c r="J164" s="38"/>
      <c r="K164" s="40">
        <f t="shared" ref="K164:AO164" si="381">K165+K166+K167+K168</f>
        <v>0</v>
      </c>
      <c r="L164" s="40"/>
      <c r="M164" s="38"/>
      <c r="N164" s="40">
        <f t="shared" si="381"/>
        <v>40</v>
      </c>
      <c r="O164" s="40">
        <f t="shared" si="381"/>
        <v>40</v>
      </c>
      <c r="P164" s="41">
        <f t="shared" ref="P164:P167" si="382">O164/N164*100</f>
        <v>100</v>
      </c>
      <c r="Q164" s="40">
        <f t="shared" si="381"/>
        <v>0</v>
      </c>
      <c r="R164" s="40"/>
      <c r="S164" s="38"/>
      <c r="T164" s="40">
        <f t="shared" si="381"/>
        <v>0</v>
      </c>
      <c r="U164" s="40"/>
      <c r="V164" s="38"/>
      <c r="W164" s="40">
        <f t="shared" si="381"/>
        <v>0</v>
      </c>
      <c r="X164" s="40"/>
      <c r="Y164" s="38"/>
      <c r="Z164" s="40">
        <f t="shared" si="381"/>
        <v>0</v>
      </c>
      <c r="AA164" s="40"/>
      <c r="AB164" s="38"/>
      <c r="AC164" s="40">
        <f t="shared" si="381"/>
        <v>0</v>
      </c>
      <c r="AD164" s="40"/>
      <c r="AE164" s="38"/>
      <c r="AF164" s="40">
        <f t="shared" si="381"/>
        <v>0</v>
      </c>
      <c r="AG164" s="40"/>
      <c r="AH164" s="38"/>
      <c r="AI164" s="40">
        <f t="shared" si="381"/>
        <v>0</v>
      </c>
      <c r="AJ164" s="40">
        <f t="shared" si="381"/>
        <v>0</v>
      </c>
      <c r="AK164" s="38"/>
      <c r="AL164" s="40">
        <f t="shared" si="381"/>
        <v>0</v>
      </c>
      <c r="AM164" s="40"/>
      <c r="AN164" s="38"/>
      <c r="AO164" s="40">
        <f t="shared" si="381"/>
        <v>0</v>
      </c>
      <c r="AP164" s="40"/>
      <c r="AQ164" s="38"/>
      <c r="AR164" s="52"/>
      <c r="AS164" s="52"/>
      <c r="AT164" s="43">
        <f t="shared" si="331"/>
        <v>1</v>
      </c>
      <c r="AU164" s="55">
        <f t="shared" si="292"/>
        <v>40</v>
      </c>
      <c r="AV164" s="55">
        <f t="shared" si="293"/>
        <v>0</v>
      </c>
      <c r="AW164" s="55">
        <f t="shared" si="294"/>
        <v>0</v>
      </c>
      <c r="AX164" s="55">
        <f t="shared" si="295"/>
        <v>0</v>
      </c>
      <c r="AY164" s="56">
        <f>AY167</f>
        <v>40</v>
      </c>
      <c r="AZ164" s="55">
        <f t="shared" si="296"/>
        <v>0</v>
      </c>
    </row>
    <row r="165" spans="1:52" ht="15" customHeight="1">
      <c r="A165" s="155"/>
      <c r="B165" s="152"/>
      <c r="C165" s="152"/>
      <c r="D165" s="54" t="s">
        <v>23</v>
      </c>
      <c r="E165" s="40">
        <f t="shared" si="380"/>
        <v>0</v>
      </c>
      <c r="F165" s="40">
        <f t="shared" si="380"/>
        <v>0</v>
      </c>
      <c r="G165" s="41"/>
      <c r="H165" s="40"/>
      <c r="I165" s="40"/>
      <c r="J165" s="38"/>
      <c r="K165" s="40"/>
      <c r="L165" s="40"/>
      <c r="M165" s="38"/>
      <c r="N165" s="40"/>
      <c r="O165" s="40"/>
      <c r="P165" s="41"/>
      <c r="Q165" s="40"/>
      <c r="R165" s="40"/>
      <c r="S165" s="38"/>
      <c r="T165" s="40"/>
      <c r="U165" s="40"/>
      <c r="V165" s="38"/>
      <c r="W165" s="40"/>
      <c r="X165" s="40"/>
      <c r="Y165" s="38"/>
      <c r="Z165" s="40"/>
      <c r="AA165" s="40"/>
      <c r="AB165" s="38"/>
      <c r="AC165" s="40"/>
      <c r="AD165" s="40"/>
      <c r="AE165" s="38"/>
      <c r="AF165" s="40"/>
      <c r="AG165" s="40"/>
      <c r="AH165" s="38"/>
      <c r="AI165" s="40"/>
      <c r="AJ165" s="40"/>
      <c r="AK165" s="38"/>
      <c r="AL165" s="40"/>
      <c r="AM165" s="40"/>
      <c r="AN165" s="38"/>
      <c r="AO165" s="40"/>
      <c r="AP165" s="40"/>
      <c r="AQ165" s="38"/>
      <c r="AR165" s="52"/>
      <c r="AS165" s="52"/>
      <c r="AT165" s="43"/>
      <c r="AU165" s="55">
        <f t="shared" si="292"/>
        <v>0</v>
      </c>
      <c r="AV165" s="55">
        <f t="shared" si="293"/>
        <v>0</v>
      </c>
      <c r="AW165" s="55">
        <f t="shared" si="294"/>
        <v>0</v>
      </c>
      <c r="AX165" s="55">
        <f t="shared" si="295"/>
        <v>0</v>
      </c>
      <c r="AZ165" s="55">
        <f t="shared" si="296"/>
        <v>0</v>
      </c>
    </row>
    <row r="166" spans="1:52" ht="24.75" customHeight="1">
      <c r="A166" s="155"/>
      <c r="B166" s="152"/>
      <c r="C166" s="152"/>
      <c r="D166" s="54" t="s">
        <v>4</v>
      </c>
      <c r="E166" s="40">
        <f t="shared" si="380"/>
        <v>0</v>
      </c>
      <c r="F166" s="40">
        <f t="shared" si="380"/>
        <v>0</v>
      </c>
      <c r="G166" s="41"/>
      <c r="H166" s="41"/>
      <c r="I166" s="41"/>
      <c r="J166" s="38"/>
      <c r="K166" s="41"/>
      <c r="L166" s="41"/>
      <c r="M166" s="38"/>
      <c r="N166" s="41"/>
      <c r="O166" s="41"/>
      <c r="P166" s="41"/>
      <c r="Q166" s="41"/>
      <c r="R166" s="41"/>
      <c r="S166" s="38"/>
      <c r="T166" s="41"/>
      <c r="U166" s="41"/>
      <c r="V166" s="38"/>
      <c r="W166" s="41"/>
      <c r="X166" s="41"/>
      <c r="Y166" s="38"/>
      <c r="Z166" s="41"/>
      <c r="AA166" s="41"/>
      <c r="AB166" s="38"/>
      <c r="AC166" s="41"/>
      <c r="AD166" s="41"/>
      <c r="AE166" s="38"/>
      <c r="AF166" s="41"/>
      <c r="AG166" s="41"/>
      <c r="AH166" s="38"/>
      <c r="AI166" s="41"/>
      <c r="AJ166" s="41"/>
      <c r="AK166" s="38"/>
      <c r="AL166" s="41"/>
      <c r="AM166" s="41"/>
      <c r="AN166" s="38"/>
      <c r="AO166" s="41"/>
      <c r="AP166" s="41"/>
      <c r="AQ166" s="38"/>
      <c r="AR166" s="52"/>
      <c r="AS166" s="52"/>
      <c r="AT166" s="43"/>
      <c r="AU166" s="55">
        <f t="shared" si="292"/>
        <v>0</v>
      </c>
      <c r="AV166" s="55">
        <f t="shared" si="293"/>
        <v>0</v>
      </c>
      <c r="AW166" s="55">
        <f t="shared" si="294"/>
        <v>0</v>
      </c>
      <c r="AX166" s="55">
        <f t="shared" si="295"/>
        <v>0</v>
      </c>
      <c r="AZ166" s="55">
        <f t="shared" si="296"/>
        <v>0</v>
      </c>
    </row>
    <row r="167" spans="1:52" ht="36">
      <c r="A167" s="155"/>
      <c r="B167" s="152"/>
      <c r="C167" s="152"/>
      <c r="D167" s="54" t="s">
        <v>70</v>
      </c>
      <c r="E167" s="40">
        <f t="shared" si="380"/>
        <v>40</v>
      </c>
      <c r="F167" s="40">
        <f t="shared" si="380"/>
        <v>40</v>
      </c>
      <c r="G167" s="41">
        <f t="shared" ref="G167" si="383">F167/E167*100</f>
        <v>100</v>
      </c>
      <c r="H167" s="41"/>
      <c r="I167" s="41"/>
      <c r="J167" s="38"/>
      <c r="K167" s="41"/>
      <c r="L167" s="41"/>
      <c r="M167" s="38"/>
      <c r="N167" s="41">
        <v>40</v>
      </c>
      <c r="O167" s="41">
        <v>40</v>
      </c>
      <c r="P167" s="41">
        <f t="shared" si="382"/>
        <v>100</v>
      </c>
      <c r="Q167" s="41"/>
      <c r="R167" s="41"/>
      <c r="S167" s="38"/>
      <c r="T167" s="41"/>
      <c r="U167" s="41"/>
      <c r="V167" s="38"/>
      <c r="W167" s="41"/>
      <c r="X167" s="41"/>
      <c r="Y167" s="38"/>
      <c r="Z167" s="41"/>
      <c r="AA167" s="41"/>
      <c r="AB167" s="38"/>
      <c r="AC167" s="41"/>
      <c r="AD167" s="41"/>
      <c r="AE167" s="38"/>
      <c r="AF167" s="41"/>
      <c r="AG167" s="41"/>
      <c r="AH167" s="38"/>
      <c r="AI167" s="41"/>
      <c r="AJ167" s="41"/>
      <c r="AK167" s="38"/>
      <c r="AL167" s="41"/>
      <c r="AM167" s="41"/>
      <c r="AN167" s="38"/>
      <c r="AO167" s="41"/>
      <c r="AP167" s="41"/>
      <c r="AQ167" s="38"/>
      <c r="AR167" s="115" t="s">
        <v>57</v>
      </c>
      <c r="AS167" s="52"/>
      <c r="AT167" s="43">
        <f t="shared" si="331"/>
        <v>1</v>
      </c>
      <c r="AU167" s="55">
        <f t="shared" si="292"/>
        <v>40</v>
      </c>
      <c r="AV167" s="55">
        <f t="shared" si="293"/>
        <v>0</v>
      </c>
      <c r="AW167" s="55">
        <f t="shared" si="294"/>
        <v>0</v>
      </c>
      <c r="AX167" s="55">
        <f t="shared" si="295"/>
        <v>0</v>
      </c>
      <c r="AY167" s="56">
        <v>40</v>
      </c>
      <c r="AZ167" s="55">
        <f t="shared" si="296"/>
        <v>0</v>
      </c>
    </row>
    <row r="168" spans="1:52" ht="15.75">
      <c r="A168" s="155"/>
      <c r="B168" s="152"/>
      <c r="C168" s="152"/>
      <c r="D168" s="54" t="s">
        <v>24</v>
      </c>
      <c r="E168" s="40">
        <f t="shared" si="380"/>
        <v>0</v>
      </c>
      <c r="F168" s="40">
        <f t="shared" si="380"/>
        <v>0</v>
      </c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52"/>
      <c r="AS168" s="52"/>
      <c r="AT168" s="43"/>
      <c r="AU168" s="55">
        <f t="shared" si="292"/>
        <v>0</v>
      </c>
      <c r="AV168" s="55">
        <f t="shared" si="293"/>
        <v>0</v>
      </c>
      <c r="AW168" s="55">
        <f t="shared" si="294"/>
        <v>0</v>
      </c>
      <c r="AX168" s="55">
        <f t="shared" si="295"/>
        <v>0</v>
      </c>
      <c r="AZ168" s="55">
        <f t="shared" si="296"/>
        <v>0</v>
      </c>
    </row>
    <row r="169" spans="1:52" ht="13.5" customHeight="1">
      <c r="A169" s="155" t="s">
        <v>101</v>
      </c>
      <c r="B169" s="152" t="s">
        <v>136</v>
      </c>
      <c r="C169" s="152" t="s">
        <v>6</v>
      </c>
      <c r="D169" s="54" t="s">
        <v>3</v>
      </c>
      <c r="E169" s="40">
        <f t="shared" si="380"/>
        <v>0</v>
      </c>
      <c r="F169" s="40">
        <f t="shared" si="380"/>
        <v>0</v>
      </c>
      <c r="G169" s="41"/>
      <c r="H169" s="40">
        <f>H170+H171+H172+H173</f>
        <v>0</v>
      </c>
      <c r="I169" s="40"/>
      <c r="J169" s="41"/>
      <c r="K169" s="40">
        <f t="shared" ref="K169:AO169" si="384">K170+K171+K172+K173</f>
        <v>0</v>
      </c>
      <c r="L169" s="40"/>
      <c r="M169" s="41"/>
      <c r="N169" s="40">
        <f t="shared" si="384"/>
        <v>0</v>
      </c>
      <c r="O169" s="40"/>
      <c r="P169" s="41"/>
      <c r="Q169" s="40">
        <f t="shared" si="384"/>
        <v>0</v>
      </c>
      <c r="R169" s="40"/>
      <c r="S169" s="41"/>
      <c r="T169" s="40">
        <f t="shared" si="384"/>
        <v>0</v>
      </c>
      <c r="U169" s="40"/>
      <c r="V169" s="41"/>
      <c r="W169" s="40">
        <f t="shared" si="384"/>
        <v>0</v>
      </c>
      <c r="X169" s="40"/>
      <c r="Y169" s="41"/>
      <c r="Z169" s="40">
        <f t="shared" si="384"/>
        <v>0</v>
      </c>
      <c r="AA169" s="40"/>
      <c r="AB169" s="41"/>
      <c r="AC169" s="40">
        <f t="shared" si="384"/>
        <v>0</v>
      </c>
      <c r="AD169" s="40"/>
      <c r="AE169" s="41"/>
      <c r="AF169" s="40">
        <f t="shared" si="384"/>
        <v>0</v>
      </c>
      <c r="AG169" s="40"/>
      <c r="AH169" s="41"/>
      <c r="AI169" s="40">
        <f t="shared" si="384"/>
        <v>0</v>
      </c>
      <c r="AJ169" s="40"/>
      <c r="AK169" s="41"/>
      <c r="AL169" s="40">
        <f t="shared" si="384"/>
        <v>0</v>
      </c>
      <c r="AM169" s="40"/>
      <c r="AN169" s="41"/>
      <c r="AO169" s="40">
        <f t="shared" si="384"/>
        <v>0</v>
      </c>
      <c r="AP169" s="40"/>
      <c r="AQ169" s="41"/>
      <c r="AR169" s="52"/>
      <c r="AS169" s="52"/>
      <c r="AT169" s="43"/>
      <c r="AU169" s="55">
        <f t="shared" si="292"/>
        <v>0</v>
      </c>
      <c r="AV169" s="55">
        <f t="shared" si="293"/>
        <v>0</v>
      </c>
      <c r="AW169" s="55">
        <f t="shared" si="294"/>
        <v>0</v>
      </c>
      <c r="AX169" s="55">
        <f t="shared" si="295"/>
        <v>0</v>
      </c>
      <c r="AZ169" s="55">
        <f t="shared" si="296"/>
        <v>0</v>
      </c>
    </row>
    <row r="170" spans="1:52" ht="12.75" customHeight="1">
      <c r="A170" s="155"/>
      <c r="B170" s="152"/>
      <c r="C170" s="152"/>
      <c r="D170" s="54" t="s">
        <v>23</v>
      </c>
      <c r="E170" s="40">
        <f t="shared" si="380"/>
        <v>0</v>
      </c>
      <c r="F170" s="40">
        <f t="shared" si="380"/>
        <v>0</v>
      </c>
      <c r="G170" s="41"/>
      <c r="H170" s="40"/>
      <c r="I170" s="40"/>
      <c r="J170" s="41"/>
      <c r="K170" s="40"/>
      <c r="L170" s="40"/>
      <c r="M170" s="41"/>
      <c r="N170" s="40"/>
      <c r="O170" s="40"/>
      <c r="P170" s="41"/>
      <c r="Q170" s="40"/>
      <c r="R170" s="40"/>
      <c r="S170" s="41"/>
      <c r="T170" s="40"/>
      <c r="U170" s="40"/>
      <c r="V170" s="41"/>
      <c r="W170" s="40"/>
      <c r="X170" s="40"/>
      <c r="Y170" s="41"/>
      <c r="Z170" s="40"/>
      <c r="AA170" s="40"/>
      <c r="AB170" s="41"/>
      <c r="AC170" s="40"/>
      <c r="AD170" s="40"/>
      <c r="AE170" s="41"/>
      <c r="AF170" s="40"/>
      <c r="AG170" s="40"/>
      <c r="AH170" s="41"/>
      <c r="AI170" s="40"/>
      <c r="AJ170" s="40"/>
      <c r="AK170" s="41"/>
      <c r="AL170" s="40"/>
      <c r="AM170" s="40"/>
      <c r="AN170" s="41"/>
      <c r="AO170" s="40"/>
      <c r="AP170" s="40"/>
      <c r="AQ170" s="41"/>
      <c r="AR170" s="52"/>
      <c r="AS170" s="52"/>
      <c r="AT170" s="43"/>
      <c r="AU170" s="55">
        <f t="shared" si="292"/>
        <v>0</v>
      </c>
      <c r="AV170" s="55">
        <f t="shared" si="293"/>
        <v>0</v>
      </c>
      <c r="AW170" s="55">
        <f t="shared" si="294"/>
        <v>0</v>
      </c>
      <c r="AX170" s="55">
        <f t="shared" si="295"/>
        <v>0</v>
      </c>
      <c r="AZ170" s="55">
        <f t="shared" si="296"/>
        <v>0</v>
      </c>
    </row>
    <row r="171" spans="1:52" ht="23.25" customHeight="1">
      <c r="A171" s="155"/>
      <c r="B171" s="152"/>
      <c r="C171" s="152"/>
      <c r="D171" s="54" t="s">
        <v>4</v>
      </c>
      <c r="E171" s="40">
        <f t="shared" si="380"/>
        <v>0</v>
      </c>
      <c r="F171" s="40">
        <f t="shared" si="380"/>
        <v>0</v>
      </c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52"/>
      <c r="AS171" s="52"/>
      <c r="AT171" s="43"/>
      <c r="AU171" s="55">
        <f t="shared" si="292"/>
        <v>0</v>
      </c>
      <c r="AV171" s="55">
        <f t="shared" si="293"/>
        <v>0</v>
      </c>
      <c r="AW171" s="55">
        <f t="shared" si="294"/>
        <v>0</v>
      </c>
      <c r="AX171" s="55">
        <f t="shared" si="295"/>
        <v>0</v>
      </c>
      <c r="AZ171" s="55">
        <f t="shared" si="296"/>
        <v>0</v>
      </c>
    </row>
    <row r="172" spans="1:52" ht="15.75" customHeight="1">
      <c r="A172" s="155"/>
      <c r="B172" s="152"/>
      <c r="C172" s="152"/>
      <c r="D172" s="54" t="s">
        <v>70</v>
      </c>
      <c r="E172" s="40">
        <f t="shared" si="380"/>
        <v>0</v>
      </c>
      <c r="F172" s="40">
        <f t="shared" si="380"/>
        <v>0</v>
      </c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52"/>
      <c r="AS172" s="52"/>
      <c r="AT172" s="43"/>
      <c r="AU172" s="55">
        <f t="shared" si="292"/>
        <v>0</v>
      </c>
      <c r="AV172" s="55">
        <f t="shared" si="293"/>
        <v>0</v>
      </c>
      <c r="AW172" s="55">
        <f t="shared" si="294"/>
        <v>0</v>
      </c>
      <c r="AX172" s="55">
        <f t="shared" si="295"/>
        <v>0</v>
      </c>
      <c r="AZ172" s="55">
        <f t="shared" si="296"/>
        <v>0</v>
      </c>
    </row>
    <row r="173" spans="1:52" ht="14.25" customHeight="1">
      <c r="A173" s="155"/>
      <c r="B173" s="152"/>
      <c r="C173" s="152"/>
      <c r="D173" s="54" t="s">
        <v>24</v>
      </c>
      <c r="E173" s="40">
        <f t="shared" si="380"/>
        <v>0</v>
      </c>
      <c r="F173" s="40">
        <f t="shared" si="380"/>
        <v>0</v>
      </c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52"/>
      <c r="AS173" s="52"/>
      <c r="AT173" s="43"/>
      <c r="AU173" s="55">
        <f t="shared" si="292"/>
        <v>0</v>
      </c>
      <c r="AV173" s="55">
        <f t="shared" si="293"/>
        <v>0</v>
      </c>
      <c r="AW173" s="55">
        <f t="shared" si="294"/>
        <v>0</v>
      </c>
      <c r="AX173" s="55">
        <f t="shared" si="295"/>
        <v>0</v>
      </c>
      <c r="AZ173" s="55">
        <f t="shared" si="296"/>
        <v>0</v>
      </c>
    </row>
    <row r="174" spans="1:52" ht="15.75">
      <c r="A174" s="155" t="s">
        <v>102</v>
      </c>
      <c r="B174" s="152" t="s">
        <v>137</v>
      </c>
      <c r="C174" s="152" t="s">
        <v>6</v>
      </c>
      <c r="D174" s="54" t="s">
        <v>3</v>
      </c>
      <c r="E174" s="40">
        <f t="shared" si="380"/>
        <v>0</v>
      </c>
      <c r="F174" s="40">
        <f t="shared" si="380"/>
        <v>0</v>
      </c>
      <c r="G174" s="41"/>
      <c r="H174" s="40">
        <f>H175+H176+H177+H178</f>
        <v>0</v>
      </c>
      <c r="I174" s="40"/>
      <c r="J174" s="41"/>
      <c r="K174" s="40">
        <f t="shared" ref="K174:AO174" si="385">K175+K176+K177+K178</f>
        <v>0</v>
      </c>
      <c r="L174" s="40"/>
      <c r="M174" s="41"/>
      <c r="N174" s="40">
        <f t="shared" si="385"/>
        <v>0</v>
      </c>
      <c r="O174" s="40"/>
      <c r="P174" s="41"/>
      <c r="Q174" s="40">
        <f t="shared" si="385"/>
        <v>0</v>
      </c>
      <c r="R174" s="40"/>
      <c r="S174" s="41"/>
      <c r="T174" s="40">
        <f t="shared" si="385"/>
        <v>0</v>
      </c>
      <c r="U174" s="40"/>
      <c r="V174" s="41"/>
      <c r="W174" s="40">
        <f t="shared" si="385"/>
        <v>0</v>
      </c>
      <c r="X174" s="40"/>
      <c r="Y174" s="41"/>
      <c r="Z174" s="40">
        <f t="shared" si="385"/>
        <v>0</v>
      </c>
      <c r="AA174" s="40"/>
      <c r="AB174" s="41"/>
      <c r="AC174" s="40">
        <f t="shared" si="385"/>
        <v>0</v>
      </c>
      <c r="AD174" s="40"/>
      <c r="AE174" s="41"/>
      <c r="AF174" s="40">
        <f t="shared" si="385"/>
        <v>0</v>
      </c>
      <c r="AG174" s="40"/>
      <c r="AH174" s="41"/>
      <c r="AI174" s="40">
        <f t="shared" si="385"/>
        <v>0</v>
      </c>
      <c r="AJ174" s="40"/>
      <c r="AK174" s="41"/>
      <c r="AL174" s="40">
        <f t="shared" si="385"/>
        <v>0</v>
      </c>
      <c r="AM174" s="40"/>
      <c r="AN174" s="41"/>
      <c r="AO174" s="40">
        <f t="shared" si="385"/>
        <v>0</v>
      </c>
      <c r="AP174" s="40"/>
      <c r="AQ174" s="41"/>
      <c r="AR174" s="52"/>
      <c r="AS174" s="52"/>
      <c r="AT174" s="43"/>
      <c r="AU174" s="55">
        <f t="shared" si="292"/>
        <v>0</v>
      </c>
      <c r="AV174" s="55">
        <f t="shared" si="293"/>
        <v>0</v>
      </c>
      <c r="AW174" s="55">
        <f t="shared" si="294"/>
        <v>0</v>
      </c>
      <c r="AX174" s="55">
        <f t="shared" si="295"/>
        <v>0</v>
      </c>
      <c r="AZ174" s="55">
        <f t="shared" si="296"/>
        <v>0</v>
      </c>
    </row>
    <row r="175" spans="1:52" ht="15.75">
      <c r="A175" s="155"/>
      <c r="B175" s="152"/>
      <c r="C175" s="152"/>
      <c r="D175" s="54" t="s">
        <v>23</v>
      </c>
      <c r="E175" s="40">
        <f t="shared" si="380"/>
        <v>0</v>
      </c>
      <c r="F175" s="40">
        <f t="shared" si="380"/>
        <v>0</v>
      </c>
      <c r="G175" s="41"/>
      <c r="H175" s="40"/>
      <c r="I175" s="40"/>
      <c r="J175" s="41"/>
      <c r="K175" s="40"/>
      <c r="L175" s="40"/>
      <c r="M175" s="41"/>
      <c r="N175" s="40"/>
      <c r="O175" s="40"/>
      <c r="P175" s="41"/>
      <c r="Q175" s="40"/>
      <c r="R175" s="40"/>
      <c r="S175" s="41"/>
      <c r="T175" s="40"/>
      <c r="U175" s="40"/>
      <c r="V175" s="41"/>
      <c r="W175" s="40"/>
      <c r="X175" s="40"/>
      <c r="Y175" s="41"/>
      <c r="Z175" s="40"/>
      <c r="AA175" s="40"/>
      <c r="AB175" s="41"/>
      <c r="AC175" s="40"/>
      <c r="AD175" s="40"/>
      <c r="AE175" s="41"/>
      <c r="AF175" s="40"/>
      <c r="AG175" s="40"/>
      <c r="AH175" s="41"/>
      <c r="AI175" s="40"/>
      <c r="AJ175" s="40"/>
      <c r="AK175" s="41"/>
      <c r="AL175" s="40"/>
      <c r="AM175" s="40"/>
      <c r="AN175" s="41"/>
      <c r="AO175" s="40"/>
      <c r="AP175" s="40"/>
      <c r="AQ175" s="41"/>
      <c r="AR175" s="52"/>
      <c r="AS175" s="52"/>
      <c r="AT175" s="43"/>
      <c r="AU175" s="55">
        <f t="shared" si="292"/>
        <v>0</v>
      </c>
      <c r="AV175" s="55">
        <f t="shared" si="293"/>
        <v>0</v>
      </c>
      <c r="AW175" s="55">
        <f t="shared" si="294"/>
        <v>0</v>
      </c>
      <c r="AX175" s="55">
        <f t="shared" si="295"/>
        <v>0</v>
      </c>
      <c r="AZ175" s="55">
        <f t="shared" si="296"/>
        <v>0</v>
      </c>
    </row>
    <row r="176" spans="1:52" ht="24">
      <c r="A176" s="155"/>
      <c r="B176" s="152"/>
      <c r="C176" s="152"/>
      <c r="D176" s="54" t="s">
        <v>4</v>
      </c>
      <c r="E176" s="40">
        <f t="shared" si="380"/>
        <v>0</v>
      </c>
      <c r="F176" s="40">
        <f t="shared" si="380"/>
        <v>0</v>
      </c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52"/>
      <c r="AS176" s="52"/>
      <c r="AT176" s="43"/>
      <c r="AU176" s="55">
        <f t="shared" si="292"/>
        <v>0</v>
      </c>
      <c r="AV176" s="55">
        <f t="shared" si="293"/>
        <v>0</v>
      </c>
      <c r="AW176" s="55">
        <f t="shared" si="294"/>
        <v>0</v>
      </c>
      <c r="AX176" s="55">
        <f t="shared" si="295"/>
        <v>0</v>
      </c>
      <c r="AZ176" s="55">
        <f t="shared" si="296"/>
        <v>0</v>
      </c>
    </row>
    <row r="177" spans="1:52" ht="15.75">
      <c r="A177" s="155"/>
      <c r="B177" s="152"/>
      <c r="C177" s="152"/>
      <c r="D177" s="54" t="s">
        <v>70</v>
      </c>
      <c r="E177" s="40">
        <f t="shared" si="380"/>
        <v>0</v>
      </c>
      <c r="F177" s="40">
        <f t="shared" si="380"/>
        <v>0</v>
      </c>
      <c r="G177" s="41"/>
      <c r="H177" s="40"/>
      <c r="I177" s="40"/>
      <c r="J177" s="41"/>
      <c r="K177" s="40"/>
      <c r="L177" s="40"/>
      <c r="M177" s="41"/>
      <c r="N177" s="40"/>
      <c r="O177" s="40"/>
      <c r="P177" s="41"/>
      <c r="Q177" s="40"/>
      <c r="R177" s="40"/>
      <c r="S177" s="41"/>
      <c r="T177" s="40"/>
      <c r="U177" s="40"/>
      <c r="V177" s="41"/>
      <c r="W177" s="40"/>
      <c r="X177" s="40"/>
      <c r="Y177" s="41"/>
      <c r="Z177" s="40"/>
      <c r="AA177" s="40"/>
      <c r="AB177" s="41"/>
      <c r="AC177" s="40"/>
      <c r="AD177" s="40"/>
      <c r="AE177" s="41"/>
      <c r="AF177" s="40"/>
      <c r="AG177" s="40"/>
      <c r="AH177" s="41"/>
      <c r="AI177" s="40"/>
      <c r="AJ177" s="40"/>
      <c r="AK177" s="41"/>
      <c r="AL177" s="40"/>
      <c r="AM177" s="40"/>
      <c r="AN177" s="41"/>
      <c r="AO177" s="40"/>
      <c r="AP177" s="40"/>
      <c r="AQ177" s="41"/>
      <c r="AR177" s="52"/>
      <c r="AS177" s="52"/>
      <c r="AT177" s="43"/>
      <c r="AU177" s="55">
        <f t="shared" si="292"/>
        <v>0</v>
      </c>
      <c r="AV177" s="55">
        <f t="shared" si="293"/>
        <v>0</v>
      </c>
      <c r="AW177" s="55">
        <f t="shared" si="294"/>
        <v>0</v>
      </c>
      <c r="AX177" s="55">
        <f t="shared" si="295"/>
        <v>0</v>
      </c>
      <c r="AZ177" s="55">
        <f t="shared" si="296"/>
        <v>0</v>
      </c>
    </row>
    <row r="178" spans="1:52" ht="15.75">
      <c r="A178" s="155"/>
      <c r="B178" s="152"/>
      <c r="C178" s="152"/>
      <c r="D178" s="54" t="s">
        <v>24</v>
      </c>
      <c r="E178" s="40">
        <f t="shared" si="380"/>
        <v>0</v>
      </c>
      <c r="F178" s="40">
        <f t="shared" si="380"/>
        <v>0</v>
      </c>
      <c r="G178" s="41"/>
      <c r="H178" s="40"/>
      <c r="I178" s="40"/>
      <c r="J178" s="41"/>
      <c r="K178" s="40"/>
      <c r="L178" s="40"/>
      <c r="M178" s="41"/>
      <c r="N178" s="40"/>
      <c r="O178" s="40"/>
      <c r="P178" s="41"/>
      <c r="Q178" s="40"/>
      <c r="R178" s="40"/>
      <c r="S178" s="41"/>
      <c r="T178" s="40"/>
      <c r="U178" s="40"/>
      <c r="V178" s="41"/>
      <c r="W178" s="40"/>
      <c r="X178" s="40"/>
      <c r="Y178" s="41"/>
      <c r="Z178" s="40"/>
      <c r="AA178" s="40"/>
      <c r="AB178" s="41"/>
      <c r="AC178" s="40"/>
      <c r="AD178" s="40"/>
      <c r="AE178" s="41"/>
      <c r="AF178" s="40"/>
      <c r="AG178" s="40"/>
      <c r="AH178" s="41"/>
      <c r="AI178" s="40"/>
      <c r="AJ178" s="40"/>
      <c r="AK178" s="41"/>
      <c r="AL178" s="40"/>
      <c r="AM178" s="40"/>
      <c r="AN178" s="41"/>
      <c r="AO178" s="40"/>
      <c r="AP178" s="40"/>
      <c r="AQ178" s="41"/>
      <c r="AR178" s="52"/>
      <c r="AS178" s="52"/>
      <c r="AT178" s="43"/>
      <c r="AU178" s="55">
        <f t="shared" si="292"/>
        <v>0</v>
      </c>
      <c r="AV178" s="55">
        <f t="shared" si="293"/>
        <v>0</v>
      </c>
      <c r="AW178" s="55">
        <f t="shared" si="294"/>
        <v>0</v>
      </c>
      <c r="AX178" s="55">
        <f t="shared" si="295"/>
        <v>0</v>
      </c>
      <c r="AZ178" s="55">
        <f t="shared" si="296"/>
        <v>0</v>
      </c>
    </row>
    <row r="179" spans="1:52" ht="13.5" customHeight="1">
      <c r="A179" s="155" t="s">
        <v>103</v>
      </c>
      <c r="B179" s="152" t="s">
        <v>138</v>
      </c>
      <c r="C179" s="152" t="s">
        <v>6</v>
      </c>
      <c r="D179" s="54" t="s">
        <v>3</v>
      </c>
      <c r="E179" s="40">
        <f t="shared" si="380"/>
        <v>38.9</v>
      </c>
      <c r="F179" s="40">
        <f t="shared" si="380"/>
        <v>18.7</v>
      </c>
      <c r="G179" s="41">
        <f>F179/E179*100</f>
        <v>48.0719794344473</v>
      </c>
      <c r="H179" s="40">
        <f>H180+H181+H182+H183</f>
        <v>0</v>
      </c>
      <c r="I179" s="40"/>
      <c r="J179" s="38"/>
      <c r="K179" s="40">
        <f t="shared" ref="K179:AP179" si="386">K180+K181+K182+K183</f>
        <v>0</v>
      </c>
      <c r="L179" s="40"/>
      <c r="M179" s="38"/>
      <c r="N179" s="40">
        <f t="shared" si="386"/>
        <v>20</v>
      </c>
      <c r="O179" s="40">
        <f t="shared" si="386"/>
        <v>14.7</v>
      </c>
      <c r="P179" s="41">
        <f t="shared" ref="P179:P182" si="387">O179/N179*100</f>
        <v>73.5</v>
      </c>
      <c r="Q179" s="40">
        <f t="shared" si="386"/>
        <v>0</v>
      </c>
      <c r="R179" s="40"/>
      <c r="S179" s="38"/>
      <c r="T179" s="40">
        <f t="shared" si="386"/>
        <v>0</v>
      </c>
      <c r="U179" s="40"/>
      <c r="V179" s="38"/>
      <c r="W179" s="40">
        <f t="shared" si="386"/>
        <v>0</v>
      </c>
      <c r="X179" s="40">
        <f t="shared" si="386"/>
        <v>0</v>
      </c>
      <c r="Y179" s="38"/>
      <c r="Z179" s="40">
        <f t="shared" si="386"/>
        <v>0</v>
      </c>
      <c r="AA179" s="40"/>
      <c r="AB179" s="38"/>
      <c r="AC179" s="40">
        <f t="shared" si="386"/>
        <v>0</v>
      </c>
      <c r="AD179" s="40"/>
      <c r="AE179" s="38"/>
      <c r="AF179" s="40">
        <f t="shared" si="386"/>
        <v>0</v>
      </c>
      <c r="AG179" s="40"/>
      <c r="AH179" s="38"/>
      <c r="AI179" s="40">
        <f t="shared" si="386"/>
        <v>0</v>
      </c>
      <c r="AJ179" s="40"/>
      <c r="AK179" s="38"/>
      <c r="AL179" s="40">
        <f t="shared" si="386"/>
        <v>0</v>
      </c>
      <c r="AM179" s="40"/>
      <c r="AN179" s="38"/>
      <c r="AO179" s="40">
        <f t="shared" si="386"/>
        <v>18.899999999999999</v>
      </c>
      <c r="AP179" s="40">
        <f t="shared" si="386"/>
        <v>4</v>
      </c>
      <c r="AQ179" s="41">
        <f>AP179/AO179*100</f>
        <v>21.164021164021165</v>
      </c>
      <c r="AR179" s="52"/>
      <c r="AS179" s="52"/>
      <c r="AT179" s="43">
        <f t="shared" si="331"/>
        <v>0.73499999999999999</v>
      </c>
      <c r="AU179" s="55">
        <f t="shared" si="292"/>
        <v>20</v>
      </c>
      <c r="AV179" s="55">
        <f t="shared" si="293"/>
        <v>0</v>
      </c>
      <c r="AW179" s="55">
        <f t="shared" si="294"/>
        <v>0</v>
      </c>
      <c r="AX179" s="55">
        <f t="shared" si="295"/>
        <v>18.899999999999999</v>
      </c>
      <c r="AY179" s="56">
        <f>AY182</f>
        <v>70.099999999999994</v>
      </c>
      <c r="AZ179" s="55">
        <f t="shared" si="296"/>
        <v>31.199999999999996</v>
      </c>
    </row>
    <row r="180" spans="1:52" ht="15" customHeight="1">
      <c r="A180" s="155"/>
      <c r="B180" s="152"/>
      <c r="C180" s="152"/>
      <c r="D180" s="54" t="s">
        <v>23</v>
      </c>
      <c r="E180" s="40">
        <f t="shared" ref="E180:F193" si="388">H180+K180+N180+Q180+T180+W180+Z180+AC180+AF180+AI180+AL180+AO180</f>
        <v>0</v>
      </c>
      <c r="F180" s="40">
        <f t="shared" si="388"/>
        <v>0</v>
      </c>
      <c r="G180" s="41"/>
      <c r="H180" s="40"/>
      <c r="I180" s="40"/>
      <c r="J180" s="38"/>
      <c r="K180" s="40"/>
      <c r="L180" s="40"/>
      <c r="M180" s="38"/>
      <c r="N180" s="40"/>
      <c r="O180" s="40"/>
      <c r="P180" s="41"/>
      <c r="Q180" s="40"/>
      <c r="R180" s="40"/>
      <c r="S180" s="38"/>
      <c r="T180" s="40"/>
      <c r="U180" s="40"/>
      <c r="V180" s="38"/>
      <c r="W180" s="40"/>
      <c r="X180" s="40"/>
      <c r="Y180" s="38"/>
      <c r="Z180" s="40"/>
      <c r="AA180" s="40"/>
      <c r="AB180" s="38"/>
      <c r="AC180" s="40"/>
      <c r="AD180" s="40"/>
      <c r="AE180" s="38"/>
      <c r="AF180" s="40"/>
      <c r="AG180" s="40"/>
      <c r="AH180" s="38"/>
      <c r="AI180" s="40"/>
      <c r="AJ180" s="40"/>
      <c r="AK180" s="38"/>
      <c r="AL180" s="40"/>
      <c r="AM180" s="40"/>
      <c r="AN180" s="38"/>
      <c r="AO180" s="40"/>
      <c r="AP180" s="40"/>
      <c r="AQ180" s="41"/>
      <c r="AR180" s="52"/>
      <c r="AS180" s="52"/>
      <c r="AT180" s="43"/>
      <c r="AU180" s="55">
        <f t="shared" si="292"/>
        <v>0</v>
      </c>
      <c r="AV180" s="55">
        <f t="shared" si="293"/>
        <v>0</v>
      </c>
      <c r="AW180" s="55">
        <f t="shared" si="294"/>
        <v>0</v>
      </c>
      <c r="AX180" s="55">
        <f t="shared" si="295"/>
        <v>0</v>
      </c>
      <c r="AZ180" s="55">
        <f t="shared" si="296"/>
        <v>0</v>
      </c>
    </row>
    <row r="181" spans="1:52" ht="24">
      <c r="A181" s="155"/>
      <c r="B181" s="152"/>
      <c r="C181" s="152"/>
      <c r="D181" s="54" t="s">
        <v>4</v>
      </c>
      <c r="E181" s="40">
        <f t="shared" si="388"/>
        <v>0</v>
      </c>
      <c r="F181" s="40">
        <f t="shared" si="388"/>
        <v>0</v>
      </c>
      <c r="G181" s="41"/>
      <c r="H181" s="41"/>
      <c r="I181" s="41"/>
      <c r="J181" s="38"/>
      <c r="K181" s="41"/>
      <c r="L181" s="41"/>
      <c r="M181" s="38"/>
      <c r="N181" s="41"/>
      <c r="O181" s="41"/>
      <c r="P181" s="41"/>
      <c r="Q181" s="41"/>
      <c r="R181" s="41"/>
      <c r="S181" s="38"/>
      <c r="T181" s="41"/>
      <c r="U181" s="41"/>
      <c r="V181" s="38"/>
      <c r="W181" s="41"/>
      <c r="X181" s="41"/>
      <c r="Y181" s="38"/>
      <c r="Z181" s="41"/>
      <c r="AA181" s="41"/>
      <c r="AB181" s="38"/>
      <c r="AC181" s="41"/>
      <c r="AD181" s="41"/>
      <c r="AE181" s="38"/>
      <c r="AF181" s="41"/>
      <c r="AG181" s="41"/>
      <c r="AH181" s="38"/>
      <c r="AI181" s="41"/>
      <c r="AJ181" s="41"/>
      <c r="AK181" s="38"/>
      <c r="AL181" s="41"/>
      <c r="AM181" s="41"/>
      <c r="AN181" s="38"/>
      <c r="AO181" s="41"/>
      <c r="AP181" s="41"/>
      <c r="AQ181" s="41"/>
      <c r="AR181" s="52"/>
      <c r="AS181" s="52"/>
      <c r="AT181" s="43"/>
      <c r="AU181" s="55">
        <f t="shared" si="292"/>
        <v>0</v>
      </c>
      <c r="AV181" s="55">
        <f t="shared" si="293"/>
        <v>0</v>
      </c>
      <c r="AW181" s="55">
        <f t="shared" si="294"/>
        <v>0</v>
      </c>
      <c r="AX181" s="55">
        <f t="shared" si="295"/>
        <v>0</v>
      </c>
      <c r="AZ181" s="55">
        <f t="shared" si="296"/>
        <v>0</v>
      </c>
    </row>
    <row r="182" spans="1:52" ht="60">
      <c r="A182" s="155"/>
      <c r="B182" s="152"/>
      <c r="C182" s="152"/>
      <c r="D182" s="54" t="s">
        <v>70</v>
      </c>
      <c r="E182" s="40">
        <f t="shared" si="388"/>
        <v>38.9</v>
      </c>
      <c r="F182" s="40">
        <f t="shared" si="388"/>
        <v>18.7</v>
      </c>
      <c r="G182" s="41">
        <f t="shared" ref="G182" si="389">F182/E182*100</f>
        <v>48.0719794344473</v>
      </c>
      <c r="H182" s="40"/>
      <c r="I182" s="40"/>
      <c r="J182" s="38"/>
      <c r="K182" s="40"/>
      <c r="L182" s="40"/>
      <c r="M182" s="38"/>
      <c r="N182" s="40">
        <v>20</v>
      </c>
      <c r="O182" s="40">
        <v>14.7</v>
      </c>
      <c r="P182" s="41">
        <f t="shared" si="387"/>
        <v>73.5</v>
      </c>
      <c r="Q182" s="40"/>
      <c r="R182" s="40"/>
      <c r="S182" s="38"/>
      <c r="T182" s="40"/>
      <c r="U182" s="40"/>
      <c r="V182" s="38"/>
      <c r="W182" s="40"/>
      <c r="X182" s="40"/>
      <c r="Y182" s="38"/>
      <c r="Z182" s="40"/>
      <c r="AA182" s="40"/>
      <c r="AB182" s="38"/>
      <c r="AC182" s="40"/>
      <c r="AD182" s="40"/>
      <c r="AE182" s="38"/>
      <c r="AF182" s="40"/>
      <c r="AG182" s="40"/>
      <c r="AH182" s="38"/>
      <c r="AI182" s="40"/>
      <c r="AJ182" s="40"/>
      <c r="AK182" s="38"/>
      <c r="AL182" s="40"/>
      <c r="AM182" s="40"/>
      <c r="AN182" s="38"/>
      <c r="AO182" s="40">
        <v>18.899999999999999</v>
      </c>
      <c r="AP182" s="40">
        <v>4</v>
      </c>
      <c r="AQ182" s="41">
        <f t="shared" ref="AQ182" si="390">AP182/AO182*100</f>
        <v>21.164021164021165</v>
      </c>
      <c r="AR182" s="115" t="s">
        <v>62</v>
      </c>
      <c r="AS182" s="115" t="s">
        <v>168</v>
      </c>
      <c r="AT182" s="43">
        <f t="shared" si="331"/>
        <v>0.73499999999999999</v>
      </c>
      <c r="AU182" s="55">
        <f t="shared" si="292"/>
        <v>20</v>
      </c>
      <c r="AV182" s="55">
        <f t="shared" si="293"/>
        <v>0</v>
      </c>
      <c r="AW182" s="55">
        <f t="shared" si="294"/>
        <v>0</v>
      </c>
      <c r="AX182" s="55">
        <f t="shared" si="295"/>
        <v>18.899999999999999</v>
      </c>
      <c r="AY182" s="56">
        <v>70.099999999999994</v>
      </c>
      <c r="AZ182" s="55">
        <f t="shared" si="296"/>
        <v>31.199999999999996</v>
      </c>
    </row>
    <row r="183" spans="1:52" ht="14.25" customHeight="1">
      <c r="A183" s="155"/>
      <c r="B183" s="152"/>
      <c r="C183" s="152"/>
      <c r="D183" s="54" t="s">
        <v>24</v>
      </c>
      <c r="E183" s="40">
        <f t="shared" si="388"/>
        <v>0</v>
      </c>
      <c r="F183" s="40">
        <f t="shared" si="388"/>
        <v>0</v>
      </c>
      <c r="G183" s="41"/>
      <c r="H183" s="40"/>
      <c r="I183" s="40"/>
      <c r="J183" s="41"/>
      <c r="K183" s="40"/>
      <c r="L183" s="40"/>
      <c r="M183" s="41"/>
      <c r="N183" s="40"/>
      <c r="O183" s="40"/>
      <c r="P183" s="41"/>
      <c r="Q183" s="40"/>
      <c r="R183" s="40"/>
      <c r="S183" s="41"/>
      <c r="T183" s="40"/>
      <c r="U183" s="40"/>
      <c r="V183" s="41"/>
      <c r="W183" s="40"/>
      <c r="X183" s="40"/>
      <c r="Y183" s="41"/>
      <c r="Z183" s="40"/>
      <c r="AA183" s="40"/>
      <c r="AB183" s="41"/>
      <c r="AC183" s="40"/>
      <c r="AD183" s="40"/>
      <c r="AE183" s="41"/>
      <c r="AF183" s="40"/>
      <c r="AG183" s="40"/>
      <c r="AH183" s="41"/>
      <c r="AI183" s="40"/>
      <c r="AJ183" s="40"/>
      <c r="AK183" s="41"/>
      <c r="AL183" s="40"/>
      <c r="AM183" s="40"/>
      <c r="AN183" s="41"/>
      <c r="AO183" s="40"/>
      <c r="AP183" s="40"/>
      <c r="AQ183" s="41"/>
      <c r="AR183" s="52"/>
      <c r="AS183" s="52"/>
      <c r="AT183" s="43"/>
      <c r="AU183" s="55">
        <f t="shared" si="292"/>
        <v>0</v>
      </c>
      <c r="AV183" s="55">
        <f t="shared" si="293"/>
        <v>0</v>
      </c>
      <c r="AW183" s="55">
        <f t="shared" si="294"/>
        <v>0</v>
      </c>
      <c r="AX183" s="55">
        <f t="shared" si="295"/>
        <v>0</v>
      </c>
      <c r="AZ183" s="55">
        <f t="shared" si="296"/>
        <v>0</v>
      </c>
    </row>
    <row r="184" spans="1:52" ht="14.25" customHeight="1">
      <c r="A184" s="158" t="s">
        <v>104</v>
      </c>
      <c r="B184" s="152" t="s">
        <v>139</v>
      </c>
      <c r="C184" s="152" t="s">
        <v>6</v>
      </c>
      <c r="D184" s="54" t="s">
        <v>3</v>
      </c>
      <c r="E184" s="40">
        <f t="shared" si="388"/>
        <v>47743.899999999994</v>
      </c>
      <c r="F184" s="40">
        <f t="shared" si="388"/>
        <v>47390.400000000001</v>
      </c>
      <c r="G184" s="41">
        <f>F184/E184*100</f>
        <v>99.259591277629198</v>
      </c>
      <c r="H184" s="40">
        <f>H185+H186+H187+H188</f>
        <v>0</v>
      </c>
      <c r="I184" s="40"/>
      <c r="J184" s="38"/>
      <c r="K184" s="40">
        <f t="shared" ref="K184:AP184" si="391">K185+K186+K187+K188</f>
        <v>4982</v>
      </c>
      <c r="L184" s="40">
        <f t="shared" si="391"/>
        <v>4053.4</v>
      </c>
      <c r="M184" s="41">
        <f t="shared" ref="M184:M186" si="392">L184/K184*100</f>
        <v>81.360899237254117</v>
      </c>
      <c r="N184" s="40">
        <f t="shared" si="391"/>
        <v>5389.5</v>
      </c>
      <c r="O184" s="40">
        <f t="shared" si="391"/>
        <v>336.3</v>
      </c>
      <c r="P184" s="41">
        <f t="shared" ref="P184:P187" si="393">O184/N184*100</f>
        <v>6.2399109379348738</v>
      </c>
      <c r="Q184" s="40">
        <f t="shared" si="391"/>
        <v>7619.7</v>
      </c>
      <c r="R184" s="40">
        <f t="shared" si="391"/>
        <v>5277.5</v>
      </c>
      <c r="S184" s="41">
        <f>R184/Q184*100</f>
        <v>69.261257004868952</v>
      </c>
      <c r="T184" s="40">
        <f t="shared" si="391"/>
        <v>6290.2</v>
      </c>
      <c r="U184" s="40">
        <f t="shared" si="391"/>
        <v>7119.5</v>
      </c>
      <c r="V184" s="41">
        <f>U184/T184*100</f>
        <v>113.18400050872785</v>
      </c>
      <c r="W184" s="40">
        <f t="shared" si="391"/>
        <v>0</v>
      </c>
      <c r="X184" s="40">
        <f t="shared" si="391"/>
        <v>5529.7000000000007</v>
      </c>
      <c r="Y184" s="41"/>
      <c r="Z184" s="40">
        <f t="shared" si="391"/>
        <v>0</v>
      </c>
      <c r="AA184" s="40">
        <f t="shared" si="391"/>
        <v>0</v>
      </c>
      <c r="AB184" s="41"/>
      <c r="AC184" s="40">
        <f t="shared" si="391"/>
        <v>0</v>
      </c>
      <c r="AD184" s="40"/>
      <c r="AE184" s="38"/>
      <c r="AF184" s="40">
        <f t="shared" si="391"/>
        <v>0</v>
      </c>
      <c r="AG184" s="40"/>
      <c r="AH184" s="38"/>
      <c r="AI184" s="40">
        <f t="shared" si="391"/>
        <v>6786</v>
      </c>
      <c r="AJ184" s="40">
        <f t="shared" si="391"/>
        <v>6688.4000000000005</v>
      </c>
      <c r="AK184" s="41">
        <f>AJ184/AI184*100</f>
        <v>98.561744768641319</v>
      </c>
      <c r="AL184" s="40">
        <f t="shared" si="391"/>
        <v>7187.2</v>
      </c>
      <c r="AM184" s="40">
        <f t="shared" si="391"/>
        <v>6870.2</v>
      </c>
      <c r="AN184" s="41">
        <f>AM184/AL184*100</f>
        <v>95.589381121994649</v>
      </c>
      <c r="AO184" s="40">
        <f t="shared" si="391"/>
        <v>9489.2999999999993</v>
      </c>
      <c r="AP184" s="40">
        <f t="shared" si="391"/>
        <v>11515.400000000001</v>
      </c>
      <c r="AQ184" s="41">
        <f>AP184/AO184*100</f>
        <v>121.35141685898856</v>
      </c>
      <c r="AR184" s="52"/>
      <c r="AS184" s="52"/>
      <c r="AT184" s="43">
        <f t="shared" si="331"/>
        <v>0.93779571607074708</v>
      </c>
      <c r="AU184" s="55">
        <f t="shared" si="292"/>
        <v>10371.5</v>
      </c>
      <c r="AV184" s="55">
        <f t="shared" si="293"/>
        <v>13909.9</v>
      </c>
      <c r="AW184" s="55">
        <f t="shared" si="294"/>
        <v>0</v>
      </c>
      <c r="AX184" s="55">
        <f t="shared" si="295"/>
        <v>23462.5</v>
      </c>
      <c r="AY184" s="56">
        <f>AY186+AY187</f>
        <v>45625.7</v>
      </c>
      <c r="AZ184" s="55">
        <f t="shared" si="296"/>
        <v>-2118.2000000000044</v>
      </c>
    </row>
    <row r="185" spans="1:52" ht="14.25" customHeight="1">
      <c r="A185" s="158"/>
      <c r="B185" s="152"/>
      <c r="C185" s="152"/>
      <c r="D185" s="54" t="s">
        <v>23</v>
      </c>
      <c r="E185" s="40">
        <f t="shared" si="388"/>
        <v>0</v>
      </c>
      <c r="F185" s="40">
        <f t="shared" si="388"/>
        <v>0</v>
      </c>
      <c r="G185" s="41"/>
      <c r="H185" s="40"/>
      <c r="I185" s="40"/>
      <c r="J185" s="38"/>
      <c r="K185" s="40"/>
      <c r="L185" s="40"/>
      <c r="M185" s="41"/>
      <c r="N185" s="40"/>
      <c r="O185" s="40"/>
      <c r="P185" s="41"/>
      <c r="Q185" s="40"/>
      <c r="R185" s="40"/>
      <c r="S185" s="41"/>
      <c r="T185" s="40"/>
      <c r="U185" s="40"/>
      <c r="V185" s="41"/>
      <c r="W185" s="40"/>
      <c r="X185" s="40"/>
      <c r="Y185" s="38"/>
      <c r="Z185" s="40"/>
      <c r="AA185" s="40"/>
      <c r="AB185" s="41"/>
      <c r="AC185" s="40"/>
      <c r="AD185" s="40"/>
      <c r="AE185" s="38"/>
      <c r="AF185" s="40"/>
      <c r="AG185" s="40"/>
      <c r="AH185" s="38"/>
      <c r="AI185" s="40"/>
      <c r="AJ185" s="40"/>
      <c r="AK185" s="41"/>
      <c r="AL185" s="40"/>
      <c r="AM185" s="40"/>
      <c r="AN185" s="41"/>
      <c r="AO185" s="40"/>
      <c r="AP185" s="40"/>
      <c r="AQ185" s="41"/>
      <c r="AR185" s="52"/>
      <c r="AS185" s="52"/>
      <c r="AT185" s="43"/>
      <c r="AU185" s="55">
        <f t="shared" si="292"/>
        <v>0</v>
      </c>
      <c r="AV185" s="55">
        <f t="shared" si="293"/>
        <v>0</v>
      </c>
      <c r="AW185" s="55">
        <f t="shared" si="294"/>
        <v>0</v>
      </c>
      <c r="AX185" s="55">
        <f t="shared" si="295"/>
        <v>0</v>
      </c>
      <c r="AZ185" s="55">
        <f t="shared" si="296"/>
        <v>0</v>
      </c>
    </row>
    <row r="186" spans="1:52" ht="62.25" customHeight="1">
      <c r="A186" s="158"/>
      <c r="B186" s="152"/>
      <c r="C186" s="152"/>
      <c r="D186" s="54" t="s">
        <v>4</v>
      </c>
      <c r="E186" s="40">
        <f t="shared" si="388"/>
        <v>41125.699999999997</v>
      </c>
      <c r="F186" s="40">
        <f t="shared" si="388"/>
        <v>41117.599999999999</v>
      </c>
      <c r="G186" s="41">
        <f>F186/E186*100</f>
        <v>99.980304286613972</v>
      </c>
      <c r="H186" s="41">
        <v>0</v>
      </c>
      <c r="I186" s="41"/>
      <c r="J186" s="38"/>
      <c r="K186" s="41">
        <v>4982</v>
      </c>
      <c r="L186" s="41">
        <v>4053.4</v>
      </c>
      <c r="M186" s="41">
        <f t="shared" si="392"/>
        <v>81.360899237254117</v>
      </c>
      <c r="N186" s="41">
        <v>4722</v>
      </c>
      <c r="O186" s="41">
        <v>217.6</v>
      </c>
      <c r="P186" s="41">
        <f t="shared" si="393"/>
        <v>4.6082168572638711</v>
      </c>
      <c r="Q186" s="41">
        <v>5501</v>
      </c>
      <c r="R186" s="41">
        <v>3931.5</v>
      </c>
      <c r="S186" s="41">
        <f>R186/Q186*100</f>
        <v>71.468823850209048</v>
      </c>
      <c r="T186" s="41">
        <f>5752-220</f>
        <v>5532</v>
      </c>
      <c r="U186" s="41">
        <v>6229.3</v>
      </c>
      <c r="V186" s="41">
        <f>U186/T186*100</f>
        <v>112.60484454085322</v>
      </c>
      <c r="W186" s="41">
        <f>4622-4622</f>
        <v>0</v>
      </c>
      <c r="X186" s="41">
        <v>4845.1000000000004</v>
      </c>
      <c r="Y186" s="41"/>
      <c r="Z186" s="41">
        <f>358-358</f>
        <v>0</v>
      </c>
      <c r="AA186" s="41"/>
      <c r="AB186" s="41"/>
      <c r="AC186" s="41"/>
      <c r="AD186" s="41"/>
      <c r="AE186" s="38"/>
      <c r="AF186" s="41"/>
      <c r="AG186" s="41"/>
      <c r="AH186" s="38"/>
      <c r="AI186" s="41">
        <f>6381</f>
        <v>6381</v>
      </c>
      <c r="AJ186" s="41">
        <v>5869.3</v>
      </c>
      <c r="AK186" s="41">
        <f>AJ186/AI186*100</f>
        <v>91.980880739695976</v>
      </c>
      <c r="AL186" s="41">
        <v>5697.4</v>
      </c>
      <c r="AM186" s="41">
        <v>5955.3</v>
      </c>
      <c r="AN186" s="41">
        <f>AM186/AL186*100</f>
        <v>104.526626180363</v>
      </c>
      <c r="AO186" s="41">
        <v>8310.2999999999993</v>
      </c>
      <c r="AP186" s="41">
        <v>10016.1</v>
      </c>
      <c r="AQ186" s="41">
        <f>AP186/AO186*100</f>
        <v>120.52633478935779</v>
      </c>
      <c r="AR186" s="142" t="s">
        <v>64</v>
      </c>
      <c r="AS186" s="142" t="s">
        <v>58</v>
      </c>
      <c r="AT186" s="43">
        <f t="shared" si="331"/>
        <v>0.94777147314980159</v>
      </c>
      <c r="AU186" s="55">
        <f t="shared" si="292"/>
        <v>9704</v>
      </c>
      <c r="AV186" s="55">
        <f t="shared" si="293"/>
        <v>11033</v>
      </c>
      <c r="AW186" s="55">
        <f t="shared" si="294"/>
        <v>0</v>
      </c>
      <c r="AX186" s="55">
        <f t="shared" si="295"/>
        <v>20388.699999999997</v>
      </c>
      <c r="AY186" s="56">
        <v>45625.7</v>
      </c>
      <c r="AZ186" s="55">
        <f t="shared" si="296"/>
        <v>4500</v>
      </c>
    </row>
    <row r="187" spans="1:52" ht="60" customHeight="1">
      <c r="A187" s="158"/>
      <c r="B187" s="152"/>
      <c r="C187" s="152"/>
      <c r="D187" s="54" t="s">
        <v>70</v>
      </c>
      <c r="E187" s="40">
        <f t="shared" si="388"/>
        <v>6618.2</v>
      </c>
      <c r="F187" s="40">
        <f t="shared" si="388"/>
        <v>6272.8</v>
      </c>
      <c r="G187" s="41">
        <f>F187/E187*100</f>
        <v>94.781058293795908</v>
      </c>
      <c r="H187" s="40"/>
      <c r="I187" s="40"/>
      <c r="J187" s="38"/>
      <c r="K187" s="40"/>
      <c r="L187" s="40"/>
      <c r="M187" s="41"/>
      <c r="N187" s="40">
        <v>667.5</v>
      </c>
      <c r="O187" s="40">
        <v>118.7</v>
      </c>
      <c r="P187" s="41">
        <f t="shared" si="393"/>
        <v>17.782771535580526</v>
      </c>
      <c r="Q187" s="40">
        <v>2118.6999999999998</v>
      </c>
      <c r="R187" s="40">
        <v>1346</v>
      </c>
      <c r="S187" s="41">
        <f>R187/Q187*100</f>
        <v>63.529522820597542</v>
      </c>
      <c r="T187" s="40">
        <v>758.2</v>
      </c>
      <c r="U187" s="40">
        <v>890.2</v>
      </c>
      <c r="V187" s="41">
        <f>U187/T187*100</f>
        <v>117.40965444473754</v>
      </c>
      <c r="W187" s="40">
        <f>1251.835-1251.835</f>
        <v>0</v>
      </c>
      <c r="X187" s="40">
        <v>684.6</v>
      </c>
      <c r="Y187" s="38"/>
      <c r="Z187" s="40"/>
      <c r="AA187" s="40"/>
      <c r="AB187" s="38"/>
      <c r="AC187" s="40"/>
      <c r="AD187" s="40"/>
      <c r="AE187" s="38"/>
      <c r="AF187" s="40"/>
      <c r="AG187" s="40"/>
      <c r="AH187" s="38"/>
      <c r="AI187" s="40">
        <v>405</v>
      </c>
      <c r="AJ187" s="40">
        <v>819.1</v>
      </c>
      <c r="AK187" s="41">
        <f>AJ187/AI187*100</f>
        <v>202.24691358024694</v>
      </c>
      <c r="AL187" s="40">
        <v>1489.8</v>
      </c>
      <c r="AM187" s="40">
        <v>914.9</v>
      </c>
      <c r="AN187" s="41">
        <f>AM187/AL187*100</f>
        <v>61.41092764129413</v>
      </c>
      <c r="AO187" s="40">
        <v>1179</v>
      </c>
      <c r="AP187" s="40">
        <f>1499.4-0.1</f>
        <v>1499.3000000000002</v>
      </c>
      <c r="AQ187" s="41">
        <f>AP187/AO187*100</f>
        <v>127.16709075487702</v>
      </c>
      <c r="AR187" s="143"/>
      <c r="AS187" s="143"/>
      <c r="AT187" s="43">
        <f t="shared" si="331"/>
        <v>0.87761067804088844</v>
      </c>
      <c r="AU187" s="83">
        <f t="shared" si="292"/>
        <v>667.5</v>
      </c>
      <c r="AV187" s="83">
        <f t="shared" si="293"/>
        <v>2876.8999999999996</v>
      </c>
      <c r="AW187" s="55">
        <f t="shared" si="294"/>
        <v>0</v>
      </c>
      <c r="AX187" s="55">
        <f t="shared" si="295"/>
        <v>3073.8</v>
      </c>
      <c r="AY187" s="56"/>
      <c r="AZ187" s="55">
        <f t="shared" si="296"/>
        <v>-6618.2</v>
      </c>
    </row>
    <row r="188" spans="1:52" ht="14.25" customHeight="1" thickBot="1">
      <c r="A188" s="158"/>
      <c r="B188" s="152"/>
      <c r="C188" s="152"/>
      <c r="D188" s="54" t="s">
        <v>24</v>
      </c>
      <c r="E188" s="40">
        <f t="shared" si="388"/>
        <v>0</v>
      </c>
      <c r="F188" s="40">
        <f t="shared" si="388"/>
        <v>0</v>
      </c>
      <c r="G188" s="41"/>
      <c r="H188" s="40"/>
      <c r="I188" s="40"/>
      <c r="J188" s="41"/>
      <c r="K188" s="40"/>
      <c r="L188" s="40"/>
      <c r="M188" s="41"/>
      <c r="N188" s="40"/>
      <c r="O188" s="40"/>
      <c r="P188" s="41"/>
      <c r="Q188" s="40"/>
      <c r="R188" s="40"/>
      <c r="S188" s="41"/>
      <c r="T188" s="40"/>
      <c r="U188" s="40"/>
      <c r="V188" s="41"/>
      <c r="W188" s="40"/>
      <c r="X188" s="40"/>
      <c r="Y188" s="41"/>
      <c r="Z188" s="40"/>
      <c r="AA188" s="40"/>
      <c r="AB188" s="41"/>
      <c r="AC188" s="40"/>
      <c r="AD188" s="40"/>
      <c r="AE188" s="41"/>
      <c r="AF188" s="40"/>
      <c r="AG188" s="40"/>
      <c r="AH188" s="41"/>
      <c r="AI188" s="40"/>
      <c r="AJ188" s="40"/>
      <c r="AK188" s="41"/>
      <c r="AL188" s="40"/>
      <c r="AM188" s="40"/>
      <c r="AN188" s="41"/>
      <c r="AO188" s="40"/>
      <c r="AP188" s="40"/>
      <c r="AQ188" s="41"/>
      <c r="AR188" s="52"/>
      <c r="AS188" s="52"/>
      <c r="AT188" s="43"/>
      <c r="AU188" s="55">
        <f t="shared" si="292"/>
        <v>0</v>
      </c>
      <c r="AV188" s="55">
        <f t="shared" si="293"/>
        <v>0</v>
      </c>
      <c r="AW188" s="55">
        <f t="shared" si="294"/>
        <v>0</v>
      </c>
      <c r="AX188" s="55">
        <f t="shared" si="295"/>
        <v>0</v>
      </c>
      <c r="AZ188" s="55">
        <f t="shared" si="296"/>
        <v>0</v>
      </c>
    </row>
    <row r="189" spans="1:52" ht="12.75" customHeight="1">
      <c r="A189" s="156" t="s">
        <v>16</v>
      </c>
      <c r="B189" s="156"/>
      <c r="C189" s="156"/>
      <c r="D189" s="58" t="s">
        <v>3</v>
      </c>
      <c r="E189" s="59">
        <f t="shared" si="388"/>
        <v>47822.799999999996</v>
      </c>
      <c r="F189" s="59">
        <f t="shared" si="388"/>
        <v>47449.100000000006</v>
      </c>
      <c r="G189" s="42">
        <f>F189/E189*100</f>
        <v>99.218573567419739</v>
      </c>
      <c r="H189" s="59">
        <f>H190+H191+H192+H193</f>
        <v>0</v>
      </c>
      <c r="I189" s="59"/>
      <c r="J189" s="39"/>
      <c r="K189" s="59">
        <f t="shared" ref="K189:AO189" si="394">K190+K191+K192+K193</f>
        <v>4982</v>
      </c>
      <c r="L189" s="59">
        <f t="shared" si="394"/>
        <v>4053.4</v>
      </c>
      <c r="M189" s="42">
        <f t="shared" ref="M189:M191" si="395">L189/K189*100</f>
        <v>81.360899237254117</v>
      </c>
      <c r="N189" s="59">
        <f t="shared" si="394"/>
        <v>5449.5</v>
      </c>
      <c r="O189" s="59">
        <f t="shared" si="394"/>
        <v>391</v>
      </c>
      <c r="P189" s="42">
        <f t="shared" ref="P189:P192" si="396">O189/N189*100</f>
        <v>7.1749701807505266</v>
      </c>
      <c r="Q189" s="59">
        <f t="shared" si="394"/>
        <v>7619.7</v>
      </c>
      <c r="R189" s="59">
        <f t="shared" ref="R189" si="397">R190+R191+R192+R193</f>
        <v>5277.5</v>
      </c>
      <c r="S189" s="42">
        <f>R189/Q189*100</f>
        <v>69.261257004868952</v>
      </c>
      <c r="T189" s="59">
        <f t="shared" si="394"/>
        <v>6290.2</v>
      </c>
      <c r="U189" s="59">
        <f t="shared" ref="U189" si="398">U190+U191+U192+U193</f>
        <v>7119.5</v>
      </c>
      <c r="V189" s="42">
        <f>U189/T189*100</f>
        <v>113.18400050872785</v>
      </c>
      <c r="W189" s="59">
        <f t="shared" si="394"/>
        <v>0</v>
      </c>
      <c r="X189" s="59">
        <f t="shared" ref="X189" si="399">X190+X191+X192+X193</f>
        <v>5529.7000000000007</v>
      </c>
      <c r="Y189" s="42" t="e">
        <f>X189/W189*100</f>
        <v>#DIV/0!</v>
      </c>
      <c r="Z189" s="59">
        <f t="shared" si="394"/>
        <v>0</v>
      </c>
      <c r="AA189" s="59">
        <f t="shared" ref="AA189" si="400">AA190+AA191+AA192+AA193</f>
        <v>0</v>
      </c>
      <c r="AB189" s="42"/>
      <c r="AC189" s="59">
        <f t="shared" si="394"/>
        <v>0</v>
      </c>
      <c r="AD189" s="59">
        <f t="shared" ref="AD189" si="401">AD190+AD191+AD192+AD193</f>
        <v>0</v>
      </c>
      <c r="AE189" s="39"/>
      <c r="AF189" s="59">
        <f t="shared" si="394"/>
        <v>0</v>
      </c>
      <c r="AG189" s="59">
        <f t="shared" ref="AG189" si="402">AG190+AG191+AG192+AG193</f>
        <v>0</v>
      </c>
      <c r="AH189" s="39"/>
      <c r="AI189" s="59">
        <f t="shared" si="394"/>
        <v>6786</v>
      </c>
      <c r="AJ189" s="59">
        <f t="shared" ref="AJ189" si="403">AJ190+AJ191+AJ192+AJ193</f>
        <v>6688.4000000000005</v>
      </c>
      <c r="AK189" s="42">
        <f>AJ189/AI189*100</f>
        <v>98.561744768641319</v>
      </c>
      <c r="AL189" s="59">
        <f t="shared" si="394"/>
        <v>7187.2</v>
      </c>
      <c r="AM189" s="59">
        <f t="shared" ref="AM189" si="404">AM190+AM191+AM192+AM193</f>
        <v>6870.2</v>
      </c>
      <c r="AN189" s="42">
        <f>AM189/AL189*100</f>
        <v>95.589381121994649</v>
      </c>
      <c r="AO189" s="59">
        <f t="shared" si="394"/>
        <v>9508.1999999999989</v>
      </c>
      <c r="AP189" s="59">
        <f t="shared" ref="AP189" si="405">AP190+AP191+AP192+AP193</f>
        <v>11519.400000000001</v>
      </c>
      <c r="AQ189" s="42">
        <f>AP189/AO189*100</f>
        <v>121.15226856818329</v>
      </c>
      <c r="AR189" s="52"/>
      <c r="AS189" s="52"/>
      <c r="AT189" s="43">
        <f t="shared" si="331"/>
        <v>0.93775479843192944</v>
      </c>
      <c r="AU189" s="101">
        <f t="shared" si="292"/>
        <v>10431.5</v>
      </c>
      <c r="AV189" s="101">
        <f t="shared" si="293"/>
        <v>13909.9</v>
      </c>
      <c r="AW189" s="101">
        <f t="shared" si="294"/>
        <v>0</v>
      </c>
      <c r="AX189" s="101">
        <f t="shared" si="295"/>
        <v>23481.4</v>
      </c>
      <c r="AY189" s="70">
        <f t="shared" ref="AY189" si="406">AY190+AY191+AY192+AY193</f>
        <v>45735.799999999996</v>
      </c>
      <c r="AZ189" s="55">
        <f t="shared" si="296"/>
        <v>-2087.0000000000073</v>
      </c>
    </row>
    <row r="190" spans="1:52" ht="12.75" customHeight="1">
      <c r="A190" s="156"/>
      <c r="B190" s="156"/>
      <c r="C190" s="156"/>
      <c r="D190" s="58" t="s">
        <v>23</v>
      </c>
      <c r="E190" s="59">
        <f t="shared" si="388"/>
        <v>0</v>
      </c>
      <c r="F190" s="59">
        <f t="shared" si="388"/>
        <v>0</v>
      </c>
      <c r="G190" s="42"/>
      <c r="H190" s="42">
        <f>H165+H170+H175+H180+H185</f>
        <v>0</v>
      </c>
      <c r="I190" s="42"/>
      <c r="J190" s="39"/>
      <c r="K190" s="42">
        <f t="shared" ref="K190:AO193" si="407">K165+K170+K175+K180+K185</f>
        <v>0</v>
      </c>
      <c r="L190" s="42">
        <f t="shared" si="407"/>
        <v>0</v>
      </c>
      <c r="M190" s="42"/>
      <c r="N190" s="42">
        <f t="shared" si="407"/>
        <v>0</v>
      </c>
      <c r="O190" s="42">
        <f t="shared" si="407"/>
        <v>0</v>
      </c>
      <c r="P190" s="42"/>
      <c r="Q190" s="42">
        <f t="shared" si="407"/>
        <v>0</v>
      </c>
      <c r="R190" s="42">
        <f t="shared" ref="R190" si="408">R165+R170+R175+R180+R185</f>
        <v>0</v>
      </c>
      <c r="S190" s="42"/>
      <c r="T190" s="42">
        <f t="shared" si="407"/>
        <v>0</v>
      </c>
      <c r="U190" s="42">
        <f t="shared" ref="U190" si="409">U165+U170+U175+U180+U185</f>
        <v>0</v>
      </c>
      <c r="V190" s="42"/>
      <c r="W190" s="42">
        <f t="shared" si="407"/>
        <v>0</v>
      </c>
      <c r="X190" s="42">
        <f t="shared" ref="X190" si="410">X165+X170+X175+X180+X185</f>
        <v>0</v>
      </c>
      <c r="Y190" s="42"/>
      <c r="Z190" s="42">
        <f t="shared" si="407"/>
        <v>0</v>
      </c>
      <c r="AA190" s="42">
        <f t="shared" ref="AA190" si="411">AA165+AA170+AA175+AA180+AA185</f>
        <v>0</v>
      </c>
      <c r="AB190" s="42"/>
      <c r="AC190" s="42">
        <f t="shared" si="407"/>
        <v>0</v>
      </c>
      <c r="AD190" s="42">
        <f t="shared" ref="AD190" si="412">AD165+AD170+AD175+AD180+AD185</f>
        <v>0</v>
      </c>
      <c r="AE190" s="39"/>
      <c r="AF190" s="42">
        <f t="shared" si="407"/>
        <v>0</v>
      </c>
      <c r="AG190" s="42">
        <f t="shared" ref="AG190" si="413">AG165+AG170+AG175+AG180+AG185</f>
        <v>0</v>
      </c>
      <c r="AH190" s="39"/>
      <c r="AI190" s="42">
        <f t="shared" si="407"/>
        <v>0</v>
      </c>
      <c r="AJ190" s="42">
        <f t="shared" ref="AJ190" si="414">AJ165+AJ170+AJ175+AJ180+AJ185</f>
        <v>0</v>
      </c>
      <c r="AK190" s="42"/>
      <c r="AL190" s="42">
        <f t="shared" si="407"/>
        <v>0</v>
      </c>
      <c r="AM190" s="42">
        <f t="shared" ref="AM190" si="415">AM165+AM170+AM175+AM180+AM185</f>
        <v>0</v>
      </c>
      <c r="AN190" s="42"/>
      <c r="AO190" s="42">
        <f t="shared" si="407"/>
        <v>0</v>
      </c>
      <c r="AP190" s="42">
        <f t="shared" ref="AP190" si="416">AP165+AP170+AP175+AP180+AP185</f>
        <v>0</v>
      </c>
      <c r="AQ190" s="42"/>
      <c r="AR190" s="52"/>
      <c r="AS190" s="52"/>
      <c r="AT190" s="43"/>
      <c r="AU190" s="101">
        <f t="shared" si="292"/>
        <v>0</v>
      </c>
      <c r="AV190" s="101">
        <f t="shared" si="293"/>
        <v>0</v>
      </c>
      <c r="AW190" s="101">
        <f t="shared" si="294"/>
        <v>0</v>
      </c>
      <c r="AX190" s="101">
        <f t="shared" si="295"/>
        <v>0</v>
      </c>
      <c r="AY190" s="71">
        <f t="shared" ref="AY190:AY193" si="417">AY165+AY170+AY175+AY180+AY185</f>
        <v>0</v>
      </c>
      <c r="AZ190" s="55">
        <f t="shared" si="296"/>
        <v>0</v>
      </c>
    </row>
    <row r="191" spans="1:52" ht="24">
      <c r="A191" s="156"/>
      <c r="B191" s="156"/>
      <c r="C191" s="156"/>
      <c r="D191" s="58" t="s">
        <v>4</v>
      </c>
      <c r="E191" s="59">
        <f t="shared" si="388"/>
        <v>41125.699999999997</v>
      </c>
      <c r="F191" s="59">
        <f t="shared" si="388"/>
        <v>41117.599999999999</v>
      </c>
      <c r="G191" s="42">
        <f t="shared" ref="G191:G192" si="418">F191/E191*100</f>
        <v>99.980304286613972</v>
      </c>
      <c r="H191" s="42">
        <f>H166+H171+H176+H181+H186</f>
        <v>0</v>
      </c>
      <c r="I191" s="42"/>
      <c r="J191" s="39"/>
      <c r="K191" s="42">
        <f t="shared" si="407"/>
        <v>4982</v>
      </c>
      <c r="L191" s="42">
        <f t="shared" si="407"/>
        <v>4053.4</v>
      </c>
      <c r="M191" s="42">
        <f t="shared" si="395"/>
        <v>81.360899237254117</v>
      </c>
      <c r="N191" s="42">
        <f t="shared" si="407"/>
        <v>4722</v>
      </c>
      <c r="O191" s="42">
        <f t="shared" si="407"/>
        <v>217.6</v>
      </c>
      <c r="P191" s="42">
        <f t="shared" si="396"/>
        <v>4.6082168572638711</v>
      </c>
      <c r="Q191" s="42">
        <f t="shared" si="407"/>
        <v>5501</v>
      </c>
      <c r="R191" s="42">
        <f t="shared" ref="R191" si="419">R166+R171+R176+R181+R186</f>
        <v>3931.5</v>
      </c>
      <c r="S191" s="42">
        <f t="shared" ref="S191:S192" si="420">R191/Q191*100</f>
        <v>71.468823850209048</v>
      </c>
      <c r="T191" s="42">
        <f t="shared" si="407"/>
        <v>5532</v>
      </c>
      <c r="U191" s="42">
        <f t="shared" ref="U191" si="421">U166+U171+U176+U181+U186</f>
        <v>6229.3</v>
      </c>
      <c r="V191" s="42">
        <f t="shared" ref="V191:V192" si="422">U191/T191*100</f>
        <v>112.60484454085322</v>
      </c>
      <c r="W191" s="42">
        <f t="shared" si="407"/>
        <v>0</v>
      </c>
      <c r="X191" s="42">
        <f t="shared" ref="X191" si="423">X166+X171+X176+X181+X186</f>
        <v>4845.1000000000004</v>
      </c>
      <c r="Y191" s="42" t="e">
        <f t="shared" ref="Y191:Y192" si="424">X191/W191*100</f>
        <v>#DIV/0!</v>
      </c>
      <c r="Z191" s="42">
        <f t="shared" si="407"/>
        <v>0</v>
      </c>
      <c r="AA191" s="42">
        <f t="shared" ref="AA191" si="425">AA166+AA171+AA176+AA181+AA186</f>
        <v>0</v>
      </c>
      <c r="AB191" s="42"/>
      <c r="AC191" s="42">
        <f t="shared" si="407"/>
        <v>0</v>
      </c>
      <c r="AD191" s="42">
        <f t="shared" ref="AD191" si="426">AD166+AD171+AD176+AD181+AD186</f>
        <v>0</v>
      </c>
      <c r="AE191" s="39"/>
      <c r="AF191" s="42">
        <f t="shared" si="407"/>
        <v>0</v>
      </c>
      <c r="AG191" s="42">
        <f t="shared" ref="AG191" si="427">AG166+AG171+AG176+AG181+AG186</f>
        <v>0</v>
      </c>
      <c r="AH191" s="39"/>
      <c r="AI191" s="42">
        <f t="shared" si="407"/>
        <v>6381</v>
      </c>
      <c r="AJ191" s="42">
        <f t="shared" ref="AJ191" si="428">AJ166+AJ171+AJ176+AJ181+AJ186</f>
        <v>5869.3</v>
      </c>
      <c r="AK191" s="42">
        <f t="shared" ref="AK191:AK192" si="429">AJ191/AI191*100</f>
        <v>91.980880739695976</v>
      </c>
      <c r="AL191" s="42">
        <f t="shared" si="407"/>
        <v>5697.4</v>
      </c>
      <c r="AM191" s="42">
        <f t="shared" ref="AM191" si="430">AM166+AM171+AM176+AM181+AM186</f>
        <v>5955.3</v>
      </c>
      <c r="AN191" s="42">
        <f t="shared" ref="AN191:AN192" si="431">AM191/AL191*100</f>
        <v>104.526626180363</v>
      </c>
      <c r="AO191" s="42">
        <f t="shared" si="407"/>
        <v>8310.2999999999993</v>
      </c>
      <c r="AP191" s="42">
        <f t="shared" ref="AP191" si="432">AP166+AP171+AP176+AP181+AP186</f>
        <v>10016.1</v>
      </c>
      <c r="AQ191" s="42">
        <f t="shared" ref="AQ191:AQ192" si="433">AP191/AO191*100</f>
        <v>120.52633478935779</v>
      </c>
      <c r="AR191" s="52"/>
      <c r="AS191" s="52"/>
      <c r="AT191" s="43">
        <f t="shared" si="331"/>
        <v>0.94777147314980159</v>
      </c>
      <c r="AU191" s="101">
        <f t="shared" si="292"/>
        <v>9704</v>
      </c>
      <c r="AV191" s="101">
        <f t="shared" si="293"/>
        <v>11033</v>
      </c>
      <c r="AW191" s="101">
        <f t="shared" si="294"/>
        <v>0</v>
      </c>
      <c r="AX191" s="101">
        <f t="shared" si="295"/>
        <v>20388.699999999997</v>
      </c>
      <c r="AY191" s="71">
        <f t="shared" si="417"/>
        <v>45625.7</v>
      </c>
      <c r="AZ191" s="55">
        <f t="shared" si="296"/>
        <v>4500</v>
      </c>
    </row>
    <row r="192" spans="1:52" ht="12.75" customHeight="1">
      <c r="A192" s="156"/>
      <c r="B192" s="156"/>
      <c r="C192" s="156"/>
      <c r="D192" s="58" t="s">
        <v>70</v>
      </c>
      <c r="E192" s="59">
        <f t="shared" si="388"/>
        <v>6697.1</v>
      </c>
      <c r="F192" s="59">
        <f t="shared" si="388"/>
        <v>6331.5</v>
      </c>
      <c r="G192" s="42">
        <f t="shared" si="418"/>
        <v>94.540920697018109</v>
      </c>
      <c r="H192" s="42">
        <f>H167+H172+H177+H182+H187</f>
        <v>0</v>
      </c>
      <c r="I192" s="42"/>
      <c r="J192" s="39"/>
      <c r="K192" s="42">
        <f t="shared" si="407"/>
        <v>0</v>
      </c>
      <c r="L192" s="42">
        <f t="shared" si="407"/>
        <v>0</v>
      </c>
      <c r="M192" s="42"/>
      <c r="N192" s="42">
        <f t="shared" si="407"/>
        <v>727.5</v>
      </c>
      <c r="O192" s="42">
        <f t="shared" si="407"/>
        <v>173.4</v>
      </c>
      <c r="P192" s="42">
        <f t="shared" si="396"/>
        <v>23.835051546391753</v>
      </c>
      <c r="Q192" s="42">
        <f t="shared" si="407"/>
        <v>2118.6999999999998</v>
      </c>
      <c r="R192" s="42">
        <f t="shared" ref="R192" si="434">R167+R172+R177+R182+R187</f>
        <v>1346</v>
      </c>
      <c r="S192" s="42">
        <f t="shared" si="420"/>
        <v>63.529522820597542</v>
      </c>
      <c r="T192" s="42">
        <f t="shared" si="407"/>
        <v>758.2</v>
      </c>
      <c r="U192" s="42">
        <f t="shared" ref="U192" si="435">U167+U172+U177+U182+U187</f>
        <v>890.2</v>
      </c>
      <c r="V192" s="42">
        <f t="shared" si="422"/>
        <v>117.40965444473754</v>
      </c>
      <c r="W192" s="42">
        <f t="shared" si="407"/>
        <v>0</v>
      </c>
      <c r="X192" s="42">
        <f t="shared" ref="X192" si="436">X167+X172+X177+X182+X187</f>
        <v>684.6</v>
      </c>
      <c r="Y192" s="42" t="e">
        <f t="shared" si="424"/>
        <v>#DIV/0!</v>
      </c>
      <c r="Z192" s="42">
        <f t="shared" si="407"/>
        <v>0</v>
      </c>
      <c r="AA192" s="42">
        <f t="shared" ref="AA192" si="437">AA167+AA172+AA177+AA182+AA187</f>
        <v>0</v>
      </c>
      <c r="AB192" s="39"/>
      <c r="AC192" s="42">
        <f t="shared" si="407"/>
        <v>0</v>
      </c>
      <c r="AD192" s="42">
        <f t="shared" ref="AD192" si="438">AD167+AD172+AD177+AD182+AD187</f>
        <v>0</v>
      </c>
      <c r="AE192" s="39"/>
      <c r="AF192" s="42">
        <f t="shared" si="407"/>
        <v>0</v>
      </c>
      <c r="AG192" s="42">
        <f t="shared" ref="AG192" si="439">AG167+AG172+AG177+AG182+AG187</f>
        <v>0</v>
      </c>
      <c r="AH192" s="39"/>
      <c r="AI192" s="42">
        <f t="shared" si="407"/>
        <v>405</v>
      </c>
      <c r="AJ192" s="42">
        <f t="shared" ref="AJ192" si="440">AJ167+AJ172+AJ177+AJ182+AJ187</f>
        <v>819.1</v>
      </c>
      <c r="AK192" s="42">
        <f t="shared" si="429"/>
        <v>202.24691358024694</v>
      </c>
      <c r="AL192" s="42">
        <f t="shared" si="407"/>
        <v>1489.8</v>
      </c>
      <c r="AM192" s="42">
        <f t="shared" ref="AM192" si="441">AM167+AM172+AM177+AM182+AM187</f>
        <v>914.9</v>
      </c>
      <c r="AN192" s="42">
        <f t="shared" si="431"/>
        <v>61.41092764129413</v>
      </c>
      <c r="AO192" s="42">
        <f t="shared" si="407"/>
        <v>1197.9000000000001</v>
      </c>
      <c r="AP192" s="42">
        <f t="shared" ref="AP192" si="442">AP167+AP172+AP177+AP182+AP187</f>
        <v>1503.3000000000002</v>
      </c>
      <c r="AQ192" s="42">
        <f t="shared" si="433"/>
        <v>125.49461557726021</v>
      </c>
      <c r="AR192" s="52"/>
      <c r="AS192" s="52"/>
      <c r="AT192" s="43">
        <f t="shared" si="331"/>
        <v>0.87798225196392199</v>
      </c>
      <c r="AU192" s="101">
        <f t="shared" si="292"/>
        <v>727.5</v>
      </c>
      <c r="AV192" s="101">
        <f t="shared" si="293"/>
        <v>2876.8999999999996</v>
      </c>
      <c r="AW192" s="101">
        <f t="shared" si="294"/>
        <v>0</v>
      </c>
      <c r="AX192" s="101">
        <f t="shared" si="295"/>
        <v>3092.7</v>
      </c>
      <c r="AY192" s="71">
        <f t="shared" si="417"/>
        <v>110.1</v>
      </c>
      <c r="AZ192" s="55">
        <f t="shared" si="296"/>
        <v>-6587</v>
      </c>
    </row>
    <row r="193" spans="1:52" ht="12.75" customHeight="1" thickBot="1">
      <c r="A193" s="156"/>
      <c r="B193" s="156"/>
      <c r="C193" s="156"/>
      <c r="D193" s="58" t="s">
        <v>24</v>
      </c>
      <c r="E193" s="59">
        <f t="shared" si="388"/>
        <v>0</v>
      </c>
      <c r="F193" s="59">
        <f t="shared" si="388"/>
        <v>0</v>
      </c>
      <c r="G193" s="42"/>
      <c r="H193" s="42">
        <f>H168+H173+H178+H183+H188</f>
        <v>0</v>
      </c>
      <c r="I193" s="42"/>
      <c r="J193" s="42"/>
      <c r="K193" s="42">
        <f t="shared" si="407"/>
        <v>0</v>
      </c>
      <c r="L193" s="42">
        <f t="shared" si="407"/>
        <v>0</v>
      </c>
      <c r="M193" s="42"/>
      <c r="N193" s="42">
        <f t="shared" si="407"/>
        <v>0</v>
      </c>
      <c r="O193" s="42">
        <f t="shared" si="407"/>
        <v>0</v>
      </c>
      <c r="P193" s="42"/>
      <c r="Q193" s="42">
        <f t="shared" si="407"/>
        <v>0</v>
      </c>
      <c r="R193" s="42">
        <f t="shared" ref="R193" si="443">R168+R173+R178+R183+R188</f>
        <v>0</v>
      </c>
      <c r="S193" s="42"/>
      <c r="T193" s="42">
        <f t="shared" si="407"/>
        <v>0</v>
      </c>
      <c r="U193" s="42">
        <f t="shared" ref="U193" si="444">U168+U173+U178+U183+U188</f>
        <v>0</v>
      </c>
      <c r="V193" s="42"/>
      <c r="W193" s="42">
        <f t="shared" si="407"/>
        <v>0</v>
      </c>
      <c r="X193" s="42">
        <f t="shared" ref="X193" si="445">X168+X173+X178+X183+X188</f>
        <v>0</v>
      </c>
      <c r="Y193" s="42"/>
      <c r="Z193" s="42">
        <f t="shared" si="407"/>
        <v>0</v>
      </c>
      <c r="AA193" s="42">
        <f t="shared" ref="AA193" si="446">AA168+AA173+AA178+AA183+AA188</f>
        <v>0</v>
      </c>
      <c r="AB193" s="42"/>
      <c r="AC193" s="42">
        <f t="shared" si="407"/>
        <v>0</v>
      </c>
      <c r="AD193" s="42">
        <f t="shared" ref="AD193" si="447">AD168+AD173+AD178+AD183+AD188</f>
        <v>0</v>
      </c>
      <c r="AE193" s="42"/>
      <c r="AF193" s="42">
        <f t="shared" si="407"/>
        <v>0</v>
      </c>
      <c r="AG193" s="42"/>
      <c r="AH193" s="42"/>
      <c r="AI193" s="42">
        <f t="shared" si="407"/>
        <v>0</v>
      </c>
      <c r="AJ193" s="42"/>
      <c r="AK193" s="42"/>
      <c r="AL193" s="42">
        <f t="shared" si="407"/>
        <v>0</v>
      </c>
      <c r="AM193" s="42"/>
      <c r="AN193" s="42"/>
      <c r="AO193" s="42">
        <f t="shared" si="407"/>
        <v>0</v>
      </c>
      <c r="AP193" s="41"/>
      <c r="AQ193" s="42"/>
      <c r="AR193" s="52"/>
      <c r="AS193" s="52"/>
      <c r="AT193" s="43"/>
      <c r="AU193" s="101">
        <f t="shared" si="292"/>
        <v>0</v>
      </c>
      <c r="AV193" s="101">
        <f t="shared" si="293"/>
        <v>0</v>
      </c>
      <c r="AW193" s="101">
        <f t="shared" si="294"/>
        <v>0</v>
      </c>
      <c r="AX193" s="101">
        <f t="shared" si="295"/>
        <v>0</v>
      </c>
      <c r="AY193" s="72">
        <f t="shared" si="417"/>
        <v>0</v>
      </c>
      <c r="AZ193" s="55">
        <f t="shared" si="296"/>
        <v>0</v>
      </c>
    </row>
    <row r="194" spans="1:52" ht="15.75" customHeight="1">
      <c r="A194" s="54" t="s">
        <v>105</v>
      </c>
      <c r="B194" s="53" t="s">
        <v>17</v>
      </c>
      <c r="C194" s="53"/>
      <c r="D194" s="53"/>
      <c r="E194" s="112"/>
      <c r="F194" s="112"/>
      <c r="G194" s="112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2"/>
      <c r="AS194" s="52"/>
      <c r="AT194" s="43"/>
      <c r="AU194" s="55">
        <f t="shared" si="292"/>
        <v>0</v>
      </c>
      <c r="AV194" s="55">
        <f t="shared" si="293"/>
        <v>0</v>
      </c>
      <c r="AW194" s="55">
        <f t="shared" si="294"/>
        <v>0</v>
      </c>
      <c r="AX194" s="55">
        <f t="shared" si="295"/>
        <v>0</v>
      </c>
      <c r="AZ194" s="55">
        <f t="shared" si="296"/>
        <v>0</v>
      </c>
    </row>
    <row r="195" spans="1:52" ht="14.25" customHeight="1">
      <c r="A195" s="157" t="s">
        <v>106</v>
      </c>
      <c r="B195" s="152" t="s">
        <v>140</v>
      </c>
      <c r="C195" s="152" t="s">
        <v>6</v>
      </c>
      <c r="D195" s="54" t="s">
        <v>3</v>
      </c>
      <c r="E195" s="40">
        <f t="shared" ref="E195:F214" si="448">H195+K195+N195+Q195+T195+W195+Z195+AC195+AF195+AI195+AL195+AO195</f>
        <v>248.7</v>
      </c>
      <c r="F195" s="40">
        <f t="shared" si="448"/>
        <v>248.7</v>
      </c>
      <c r="G195" s="41">
        <f>F195/E195*100</f>
        <v>100</v>
      </c>
      <c r="H195" s="40">
        <f>H196+H197+H198+H199</f>
        <v>0</v>
      </c>
      <c r="I195" s="40"/>
      <c r="J195" s="38"/>
      <c r="K195" s="40">
        <f t="shared" ref="K195:AP195" si="449">K196+K197+K198+K199</f>
        <v>22.9</v>
      </c>
      <c r="L195" s="40">
        <f t="shared" si="449"/>
        <v>22.9</v>
      </c>
      <c r="M195" s="41">
        <f t="shared" ref="M195:M198" si="450">L195/K195*100</f>
        <v>100</v>
      </c>
      <c r="N195" s="40">
        <f t="shared" si="449"/>
        <v>0</v>
      </c>
      <c r="O195" s="40"/>
      <c r="P195" s="41"/>
      <c r="Q195" s="40">
        <f t="shared" si="449"/>
        <v>0</v>
      </c>
      <c r="R195" s="40"/>
      <c r="S195" s="38"/>
      <c r="T195" s="40">
        <f t="shared" si="449"/>
        <v>0</v>
      </c>
      <c r="U195" s="40"/>
      <c r="V195" s="38"/>
      <c r="W195" s="40">
        <f t="shared" si="449"/>
        <v>80.400000000000006</v>
      </c>
      <c r="X195" s="40">
        <f t="shared" si="449"/>
        <v>80.400000000000006</v>
      </c>
      <c r="Y195" s="41">
        <f>X195/W195*100</f>
        <v>100</v>
      </c>
      <c r="Z195" s="40">
        <f t="shared" si="449"/>
        <v>3.6</v>
      </c>
      <c r="AA195" s="40">
        <f t="shared" si="449"/>
        <v>3.6</v>
      </c>
      <c r="AB195" s="41">
        <f>AA195/Z195*100</f>
        <v>100</v>
      </c>
      <c r="AC195" s="40">
        <f t="shared" si="449"/>
        <v>0</v>
      </c>
      <c r="AD195" s="40"/>
      <c r="AE195" s="38"/>
      <c r="AF195" s="40">
        <f t="shared" si="449"/>
        <v>0</v>
      </c>
      <c r="AG195" s="40"/>
      <c r="AH195" s="38"/>
      <c r="AI195" s="40">
        <f t="shared" si="449"/>
        <v>100</v>
      </c>
      <c r="AJ195" s="40">
        <f t="shared" si="449"/>
        <v>100</v>
      </c>
      <c r="AK195" s="41">
        <f>AJ195/AI195*100</f>
        <v>100</v>
      </c>
      <c r="AL195" s="40">
        <f t="shared" si="449"/>
        <v>41.8</v>
      </c>
      <c r="AM195" s="40">
        <f t="shared" si="449"/>
        <v>41.8</v>
      </c>
      <c r="AN195" s="41">
        <f>AM195/AL195*100</f>
        <v>100</v>
      </c>
      <c r="AO195" s="40">
        <f t="shared" si="449"/>
        <v>0</v>
      </c>
      <c r="AP195" s="40">
        <f t="shared" si="449"/>
        <v>0</v>
      </c>
      <c r="AQ195" s="38"/>
      <c r="AR195" s="52"/>
      <c r="AS195" s="52"/>
      <c r="AT195" s="43">
        <f t="shared" si="331"/>
        <v>1</v>
      </c>
      <c r="AU195" s="55">
        <f t="shared" si="292"/>
        <v>22.9</v>
      </c>
      <c r="AV195" s="55">
        <f t="shared" si="293"/>
        <v>80.400000000000006</v>
      </c>
      <c r="AW195" s="55">
        <f t="shared" si="294"/>
        <v>3.6</v>
      </c>
      <c r="AX195" s="55">
        <f t="shared" si="295"/>
        <v>141.80000000000001</v>
      </c>
      <c r="AY195" s="56">
        <f>AY198</f>
        <v>271.69</v>
      </c>
      <c r="AZ195" s="55">
        <f t="shared" si="296"/>
        <v>22.989999999999981</v>
      </c>
    </row>
    <row r="196" spans="1:52" ht="15" customHeight="1">
      <c r="A196" s="157"/>
      <c r="B196" s="152"/>
      <c r="C196" s="152"/>
      <c r="D196" s="54" t="s">
        <v>23</v>
      </c>
      <c r="E196" s="40">
        <f t="shared" si="448"/>
        <v>0</v>
      </c>
      <c r="F196" s="40">
        <f t="shared" si="448"/>
        <v>0</v>
      </c>
      <c r="G196" s="41"/>
      <c r="H196" s="40">
        <v>0</v>
      </c>
      <c r="I196" s="40"/>
      <c r="J196" s="38"/>
      <c r="K196" s="40">
        <v>0</v>
      </c>
      <c r="L196" s="40"/>
      <c r="M196" s="41"/>
      <c r="N196" s="40">
        <v>0</v>
      </c>
      <c r="O196" s="40"/>
      <c r="P196" s="41"/>
      <c r="Q196" s="40"/>
      <c r="R196" s="40"/>
      <c r="S196" s="38"/>
      <c r="T196" s="40"/>
      <c r="U196" s="40"/>
      <c r="V196" s="38"/>
      <c r="W196" s="40"/>
      <c r="X196" s="40"/>
      <c r="Y196" s="41"/>
      <c r="Z196" s="40"/>
      <c r="AA196" s="40"/>
      <c r="AB196" s="41"/>
      <c r="AC196" s="40"/>
      <c r="AD196" s="40"/>
      <c r="AE196" s="38"/>
      <c r="AF196" s="40"/>
      <c r="AG196" s="40"/>
      <c r="AH196" s="38"/>
      <c r="AI196" s="40"/>
      <c r="AJ196" s="40"/>
      <c r="AK196" s="41"/>
      <c r="AL196" s="40"/>
      <c r="AM196" s="40"/>
      <c r="AN196" s="41"/>
      <c r="AO196" s="40"/>
      <c r="AP196" s="40"/>
      <c r="AQ196" s="38"/>
      <c r="AR196" s="52"/>
      <c r="AS196" s="52"/>
      <c r="AT196" s="43"/>
      <c r="AU196" s="55">
        <f t="shared" si="292"/>
        <v>0</v>
      </c>
      <c r="AV196" s="55">
        <f t="shared" si="293"/>
        <v>0</v>
      </c>
      <c r="AW196" s="55">
        <f t="shared" si="294"/>
        <v>0</v>
      </c>
      <c r="AX196" s="55">
        <f t="shared" si="295"/>
        <v>0</v>
      </c>
      <c r="AZ196" s="55">
        <f t="shared" si="296"/>
        <v>0</v>
      </c>
    </row>
    <row r="197" spans="1:52" ht="24.75" customHeight="1">
      <c r="A197" s="157"/>
      <c r="B197" s="152"/>
      <c r="C197" s="152"/>
      <c r="D197" s="54" t="s">
        <v>4</v>
      </c>
      <c r="E197" s="40">
        <f t="shared" si="448"/>
        <v>0</v>
      </c>
      <c r="F197" s="40">
        <f t="shared" si="448"/>
        <v>0</v>
      </c>
      <c r="G197" s="41"/>
      <c r="H197" s="40"/>
      <c r="I197" s="40"/>
      <c r="J197" s="38"/>
      <c r="K197" s="40"/>
      <c r="L197" s="40"/>
      <c r="M197" s="41"/>
      <c r="N197" s="40"/>
      <c r="O197" s="40"/>
      <c r="P197" s="41"/>
      <c r="Q197" s="40"/>
      <c r="R197" s="40"/>
      <c r="S197" s="38"/>
      <c r="T197" s="40"/>
      <c r="U197" s="40"/>
      <c r="V197" s="38"/>
      <c r="W197" s="40"/>
      <c r="X197" s="40"/>
      <c r="Y197" s="41"/>
      <c r="Z197" s="40"/>
      <c r="AA197" s="40"/>
      <c r="AB197" s="41"/>
      <c r="AC197" s="40"/>
      <c r="AD197" s="40"/>
      <c r="AE197" s="38"/>
      <c r="AF197" s="40"/>
      <c r="AG197" s="40"/>
      <c r="AH197" s="38"/>
      <c r="AI197" s="40"/>
      <c r="AJ197" s="40"/>
      <c r="AK197" s="41"/>
      <c r="AL197" s="40"/>
      <c r="AM197" s="40"/>
      <c r="AN197" s="41"/>
      <c r="AO197" s="40"/>
      <c r="AP197" s="40"/>
      <c r="AQ197" s="38"/>
      <c r="AR197" s="52"/>
      <c r="AS197" s="52"/>
      <c r="AT197" s="43"/>
      <c r="AU197" s="55">
        <f t="shared" si="292"/>
        <v>0</v>
      </c>
      <c r="AV197" s="55">
        <f t="shared" si="293"/>
        <v>0</v>
      </c>
      <c r="AW197" s="55">
        <f t="shared" si="294"/>
        <v>0</v>
      </c>
      <c r="AX197" s="55">
        <f t="shared" si="295"/>
        <v>0</v>
      </c>
      <c r="AZ197" s="55">
        <f t="shared" si="296"/>
        <v>0</v>
      </c>
    </row>
    <row r="198" spans="1:52" ht="119.25" customHeight="1">
      <c r="A198" s="157"/>
      <c r="B198" s="152"/>
      <c r="C198" s="152"/>
      <c r="D198" s="54" t="s">
        <v>70</v>
      </c>
      <c r="E198" s="40">
        <f t="shared" si="448"/>
        <v>248.7</v>
      </c>
      <c r="F198" s="40">
        <f t="shared" si="448"/>
        <v>248.7</v>
      </c>
      <c r="G198" s="41">
        <f t="shared" ref="G198" si="451">F198/E198*100</f>
        <v>100</v>
      </c>
      <c r="H198" s="40"/>
      <c r="I198" s="40"/>
      <c r="J198" s="38"/>
      <c r="K198" s="40">
        <v>22.9</v>
      </c>
      <c r="L198" s="40">
        <v>22.9</v>
      </c>
      <c r="M198" s="41">
        <f t="shared" si="450"/>
        <v>100</v>
      </c>
      <c r="N198" s="40"/>
      <c r="O198" s="40"/>
      <c r="P198" s="41"/>
      <c r="Q198" s="40"/>
      <c r="R198" s="40"/>
      <c r="S198" s="38"/>
      <c r="T198" s="40"/>
      <c r="U198" s="40"/>
      <c r="V198" s="38"/>
      <c r="W198" s="40">
        <v>80.400000000000006</v>
      </c>
      <c r="X198" s="40">
        <v>80.400000000000006</v>
      </c>
      <c r="Y198" s="41">
        <f t="shared" ref="Y198" si="452">X198/W198*100</f>
        <v>100</v>
      </c>
      <c r="Z198" s="40">
        <v>3.6</v>
      </c>
      <c r="AA198" s="40">
        <v>3.6</v>
      </c>
      <c r="AB198" s="41">
        <f t="shared" ref="AB198" si="453">AA198/Z198*100</f>
        <v>100</v>
      </c>
      <c r="AC198" s="40"/>
      <c r="AD198" s="40"/>
      <c r="AE198" s="38"/>
      <c r="AF198" s="40"/>
      <c r="AG198" s="40"/>
      <c r="AH198" s="38"/>
      <c r="AI198" s="40">
        <v>100</v>
      </c>
      <c r="AJ198" s="40">
        <v>100</v>
      </c>
      <c r="AK198" s="41">
        <f t="shared" ref="AK198" si="454">AJ198/AI198*100</f>
        <v>100</v>
      </c>
      <c r="AL198" s="40">
        <v>41.8</v>
      </c>
      <c r="AM198" s="40">
        <v>41.8</v>
      </c>
      <c r="AN198" s="41">
        <f t="shared" ref="AN198" si="455">AM198/AL198*100</f>
        <v>100</v>
      </c>
      <c r="AO198" s="40"/>
      <c r="AP198" s="40"/>
      <c r="AQ198" s="38"/>
      <c r="AR198" s="116" t="s">
        <v>182</v>
      </c>
      <c r="AS198" s="116"/>
      <c r="AT198" s="43">
        <f t="shared" si="331"/>
        <v>1</v>
      </c>
      <c r="AU198" s="55">
        <f t="shared" ref="AU198:AU239" si="456">H198+K198+N198</f>
        <v>22.9</v>
      </c>
      <c r="AV198" s="57">
        <f t="shared" ref="AV198:AV239" si="457">Q198+T198+W198</f>
        <v>80.400000000000006</v>
      </c>
      <c r="AW198" s="55">
        <f t="shared" ref="AW198:AW239" si="458">Z198+AC198+AF198</f>
        <v>3.6</v>
      </c>
      <c r="AX198" s="55">
        <f t="shared" ref="AX198:AX239" si="459">AI198+AL198+AO198</f>
        <v>141.80000000000001</v>
      </c>
      <c r="AY198" s="56">
        <f>164.68+107.01</f>
        <v>271.69</v>
      </c>
      <c r="AZ198" s="55">
        <f t="shared" ref="AZ198:AZ240" si="460">AY198-AU198-AV198-AW198-AX198</f>
        <v>22.989999999999981</v>
      </c>
    </row>
    <row r="199" spans="1:52" ht="15" customHeight="1">
      <c r="A199" s="157"/>
      <c r="B199" s="152"/>
      <c r="C199" s="152"/>
      <c r="D199" s="54" t="s">
        <v>24</v>
      </c>
      <c r="E199" s="40">
        <f t="shared" si="448"/>
        <v>0</v>
      </c>
      <c r="F199" s="40">
        <f t="shared" si="448"/>
        <v>0</v>
      </c>
      <c r="G199" s="41"/>
      <c r="H199" s="40"/>
      <c r="I199" s="40"/>
      <c r="J199" s="41"/>
      <c r="K199" s="40"/>
      <c r="L199" s="40"/>
      <c r="M199" s="41"/>
      <c r="N199" s="40"/>
      <c r="O199" s="40"/>
      <c r="P199" s="41"/>
      <c r="Q199" s="40"/>
      <c r="R199" s="40"/>
      <c r="S199" s="41"/>
      <c r="T199" s="40"/>
      <c r="U199" s="40"/>
      <c r="V199" s="41"/>
      <c r="W199" s="40"/>
      <c r="X199" s="40"/>
      <c r="Y199" s="41"/>
      <c r="Z199" s="40"/>
      <c r="AA199" s="40"/>
      <c r="AB199" s="41"/>
      <c r="AC199" s="40"/>
      <c r="AD199" s="40"/>
      <c r="AE199" s="41"/>
      <c r="AF199" s="40"/>
      <c r="AG199" s="40"/>
      <c r="AH199" s="41"/>
      <c r="AI199" s="40"/>
      <c r="AJ199" s="40"/>
      <c r="AK199" s="41"/>
      <c r="AL199" s="40"/>
      <c r="AM199" s="40"/>
      <c r="AN199" s="41"/>
      <c r="AO199" s="40"/>
      <c r="AP199" s="40"/>
      <c r="AQ199" s="41"/>
      <c r="AR199" s="52"/>
      <c r="AS199" s="52"/>
      <c r="AT199" s="43"/>
      <c r="AU199" s="55">
        <f t="shared" si="456"/>
        <v>0</v>
      </c>
      <c r="AV199" s="55">
        <f t="shared" si="457"/>
        <v>0</v>
      </c>
      <c r="AW199" s="55">
        <f t="shared" si="458"/>
        <v>0</v>
      </c>
      <c r="AX199" s="55">
        <f t="shared" si="459"/>
        <v>0</v>
      </c>
      <c r="AZ199" s="55">
        <f t="shared" si="460"/>
        <v>0</v>
      </c>
    </row>
    <row r="200" spans="1:52" ht="15.75">
      <c r="A200" s="157" t="s">
        <v>141</v>
      </c>
      <c r="B200" s="152" t="s">
        <v>142</v>
      </c>
      <c r="C200" s="152" t="s">
        <v>6</v>
      </c>
      <c r="D200" s="54" t="s">
        <v>3</v>
      </c>
      <c r="E200" s="40">
        <f t="shared" si="448"/>
        <v>147.5</v>
      </c>
      <c r="F200" s="40">
        <f t="shared" si="448"/>
        <v>147.5</v>
      </c>
      <c r="G200" s="41">
        <f>F200/E200*100</f>
        <v>100</v>
      </c>
      <c r="H200" s="40">
        <f>H201+H202+H203+H204</f>
        <v>0</v>
      </c>
      <c r="I200" s="40"/>
      <c r="J200" s="38"/>
      <c r="K200" s="40">
        <f t="shared" ref="K200:AO200" si="461">K201+K202+K203+K204</f>
        <v>0</v>
      </c>
      <c r="L200" s="40"/>
      <c r="M200" s="38"/>
      <c r="N200" s="40">
        <f t="shared" si="461"/>
        <v>0</v>
      </c>
      <c r="O200" s="40"/>
      <c r="P200" s="38"/>
      <c r="Q200" s="40">
        <f t="shared" si="461"/>
        <v>0</v>
      </c>
      <c r="R200" s="40"/>
      <c r="S200" s="38"/>
      <c r="T200" s="40">
        <f t="shared" si="461"/>
        <v>0</v>
      </c>
      <c r="U200" s="40"/>
      <c r="V200" s="38"/>
      <c r="W200" s="40">
        <f t="shared" si="461"/>
        <v>0</v>
      </c>
      <c r="X200" s="40"/>
      <c r="Y200" s="38"/>
      <c r="Z200" s="40">
        <f t="shared" si="461"/>
        <v>0</v>
      </c>
      <c r="AA200" s="40"/>
      <c r="AB200" s="38"/>
      <c r="AC200" s="40">
        <f t="shared" si="461"/>
        <v>0</v>
      </c>
      <c r="AD200" s="40"/>
      <c r="AE200" s="38"/>
      <c r="AF200" s="40">
        <f t="shared" si="461"/>
        <v>0</v>
      </c>
      <c r="AG200" s="40"/>
      <c r="AH200" s="38"/>
      <c r="AI200" s="40">
        <f t="shared" si="461"/>
        <v>147.5</v>
      </c>
      <c r="AJ200" s="40">
        <f t="shared" si="461"/>
        <v>147.5</v>
      </c>
      <c r="AK200" s="41">
        <f>AJ200/AI200*100</f>
        <v>100</v>
      </c>
      <c r="AL200" s="40">
        <f t="shared" si="461"/>
        <v>0</v>
      </c>
      <c r="AM200" s="40"/>
      <c r="AN200" s="38"/>
      <c r="AO200" s="40">
        <f t="shared" si="461"/>
        <v>0</v>
      </c>
      <c r="AP200" s="40"/>
      <c r="AQ200" s="38"/>
      <c r="AR200" s="52"/>
      <c r="AS200" s="52"/>
      <c r="AT200" s="43">
        <f t="shared" si="331"/>
        <v>1</v>
      </c>
      <c r="AU200" s="55">
        <f t="shared" si="456"/>
        <v>0</v>
      </c>
      <c r="AV200" s="55">
        <f t="shared" si="457"/>
        <v>0</v>
      </c>
      <c r="AW200" s="55">
        <f t="shared" si="458"/>
        <v>0</v>
      </c>
      <c r="AX200" s="55">
        <f t="shared" si="459"/>
        <v>147.5</v>
      </c>
      <c r="AY200" s="56">
        <f>AY203</f>
        <v>147.5</v>
      </c>
      <c r="AZ200" s="55">
        <f t="shared" si="460"/>
        <v>0</v>
      </c>
    </row>
    <row r="201" spans="1:52" ht="15.75">
      <c r="A201" s="157"/>
      <c r="B201" s="152"/>
      <c r="C201" s="152"/>
      <c r="D201" s="54" t="s">
        <v>23</v>
      </c>
      <c r="E201" s="40">
        <f t="shared" si="448"/>
        <v>0</v>
      </c>
      <c r="F201" s="40">
        <f t="shared" si="448"/>
        <v>0</v>
      </c>
      <c r="G201" s="41"/>
      <c r="H201" s="40"/>
      <c r="I201" s="40"/>
      <c r="J201" s="38"/>
      <c r="K201" s="40"/>
      <c r="L201" s="40"/>
      <c r="M201" s="38"/>
      <c r="N201" s="40"/>
      <c r="O201" s="40"/>
      <c r="P201" s="38"/>
      <c r="Q201" s="40"/>
      <c r="R201" s="40"/>
      <c r="S201" s="38"/>
      <c r="T201" s="40"/>
      <c r="U201" s="40"/>
      <c r="V201" s="38"/>
      <c r="W201" s="40"/>
      <c r="X201" s="40"/>
      <c r="Y201" s="38"/>
      <c r="Z201" s="40"/>
      <c r="AA201" s="40"/>
      <c r="AB201" s="38"/>
      <c r="AC201" s="40"/>
      <c r="AD201" s="40"/>
      <c r="AE201" s="38"/>
      <c r="AF201" s="40"/>
      <c r="AG201" s="40"/>
      <c r="AH201" s="38"/>
      <c r="AI201" s="40"/>
      <c r="AJ201" s="40"/>
      <c r="AK201" s="41"/>
      <c r="AL201" s="40"/>
      <c r="AM201" s="40"/>
      <c r="AN201" s="38"/>
      <c r="AO201" s="40"/>
      <c r="AP201" s="40"/>
      <c r="AQ201" s="38"/>
      <c r="AR201" s="52"/>
      <c r="AS201" s="52"/>
      <c r="AT201" s="43"/>
      <c r="AU201" s="55">
        <f t="shared" si="456"/>
        <v>0</v>
      </c>
      <c r="AV201" s="55">
        <f t="shared" si="457"/>
        <v>0</v>
      </c>
      <c r="AW201" s="55">
        <f t="shared" si="458"/>
        <v>0</v>
      </c>
      <c r="AX201" s="55">
        <f t="shared" si="459"/>
        <v>0</v>
      </c>
      <c r="AZ201" s="55">
        <f t="shared" si="460"/>
        <v>0</v>
      </c>
    </row>
    <row r="202" spans="1:52" ht="24" customHeight="1">
      <c r="A202" s="157"/>
      <c r="B202" s="152"/>
      <c r="C202" s="152"/>
      <c r="D202" s="54" t="s">
        <v>4</v>
      </c>
      <c r="E202" s="40">
        <f t="shared" si="448"/>
        <v>0</v>
      </c>
      <c r="F202" s="40">
        <f t="shared" si="448"/>
        <v>0</v>
      </c>
      <c r="G202" s="41"/>
      <c r="H202" s="40"/>
      <c r="I202" s="40"/>
      <c r="J202" s="38"/>
      <c r="K202" s="40"/>
      <c r="L202" s="40"/>
      <c r="M202" s="38"/>
      <c r="N202" s="40"/>
      <c r="O202" s="40"/>
      <c r="P202" s="38"/>
      <c r="Q202" s="40"/>
      <c r="R202" s="40"/>
      <c r="S202" s="38"/>
      <c r="T202" s="40"/>
      <c r="U202" s="40"/>
      <c r="V202" s="38"/>
      <c r="W202" s="40"/>
      <c r="X202" s="40"/>
      <c r="Y202" s="38"/>
      <c r="Z202" s="40"/>
      <c r="AA202" s="40"/>
      <c r="AB202" s="38"/>
      <c r="AC202" s="40"/>
      <c r="AD202" s="40"/>
      <c r="AE202" s="38"/>
      <c r="AF202" s="40"/>
      <c r="AG202" s="40"/>
      <c r="AH202" s="38"/>
      <c r="AI202" s="40"/>
      <c r="AJ202" s="40"/>
      <c r="AK202" s="41"/>
      <c r="AL202" s="40"/>
      <c r="AM202" s="40"/>
      <c r="AN202" s="38"/>
      <c r="AO202" s="40"/>
      <c r="AP202" s="40"/>
      <c r="AQ202" s="38"/>
      <c r="AR202" s="52"/>
      <c r="AS202" s="52"/>
      <c r="AT202" s="43"/>
      <c r="AU202" s="55">
        <f t="shared" si="456"/>
        <v>0</v>
      </c>
      <c r="AV202" s="55">
        <f t="shared" si="457"/>
        <v>0</v>
      </c>
      <c r="AW202" s="55">
        <f t="shared" si="458"/>
        <v>0</v>
      </c>
      <c r="AX202" s="55">
        <f t="shared" si="459"/>
        <v>0</v>
      </c>
      <c r="AZ202" s="55">
        <f t="shared" si="460"/>
        <v>0</v>
      </c>
    </row>
    <row r="203" spans="1:52" ht="278.25" customHeight="1">
      <c r="A203" s="157"/>
      <c r="B203" s="152"/>
      <c r="C203" s="152"/>
      <c r="D203" s="54" t="s">
        <v>70</v>
      </c>
      <c r="E203" s="40">
        <f t="shared" si="448"/>
        <v>147.5</v>
      </c>
      <c r="F203" s="40">
        <f t="shared" si="448"/>
        <v>147.5</v>
      </c>
      <c r="G203" s="41">
        <f t="shared" ref="G203" si="462">F203/E203*100</f>
        <v>100</v>
      </c>
      <c r="H203" s="40"/>
      <c r="I203" s="40"/>
      <c r="J203" s="38"/>
      <c r="K203" s="40"/>
      <c r="L203" s="40"/>
      <c r="M203" s="38"/>
      <c r="N203" s="40"/>
      <c r="O203" s="40"/>
      <c r="P203" s="38"/>
      <c r="Q203" s="40"/>
      <c r="R203" s="40"/>
      <c r="S203" s="38"/>
      <c r="T203" s="40"/>
      <c r="U203" s="40"/>
      <c r="V203" s="38"/>
      <c r="W203" s="40"/>
      <c r="X203" s="40"/>
      <c r="Y203" s="38"/>
      <c r="Z203" s="40"/>
      <c r="AA203" s="40"/>
      <c r="AB203" s="38"/>
      <c r="AC203" s="40"/>
      <c r="AD203" s="40"/>
      <c r="AE203" s="38"/>
      <c r="AF203" s="40"/>
      <c r="AG203" s="40"/>
      <c r="AH203" s="38"/>
      <c r="AI203" s="40">
        <v>147.5</v>
      </c>
      <c r="AJ203" s="40">
        <v>147.5</v>
      </c>
      <c r="AK203" s="41">
        <f t="shared" ref="AK203" si="463">AJ203/AI203*100</f>
        <v>100</v>
      </c>
      <c r="AL203" s="40"/>
      <c r="AM203" s="40"/>
      <c r="AN203" s="38"/>
      <c r="AO203" s="40"/>
      <c r="AP203" s="40"/>
      <c r="AQ203" s="38"/>
      <c r="AR203" s="116" t="s">
        <v>183</v>
      </c>
      <c r="AS203" s="52"/>
      <c r="AT203" s="43">
        <f t="shared" si="331"/>
        <v>1</v>
      </c>
      <c r="AU203" s="55">
        <f t="shared" si="456"/>
        <v>0</v>
      </c>
      <c r="AV203" s="55">
        <f t="shared" si="457"/>
        <v>0</v>
      </c>
      <c r="AW203" s="55">
        <f t="shared" si="458"/>
        <v>0</v>
      </c>
      <c r="AX203" s="55">
        <f t="shared" si="459"/>
        <v>147.5</v>
      </c>
      <c r="AY203" s="56">
        <v>147.5</v>
      </c>
      <c r="AZ203" s="55">
        <f t="shared" si="460"/>
        <v>0</v>
      </c>
    </row>
    <row r="204" spans="1:52" ht="15.75">
      <c r="A204" s="157"/>
      <c r="B204" s="152"/>
      <c r="C204" s="152"/>
      <c r="D204" s="54" t="s">
        <v>24</v>
      </c>
      <c r="E204" s="40">
        <f t="shared" si="448"/>
        <v>0</v>
      </c>
      <c r="F204" s="40">
        <f t="shared" si="448"/>
        <v>0</v>
      </c>
      <c r="G204" s="41"/>
      <c r="H204" s="40"/>
      <c r="I204" s="40"/>
      <c r="J204" s="41"/>
      <c r="K204" s="40"/>
      <c r="L204" s="40"/>
      <c r="M204" s="41"/>
      <c r="N204" s="40"/>
      <c r="O204" s="40"/>
      <c r="P204" s="41"/>
      <c r="Q204" s="40"/>
      <c r="R204" s="40"/>
      <c r="S204" s="41"/>
      <c r="T204" s="40"/>
      <c r="U204" s="40"/>
      <c r="V204" s="41"/>
      <c r="W204" s="40"/>
      <c r="X204" s="40"/>
      <c r="Y204" s="41"/>
      <c r="Z204" s="40"/>
      <c r="AA204" s="40"/>
      <c r="AB204" s="41"/>
      <c r="AC204" s="40"/>
      <c r="AD204" s="40"/>
      <c r="AE204" s="41"/>
      <c r="AF204" s="40"/>
      <c r="AG204" s="40"/>
      <c r="AH204" s="41"/>
      <c r="AI204" s="40"/>
      <c r="AJ204" s="40"/>
      <c r="AK204" s="41"/>
      <c r="AL204" s="40"/>
      <c r="AM204" s="40"/>
      <c r="AN204" s="41"/>
      <c r="AO204" s="40"/>
      <c r="AP204" s="40"/>
      <c r="AQ204" s="41"/>
      <c r="AR204" s="52"/>
      <c r="AS204" s="52"/>
      <c r="AT204" s="43"/>
      <c r="AU204" s="55">
        <f t="shared" si="456"/>
        <v>0</v>
      </c>
      <c r="AV204" s="55">
        <f t="shared" si="457"/>
        <v>0</v>
      </c>
      <c r="AW204" s="55">
        <f t="shared" si="458"/>
        <v>0</v>
      </c>
      <c r="AX204" s="55">
        <f t="shared" si="459"/>
        <v>0</v>
      </c>
      <c r="AZ204" s="55">
        <f t="shared" si="460"/>
        <v>0</v>
      </c>
    </row>
    <row r="205" spans="1:52" ht="15.75" customHeight="1">
      <c r="A205" s="157" t="s">
        <v>107</v>
      </c>
      <c r="B205" s="152" t="s">
        <v>143</v>
      </c>
      <c r="C205" s="152" t="s">
        <v>6</v>
      </c>
      <c r="D205" s="54" t="s">
        <v>3</v>
      </c>
      <c r="E205" s="40">
        <f t="shared" si="448"/>
        <v>232.89999999999998</v>
      </c>
      <c r="F205" s="40">
        <f t="shared" si="448"/>
        <v>232.89999999999998</v>
      </c>
      <c r="G205" s="41">
        <f>F205/E205*100</f>
        <v>100</v>
      </c>
      <c r="H205" s="40">
        <f>H206+H207+H208+H209</f>
        <v>0</v>
      </c>
      <c r="I205" s="40"/>
      <c r="J205" s="38"/>
      <c r="K205" s="40">
        <f t="shared" ref="K205:AO205" si="464">K206+K207+K208+K209</f>
        <v>0</v>
      </c>
      <c r="L205" s="40"/>
      <c r="M205" s="38"/>
      <c r="N205" s="40">
        <f t="shared" si="464"/>
        <v>100</v>
      </c>
      <c r="O205" s="40">
        <f t="shared" si="464"/>
        <v>100</v>
      </c>
      <c r="P205" s="41">
        <f t="shared" ref="P205:P208" si="465">O205/N205*100</f>
        <v>100</v>
      </c>
      <c r="Q205" s="40">
        <f t="shared" si="464"/>
        <v>0</v>
      </c>
      <c r="R205" s="40"/>
      <c r="S205" s="38"/>
      <c r="T205" s="40">
        <f t="shared" si="464"/>
        <v>58.2</v>
      </c>
      <c r="U205" s="40">
        <f t="shared" si="464"/>
        <v>58.2</v>
      </c>
      <c r="V205" s="41">
        <f>U205/T205*100</f>
        <v>100</v>
      </c>
      <c r="W205" s="40">
        <f t="shared" si="464"/>
        <v>5.0999999999999996</v>
      </c>
      <c r="X205" s="40">
        <f t="shared" si="464"/>
        <v>5.0999999999999996</v>
      </c>
      <c r="Y205" s="41">
        <f>X205/W205*100</f>
        <v>100</v>
      </c>
      <c r="Z205" s="40">
        <f t="shared" si="464"/>
        <v>0</v>
      </c>
      <c r="AA205" s="40"/>
      <c r="AB205" s="38"/>
      <c r="AC205" s="40">
        <f t="shared" si="464"/>
        <v>0</v>
      </c>
      <c r="AD205" s="40"/>
      <c r="AE205" s="38"/>
      <c r="AF205" s="40">
        <f t="shared" si="464"/>
        <v>0</v>
      </c>
      <c r="AG205" s="40">
        <f t="shared" si="464"/>
        <v>0</v>
      </c>
      <c r="AH205" s="38"/>
      <c r="AI205" s="40">
        <f t="shared" si="464"/>
        <v>0</v>
      </c>
      <c r="AJ205" s="40">
        <f t="shared" si="464"/>
        <v>0</v>
      </c>
      <c r="AK205" s="38"/>
      <c r="AL205" s="40">
        <f t="shared" si="464"/>
        <v>69.599999999999994</v>
      </c>
      <c r="AM205" s="40">
        <f t="shared" si="464"/>
        <v>69.599999999999994</v>
      </c>
      <c r="AN205" s="41">
        <f>AM205/AL205*100</f>
        <v>100</v>
      </c>
      <c r="AO205" s="40">
        <f t="shared" si="464"/>
        <v>0</v>
      </c>
      <c r="AP205" s="40"/>
      <c r="AQ205" s="38"/>
      <c r="AR205" s="52"/>
      <c r="AS205" s="52"/>
      <c r="AT205" s="43">
        <f t="shared" si="331"/>
        <v>1</v>
      </c>
      <c r="AU205" s="55">
        <f t="shared" si="456"/>
        <v>100</v>
      </c>
      <c r="AV205" s="55">
        <f t="shared" si="457"/>
        <v>63.300000000000004</v>
      </c>
      <c r="AW205" s="55">
        <f t="shared" si="458"/>
        <v>0</v>
      </c>
      <c r="AX205" s="55">
        <f t="shared" si="459"/>
        <v>69.599999999999994</v>
      </c>
      <c r="AY205" s="44">
        <f>AY208</f>
        <v>232.91</v>
      </c>
      <c r="AZ205" s="55">
        <f t="shared" si="460"/>
        <v>9.9999999999909051E-3</v>
      </c>
    </row>
    <row r="206" spans="1:52" ht="15.75">
      <c r="A206" s="157"/>
      <c r="B206" s="152"/>
      <c r="C206" s="152"/>
      <c r="D206" s="54" t="s">
        <v>23</v>
      </c>
      <c r="E206" s="40">
        <f t="shared" si="448"/>
        <v>0</v>
      </c>
      <c r="F206" s="40">
        <f t="shared" si="448"/>
        <v>0</v>
      </c>
      <c r="G206" s="41"/>
      <c r="H206" s="40"/>
      <c r="I206" s="40"/>
      <c r="J206" s="38"/>
      <c r="K206" s="40"/>
      <c r="L206" s="40"/>
      <c r="M206" s="38"/>
      <c r="N206" s="40"/>
      <c r="O206" s="40"/>
      <c r="P206" s="41"/>
      <c r="Q206" s="40"/>
      <c r="R206" s="40"/>
      <c r="S206" s="38"/>
      <c r="T206" s="40"/>
      <c r="U206" s="40"/>
      <c r="V206" s="41"/>
      <c r="W206" s="40"/>
      <c r="X206" s="40"/>
      <c r="Y206" s="41"/>
      <c r="Z206" s="40"/>
      <c r="AA206" s="40"/>
      <c r="AB206" s="38"/>
      <c r="AC206" s="40"/>
      <c r="AD206" s="40"/>
      <c r="AE206" s="38"/>
      <c r="AF206" s="40"/>
      <c r="AG206" s="40"/>
      <c r="AH206" s="38"/>
      <c r="AI206" s="40"/>
      <c r="AJ206" s="40"/>
      <c r="AK206" s="38"/>
      <c r="AL206" s="40"/>
      <c r="AM206" s="40"/>
      <c r="AN206" s="41"/>
      <c r="AO206" s="40"/>
      <c r="AP206" s="40"/>
      <c r="AQ206" s="38"/>
      <c r="AR206" s="52"/>
      <c r="AS206" s="52"/>
      <c r="AT206" s="43"/>
      <c r="AU206" s="55">
        <f t="shared" si="456"/>
        <v>0</v>
      </c>
      <c r="AV206" s="55">
        <f t="shared" si="457"/>
        <v>0</v>
      </c>
      <c r="AW206" s="55">
        <f t="shared" si="458"/>
        <v>0</v>
      </c>
      <c r="AX206" s="55">
        <f t="shared" si="459"/>
        <v>0</v>
      </c>
      <c r="AZ206" s="55">
        <f t="shared" si="460"/>
        <v>0</v>
      </c>
    </row>
    <row r="207" spans="1:52" ht="27" customHeight="1">
      <c r="A207" s="157"/>
      <c r="B207" s="152"/>
      <c r="C207" s="152"/>
      <c r="D207" s="54" t="s">
        <v>4</v>
      </c>
      <c r="E207" s="40">
        <f t="shared" si="448"/>
        <v>0</v>
      </c>
      <c r="F207" s="40">
        <f t="shared" si="448"/>
        <v>0</v>
      </c>
      <c r="G207" s="41"/>
      <c r="H207" s="40"/>
      <c r="I207" s="40"/>
      <c r="J207" s="38"/>
      <c r="K207" s="40"/>
      <c r="L207" s="40"/>
      <c r="M207" s="38"/>
      <c r="N207" s="40"/>
      <c r="O207" s="40"/>
      <c r="P207" s="41"/>
      <c r="Q207" s="40"/>
      <c r="R207" s="40"/>
      <c r="S207" s="38"/>
      <c r="T207" s="40"/>
      <c r="U207" s="40"/>
      <c r="V207" s="41"/>
      <c r="W207" s="40"/>
      <c r="X207" s="40"/>
      <c r="Y207" s="41"/>
      <c r="Z207" s="40"/>
      <c r="AA207" s="40"/>
      <c r="AB207" s="38"/>
      <c r="AC207" s="40"/>
      <c r="AD207" s="40"/>
      <c r="AE207" s="38"/>
      <c r="AF207" s="40"/>
      <c r="AG207" s="40"/>
      <c r="AH207" s="38"/>
      <c r="AI207" s="40"/>
      <c r="AJ207" s="40"/>
      <c r="AK207" s="38"/>
      <c r="AL207" s="40"/>
      <c r="AM207" s="40"/>
      <c r="AN207" s="41"/>
      <c r="AO207" s="40"/>
      <c r="AP207" s="40"/>
      <c r="AQ207" s="38"/>
      <c r="AR207" s="52"/>
      <c r="AS207" s="52"/>
      <c r="AT207" s="43"/>
      <c r="AU207" s="55">
        <f t="shared" si="456"/>
        <v>0</v>
      </c>
      <c r="AV207" s="55">
        <f t="shared" si="457"/>
        <v>0</v>
      </c>
      <c r="AW207" s="55">
        <f t="shared" si="458"/>
        <v>0</v>
      </c>
      <c r="AX207" s="55">
        <f t="shared" si="459"/>
        <v>0</v>
      </c>
      <c r="AZ207" s="55">
        <f t="shared" si="460"/>
        <v>0</v>
      </c>
    </row>
    <row r="208" spans="1:52" ht="240.75">
      <c r="A208" s="157"/>
      <c r="B208" s="152"/>
      <c r="C208" s="152"/>
      <c r="D208" s="54" t="s">
        <v>70</v>
      </c>
      <c r="E208" s="40">
        <f t="shared" si="448"/>
        <v>232.89999999999998</v>
      </c>
      <c r="F208" s="40">
        <f t="shared" si="448"/>
        <v>232.89999999999998</v>
      </c>
      <c r="G208" s="41">
        <f t="shared" ref="G208" si="466">F208/E208*100</f>
        <v>100</v>
      </c>
      <c r="H208" s="40"/>
      <c r="I208" s="40"/>
      <c r="J208" s="38"/>
      <c r="K208" s="40"/>
      <c r="L208" s="40"/>
      <c r="M208" s="38"/>
      <c r="N208" s="40">
        <v>100</v>
      </c>
      <c r="O208" s="40">
        <v>100</v>
      </c>
      <c r="P208" s="41">
        <f t="shared" si="465"/>
        <v>100</v>
      </c>
      <c r="Q208" s="40"/>
      <c r="R208" s="40"/>
      <c r="S208" s="38"/>
      <c r="T208" s="40">
        <v>58.2</v>
      </c>
      <c r="U208" s="40">
        <v>58.2</v>
      </c>
      <c r="V208" s="41">
        <f t="shared" ref="V208" si="467">U208/T208*100</f>
        <v>100</v>
      </c>
      <c r="W208" s="40">
        <v>5.0999999999999996</v>
      </c>
      <c r="X208" s="40">
        <v>5.0999999999999996</v>
      </c>
      <c r="Y208" s="41">
        <f t="shared" ref="Y208" si="468">X208/W208*100</f>
        <v>100</v>
      </c>
      <c r="Z208" s="40"/>
      <c r="AA208" s="40"/>
      <c r="AB208" s="38"/>
      <c r="AC208" s="40"/>
      <c r="AD208" s="40"/>
      <c r="AE208" s="38"/>
      <c r="AF208" s="40"/>
      <c r="AG208" s="40"/>
      <c r="AH208" s="38"/>
      <c r="AI208" s="40"/>
      <c r="AJ208" s="40"/>
      <c r="AK208" s="38"/>
      <c r="AL208" s="40">
        <v>69.599999999999994</v>
      </c>
      <c r="AM208" s="40">
        <v>69.599999999999994</v>
      </c>
      <c r="AN208" s="41">
        <f t="shared" ref="AN208" si="469">AM208/AL208*100</f>
        <v>100</v>
      </c>
      <c r="AO208" s="40"/>
      <c r="AP208" s="40"/>
      <c r="AQ208" s="38"/>
      <c r="AR208" s="64" t="s">
        <v>184</v>
      </c>
      <c r="AS208" s="52"/>
      <c r="AT208" s="43">
        <f t="shared" si="331"/>
        <v>1</v>
      </c>
      <c r="AU208" s="55">
        <f t="shared" si="456"/>
        <v>100</v>
      </c>
      <c r="AV208" s="55">
        <f t="shared" si="457"/>
        <v>63.300000000000004</v>
      </c>
      <c r="AW208" s="55">
        <f t="shared" si="458"/>
        <v>0</v>
      </c>
      <c r="AX208" s="55">
        <f t="shared" si="459"/>
        <v>69.599999999999994</v>
      </c>
      <c r="AY208" s="44">
        <f>227.85+5.06</f>
        <v>232.91</v>
      </c>
      <c r="AZ208" s="55">
        <f t="shared" si="460"/>
        <v>9.9999999999909051E-3</v>
      </c>
    </row>
    <row r="209" spans="1:52" ht="16.5" thickBot="1">
      <c r="A209" s="157"/>
      <c r="B209" s="152"/>
      <c r="C209" s="152"/>
      <c r="D209" s="54" t="s">
        <v>24</v>
      </c>
      <c r="E209" s="40">
        <f t="shared" si="448"/>
        <v>0</v>
      </c>
      <c r="F209" s="40">
        <f t="shared" si="448"/>
        <v>0</v>
      </c>
      <c r="G209" s="41"/>
      <c r="H209" s="40"/>
      <c r="I209" s="40"/>
      <c r="J209" s="41"/>
      <c r="K209" s="40"/>
      <c r="L209" s="40"/>
      <c r="M209" s="41"/>
      <c r="N209" s="40"/>
      <c r="O209" s="40"/>
      <c r="P209" s="41"/>
      <c r="Q209" s="40"/>
      <c r="R209" s="40"/>
      <c r="S209" s="41"/>
      <c r="T209" s="40"/>
      <c r="U209" s="40"/>
      <c r="V209" s="41"/>
      <c r="W209" s="40"/>
      <c r="X209" s="40"/>
      <c r="Y209" s="41"/>
      <c r="Z209" s="40"/>
      <c r="AA209" s="40"/>
      <c r="AB209" s="41"/>
      <c r="AC209" s="40"/>
      <c r="AD209" s="40"/>
      <c r="AE209" s="41"/>
      <c r="AF209" s="40"/>
      <c r="AG209" s="40"/>
      <c r="AH209" s="41"/>
      <c r="AI209" s="40"/>
      <c r="AJ209" s="40"/>
      <c r="AK209" s="41"/>
      <c r="AL209" s="40"/>
      <c r="AM209" s="40"/>
      <c r="AN209" s="41"/>
      <c r="AO209" s="40"/>
      <c r="AP209" s="40"/>
      <c r="AQ209" s="41"/>
      <c r="AR209" s="52"/>
      <c r="AS209" s="52"/>
      <c r="AT209" s="43"/>
      <c r="AU209" s="55">
        <f t="shared" si="456"/>
        <v>0</v>
      </c>
      <c r="AV209" s="55">
        <f t="shared" si="457"/>
        <v>0</v>
      </c>
      <c r="AW209" s="55">
        <f t="shared" si="458"/>
        <v>0</v>
      </c>
      <c r="AX209" s="55">
        <f t="shared" si="459"/>
        <v>0</v>
      </c>
      <c r="AZ209" s="55">
        <f t="shared" si="460"/>
        <v>0</v>
      </c>
    </row>
    <row r="210" spans="1:52" ht="13.5" customHeight="1">
      <c r="A210" s="160" t="s">
        <v>18</v>
      </c>
      <c r="B210" s="160"/>
      <c r="C210" s="160"/>
      <c r="D210" s="58" t="s">
        <v>3</v>
      </c>
      <c r="E210" s="59">
        <f>H210+K210+N210+Q210+T210+W210+Z210+AC210+AF210+AI210+AL210+AO210</f>
        <v>629.1</v>
      </c>
      <c r="F210" s="59">
        <f>I210+L210+O210+R210+U210+X210+AA210+AD210+AG210+AJ210+AM210+AP210</f>
        <v>629.1</v>
      </c>
      <c r="G210" s="42">
        <f>F210/E210*100</f>
        <v>100</v>
      </c>
      <c r="H210" s="59">
        <f>H211+H212+H213+H214</f>
        <v>0</v>
      </c>
      <c r="I210" s="59"/>
      <c r="J210" s="39"/>
      <c r="K210" s="59">
        <f t="shared" ref="K210:AO210" si="470">K212+K213</f>
        <v>22.9</v>
      </c>
      <c r="L210" s="59">
        <f t="shared" si="470"/>
        <v>22.9</v>
      </c>
      <c r="M210" s="42">
        <f t="shared" ref="M210:M213" si="471">L210/K210*100</f>
        <v>100</v>
      </c>
      <c r="N210" s="59">
        <f t="shared" si="470"/>
        <v>100</v>
      </c>
      <c r="O210" s="59">
        <f t="shared" si="470"/>
        <v>100</v>
      </c>
      <c r="P210" s="42">
        <f t="shared" ref="P210:P213" si="472">O210/N210*100</f>
        <v>100</v>
      </c>
      <c r="Q210" s="59">
        <f t="shared" si="470"/>
        <v>0</v>
      </c>
      <c r="R210" s="59">
        <f t="shared" ref="R210" si="473">R212+R213</f>
        <v>0</v>
      </c>
      <c r="S210" s="39"/>
      <c r="T210" s="59">
        <f t="shared" si="470"/>
        <v>58.2</v>
      </c>
      <c r="U210" s="59">
        <f t="shared" ref="U210" si="474">U212+U213</f>
        <v>58.2</v>
      </c>
      <c r="V210" s="42">
        <f>U210/T210*100</f>
        <v>100</v>
      </c>
      <c r="W210" s="59">
        <f t="shared" si="470"/>
        <v>85.5</v>
      </c>
      <c r="X210" s="59">
        <f t="shared" ref="X210" si="475">X212+X213</f>
        <v>85.5</v>
      </c>
      <c r="Y210" s="42">
        <f>X210/W210*100</f>
        <v>100</v>
      </c>
      <c r="Z210" s="59">
        <f t="shared" si="470"/>
        <v>3.6</v>
      </c>
      <c r="AA210" s="59">
        <f t="shared" ref="AA210" si="476">AA212+AA213</f>
        <v>3.6</v>
      </c>
      <c r="AB210" s="42">
        <f>AA210/Z210*100</f>
        <v>100</v>
      </c>
      <c r="AC210" s="59">
        <f t="shared" si="470"/>
        <v>0</v>
      </c>
      <c r="AD210" s="59">
        <f t="shared" ref="AD210" si="477">AD212+AD213</f>
        <v>0</v>
      </c>
      <c r="AE210" s="39"/>
      <c r="AF210" s="59">
        <f>AF212+AF213</f>
        <v>0</v>
      </c>
      <c r="AG210" s="59">
        <f>AG212+AG213</f>
        <v>0</v>
      </c>
      <c r="AH210" s="39"/>
      <c r="AI210" s="59">
        <f t="shared" si="470"/>
        <v>247.5</v>
      </c>
      <c r="AJ210" s="59">
        <f t="shared" ref="AJ210" si="478">AJ212+AJ213</f>
        <v>247.5</v>
      </c>
      <c r="AK210" s="42">
        <f>AJ210/AI210*100</f>
        <v>100</v>
      </c>
      <c r="AL210" s="59">
        <f t="shared" si="470"/>
        <v>111.39999999999999</v>
      </c>
      <c r="AM210" s="59">
        <f t="shared" ref="AM210" si="479">AM212+AM213</f>
        <v>111.39999999999999</v>
      </c>
      <c r="AN210" s="42">
        <f>AM210/AL210*100</f>
        <v>100</v>
      </c>
      <c r="AO210" s="59">
        <f t="shared" si="470"/>
        <v>0</v>
      </c>
      <c r="AP210" s="59"/>
      <c r="AQ210" s="39" t="e">
        <f t="shared" ref="AQ210" si="480">AP210/AO210</f>
        <v>#DIV/0!</v>
      </c>
      <c r="AR210" s="52"/>
      <c r="AS210" s="52"/>
      <c r="AT210" s="43">
        <f t="shared" si="331"/>
        <v>1</v>
      </c>
      <c r="AU210" s="101">
        <f t="shared" si="456"/>
        <v>122.9</v>
      </c>
      <c r="AV210" s="101">
        <f t="shared" si="457"/>
        <v>143.69999999999999</v>
      </c>
      <c r="AW210" s="101">
        <f>Z210+AC210+AF210</f>
        <v>3.6</v>
      </c>
      <c r="AX210" s="55">
        <f t="shared" si="459"/>
        <v>358.9</v>
      </c>
      <c r="AY210" s="60">
        <f t="shared" ref="AY210" si="481">AY212+AY213</f>
        <v>652.1</v>
      </c>
      <c r="AZ210" s="55">
        <f t="shared" si="460"/>
        <v>23.000000000000057</v>
      </c>
    </row>
    <row r="211" spans="1:52" ht="13.5" customHeight="1">
      <c r="A211" s="160"/>
      <c r="B211" s="160"/>
      <c r="C211" s="160"/>
      <c r="D211" s="58" t="s">
        <v>23</v>
      </c>
      <c r="E211" s="59">
        <f t="shared" si="448"/>
        <v>0</v>
      </c>
      <c r="F211" s="59">
        <f t="shared" si="448"/>
        <v>0</v>
      </c>
      <c r="G211" s="42"/>
      <c r="H211" s="40">
        <f>H196+H201+H206</f>
        <v>0</v>
      </c>
      <c r="I211" s="40"/>
      <c r="J211" s="39"/>
      <c r="K211" s="40">
        <f t="shared" ref="K211:AO214" si="482">K196+K201+K206</f>
        <v>0</v>
      </c>
      <c r="L211" s="40">
        <f t="shared" si="482"/>
        <v>0</v>
      </c>
      <c r="M211" s="42"/>
      <c r="N211" s="40">
        <f t="shared" si="482"/>
        <v>0</v>
      </c>
      <c r="O211" s="40">
        <f t="shared" si="482"/>
        <v>0</v>
      </c>
      <c r="P211" s="42"/>
      <c r="Q211" s="40">
        <f t="shared" si="482"/>
        <v>0</v>
      </c>
      <c r="R211" s="40">
        <f t="shared" ref="R211" si="483">R196+R201+R206</f>
        <v>0</v>
      </c>
      <c r="S211" s="39"/>
      <c r="T211" s="40">
        <f t="shared" si="482"/>
        <v>0</v>
      </c>
      <c r="U211" s="40">
        <f t="shared" ref="U211" si="484">U196+U201+U206</f>
        <v>0</v>
      </c>
      <c r="V211" s="42"/>
      <c r="W211" s="40">
        <f t="shared" si="482"/>
        <v>0</v>
      </c>
      <c r="X211" s="40">
        <f t="shared" ref="X211" si="485">X196+X201+X206</f>
        <v>0</v>
      </c>
      <c r="Y211" s="42"/>
      <c r="Z211" s="59">
        <f t="shared" si="482"/>
        <v>0</v>
      </c>
      <c r="AA211" s="59">
        <f t="shared" ref="AA211" si="486">AA196+AA201+AA206</f>
        <v>0</v>
      </c>
      <c r="AB211" s="42"/>
      <c r="AC211" s="40">
        <f t="shared" si="482"/>
        <v>0</v>
      </c>
      <c r="AD211" s="40">
        <f t="shared" ref="AD211" si="487">AD196+AD201+AD206</f>
        <v>0</v>
      </c>
      <c r="AE211" s="39"/>
      <c r="AF211" s="40">
        <f t="shared" si="482"/>
        <v>0</v>
      </c>
      <c r="AG211" s="40">
        <f t="shared" ref="AG211" si="488">AG196+AG201+AG206</f>
        <v>0</v>
      </c>
      <c r="AH211" s="39"/>
      <c r="AI211" s="59">
        <f t="shared" si="482"/>
        <v>0</v>
      </c>
      <c r="AJ211" s="59">
        <f t="shared" ref="AJ211" si="489">AJ196+AJ201+AJ206</f>
        <v>0</v>
      </c>
      <c r="AK211" s="42"/>
      <c r="AL211" s="59">
        <f t="shared" si="482"/>
        <v>0</v>
      </c>
      <c r="AM211" s="59">
        <f t="shared" ref="AM211" si="490">AM196+AM201+AM206</f>
        <v>0</v>
      </c>
      <c r="AN211" s="42"/>
      <c r="AO211" s="59">
        <f t="shared" si="482"/>
        <v>0</v>
      </c>
      <c r="AP211" s="40"/>
      <c r="AQ211" s="39"/>
      <c r="AR211" s="52"/>
      <c r="AS211" s="52"/>
      <c r="AT211" s="43"/>
      <c r="AU211" s="101">
        <f t="shared" si="456"/>
        <v>0</v>
      </c>
      <c r="AV211" s="101">
        <f t="shared" si="457"/>
        <v>0</v>
      </c>
      <c r="AW211" s="101">
        <f t="shared" si="458"/>
        <v>0</v>
      </c>
      <c r="AX211" s="55">
        <f t="shared" si="459"/>
        <v>0</v>
      </c>
      <c r="AY211" s="61">
        <f t="shared" ref="AY211:AY214" si="491">AY196+AY201+AY206</f>
        <v>0</v>
      </c>
      <c r="AZ211" s="55">
        <f t="shared" si="460"/>
        <v>0</v>
      </c>
    </row>
    <row r="212" spans="1:52" ht="24">
      <c r="A212" s="160"/>
      <c r="B212" s="160"/>
      <c r="C212" s="160"/>
      <c r="D212" s="58" t="s">
        <v>4</v>
      </c>
      <c r="E212" s="59">
        <f t="shared" si="448"/>
        <v>0</v>
      </c>
      <c r="F212" s="59">
        <f t="shared" si="448"/>
        <v>0</v>
      </c>
      <c r="G212" s="42"/>
      <c r="H212" s="40">
        <f>H197+H202+H207</f>
        <v>0</v>
      </c>
      <c r="I212" s="40"/>
      <c r="J212" s="39"/>
      <c r="K212" s="40">
        <f t="shared" si="482"/>
        <v>0</v>
      </c>
      <c r="L212" s="40">
        <f t="shared" si="482"/>
        <v>0</v>
      </c>
      <c r="M212" s="42"/>
      <c r="N212" s="40">
        <f t="shared" si="482"/>
        <v>0</v>
      </c>
      <c r="O212" s="40">
        <f t="shared" si="482"/>
        <v>0</v>
      </c>
      <c r="P212" s="42"/>
      <c r="Q212" s="40">
        <f t="shared" si="482"/>
        <v>0</v>
      </c>
      <c r="R212" s="40">
        <f t="shared" ref="R212" si="492">R197+R202+R207</f>
        <v>0</v>
      </c>
      <c r="S212" s="39"/>
      <c r="T212" s="40">
        <f t="shared" si="482"/>
        <v>0</v>
      </c>
      <c r="U212" s="40">
        <f t="shared" ref="U212" si="493">U197+U202+U207</f>
        <v>0</v>
      </c>
      <c r="V212" s="42"/>
      <c r="W212" s="40">
        <f t="shared" si="482"/>
        <v>0</v>
      </c>
      <c r="X212" s="40">
        <f t="shared" ref="X212" si="494">X197+X202+X207</f>
        <v>0</v>
      </c>
      <c r="Y212" s="42"/>
      <c r="Z212" s="59">
        <f t="shared" si="482"/>
        <v>0</v>
      </c>
      <c r="AA212" s="59">
        <f t="shared" ref="AA212" si="495">AA197+AA202+AA207</f>
        <v>0</v>
      </c>
      <c r="AB212" s="42"/>
      <c r="AC212" s="40">
        <f t="shared" si="482"/>
        <v>0</v>
      </c>
      <c r="AD212" s="40">
        <f t="shared" ref="AD212" si="496">AD197+AD202+AD207</f>
        <v>0</v>
      </c>
      <c r="AE212" s="39"/>
      <c r="AF212" s="40">
        <f t="shared" si="482"/>
        <v>0</v>
      </c>
      <c r="AG212" s="40">
        <f t="shared" ref="AG212" si="497">AG197+AG202+AG207</f>
        <v>0</v>
      </c>
      <c r="AH212" s="39"/>
      <c r="AI212" s="59">
        <f t="shared" si="482"/>
        <v>0</v>
      </c>
      <c r="AJ212" s="59">
        <f t="shared" ref="AJ212" si="498">AJ197+AJ202+AJ207</f>
        <v>0</v>
      </c>
      <c r="AK212" s="42"/>
      <c r="AL212" s="59">
        <f t="shared" si="482"/>
        <v>0</v>
      </c>
      <c r="AM212" s="59">
        <f t="shared" ref="AM212" si="499">AM197+AM202+AM207</f>
        <v>0</v>
      </c>
      <c r="AN212" s="42"/>
      <c r="AO212" s="59">
        <f t="shared" si="482"/>
        <v>0</v>
      </c>
      <c r="AP212" s="40"/>
      <c r="AQ212" s="39"/>
      <c r="AR212" s="52"/>
      <c r="AS212" s="52"/>
      <c r="AT212" s="43"/>
      <c r="AU212" s="101">
        <f t="shared" si="456"/>
        <v>0</v>
      </c>
      <c r="AV212" s="101">
        <f t="shared" si="457"/>
        <v>0</v>
      </c>
      <c r="AW212" s="101">
        <f t="shared" si="458"/>
        <v>0</v>
      </c>
      <c r="AX212" s="55">
        <f t="shared" si="459"/>
        <v>0</v>
      </c>
      <c r="AY212" s="61">
        <f t="shared" si="491"/>
        <v>0</v>
      </c>
      <c r="AZ212" s="55">
        <f t="shared" si="460"/>
        <v>0</v>
      </c>
    </row>
    <row r="213" spans="1:52" ht="13.5" customHeight="1">
      <c r="A213" s="160"/>
      <c r="B213" s="160"/>
      <c r="C213" s="160"/>
      <c r="D213" s="58" t="s">
        <v>70</v>
      </c>
      <c r="E213" s="59">
        <f t="shared" si="448"/>
        <v>629.1</v>
      </c>
      <c r="F213" s="59">
        <f t="shared" si="448"/>
        <v>629.1</v>
      </c>
      <c r="G213" s="42">
        <f t="shared" ref="G213" si="500">F213/E213*100</f>
        <v>100</v>
      </c>
      <c r="H213" s="40">
        <f>H198+H203+H208</f>
        <v>0</v>
      </c>
      <c r="I213" s="40"/>
      <c r="J213" s="39"/>
      <c r="K213" s="40">
        <f t="shared" si="482"/>
        <v>22.9</v>
      </c>
      <c r="L213" s="40">
        <f t="shared" si="482"/>
        <v>22.9</v>
      </c>
      <c r="M213" s="42">
        <f t="shared" si="471"/>
        <v>100</v>
      </c>
      <c r="N213" s="40">
        <f t="shared" si="482"/>
        <v>100</v>
      </c>
      <c r="O213" s="40">
        <f t="shared" si="482"/>
        <v>100</v>
      </c>
      <c r="P213" s="42">
        <f t="shared" si="472"/>
        <v>100</v>
      </c>
      <c r="Q213" s="40">
        <f t="shared" si="482"/>
        <v>0</v>
      </c>
      <c r="R213" s="40">
        <f t="shared" ref="R213" si="501">R198+R203+R208</f>
        <v>0</v>
      </c>
      <c r="S213" s="39"/>
      <c r="T213" s="40">
        <f t="shared" si="482"/>
        <v>58.2</v>
      </c>
      <c r="U213" s="40">
        <f t="shared" ref="U213" si="502">U198+U203+U208</f>
        <v>58.2</v>
      </c>
      <c r="V213" s="42">
        <f t="shared" ref="V213" si="503">U213/T213*100</f>
        <v>100</v>
      </c>
      <c r="W213" s="40">
        <f t="shared" si="482"/>
        <v>85.5</v>
      </c>
      <c r="X213" s="40">
        <f t="shared" ref="X213" si="504">X198+X203+X208</f>
        <v>85.5</v>
      </c>
      <c r="Y213" s="42">
        <f t="shared" ref="Y213" si="505">X213/W213*100</f>
        <v>100</v>
      </c>
      <c r="Z213" s="59">
        <f t="shared" si="482"/>
        <v>3.6</v>
      </c>
      <c r="AA213" s="59">
        <f t="shared" ref="AA213" si="506">AA198+AA203+AA208</f>
        <v>3.6</v>
      </c>
      <c r="AB213" s="42">
        <f t="shared" ref="AB213" si="507">AA213/Z213*100</f>
        <v>100</v>
      </c>
      <c r="AC213" s="40">
        <f t="shared" si="482"/>
        <v>0</v>
      </c>
      <c r="AD213" s="40">
        <f t="shared" ref="AD213" si="508">AD198+AD203+AD208</f>
        <v>0</v>
      </c>
      <c r="AE213" s="39"/>
      <c r="AF213" s="40">
        <f t="shared" si="482"/>
        <v>0</v>
      </c>
      <c r="AG213" s="40">
        <f t="shared" ref="AG213" si="509">AG198+AG203+AG208</f>
        <v>0</v>
      </c>
      <c r="AH213" s="39"/>
      <c r="AI213" s="59">
        <f t="shared" si="482"/>
        <v>247.5</v>
      </c>
      <c r="AJ213" s="59">
        <f t="shared" ref="AJ213" si="510">AJ198+AJ203+AJ208</f>
        <v>247.5</v>
      </c>
      <c r="AK213" s="42">
        <f t="shared" ref="AK213" si="511">AJ213/AI213*100</f>
        <v>100</v>
      </c>
      <c r="AL213" s="59">
        <f t="shared" si="482"/>
        <v>111.39999999999999</v>
      </c>
      <c r="AM213" s="59">
        <f t="shared" ref="AM213" si="512">AM198+AM203+AM208</f>
        <v>111.39999999999999</v>
      </c>
      <c r="AN213" s="42">
        <f t="shared" ref="AN213" si="513">AM213/AL213*100</f>
        <v>100</v>
      </c>
      <c r="AO213" s="59">
        <f t="shared" si="482"/>
        <v>0</v>
      </c>
      <c r="AP213" s="59">
        <f t="shared" ref="AP213" si="514">AP198+AP203+AP208</f>
        <v>0</v>
      </c>
      <c r="AQ213" s="42" t="e">
        <f t="shared" ref="AQ213" si="515">AP213/AO213*100</f>
        <v>#DIV/0!</v>
      </c>
      <c r="AR213" s="52"/>
      <c r="AS213" s="52"/>
      <c r="AT213" s="43">
        <f t="shared" si="331"/>
        <v>1</v>
      </c>
      <c r="AU213" s="102">
        <f t="shared" si="456"/>
        <v>122.9</v>
      </c>
      <c r="AV213" s="102">
        <f t="shared" si="457"/>
        <v>143.69999999999999</v>
      </c>
      <c r="AW213" s="102">
        <f t="shared" si="458"/>
        <v>3.6</v>
      </c>
      <c r="AX213" s="57">
        <f t="shared" si="459"/>
        <v>358.9</v>
      </c>
      <c r="AY213" s="61">
        <f t="shared" si="491"/>
        <v>652.1</v>
      </c>
      <c r="AZ213" s="55">
        <f t="shared" si="460"/>
        <v>23.000000000000057</v>
      </c>
    </row>
    <row r="214" spans="1:52" ht="13.5" customHeight="1" thickBot="1">
      <c r="A214" s="160"/>
      <c r="B214" s="160"/>
      <c r="C214" s="160"/>
      <c r="D214" s="58" t="s">
        <v>24</v>
      </c>
      <c r="E214" s="73">
        <f t="shared" si="448"/>
        <v>0</v>
      </c>
      <c r="F214" s="73">
        <f t="shared" si="448"/>
        <v>0</v>
      </c>
      <c r="G214" s="41"/>
      <c r="H214" s="61">
        <f>H199+H204+H209</f>
        <v>0</v>
      </c>
      <c r="I214" s="61"/>
      <c r="J214" s="95"/>
      <c r="K214" s="61">
        <f t="shared" si="482"/>
        <v>0</v>
      </c>
      <c r="L214" s="61">
        <f t="shared" si="482"/>
        <v>0</v>
      </c>
      <c r="M214" s="42"/>
      <c r="N214" s="61">
        <f t="shared" si="482"/>
        <v>0</v>
      </c>
      <c r="O214" s="61">
        <f t="shared" si="482"/>
        <v>0</v>
      </c>
      <c r="P214" s="95"/>
      <c r="Q214" s="61">
        <f t="shared" si="482"/>
        <v>0</v>
      </c>
      <c r="R214" s="61">
        <f t="shared" ref="R214" si="516">R199+R204+R209</f>
        <v>0</v>
      </c>
      <c r="S214" s="95"/>
      <c r="T214" s="61">
        <f t="shared" si="482"/>
        <v>0</v>
      </c>
      <c r="U214" s="61">
        <f t="shared" ref="U214" si="517">U199+U204+U209</f>
        <v>0</v>
      </c>
      <c r="V214" s="41"/>
      <c r="W214" s="61">
        <f t="shared" si="482"/>
        <v>0</v>
      </c>
      <c r="X214" s="61">
        <f t="shared" ref="X214" si="518">X199+X204+X209</f>
        <v>0</v>
      </c>
      <c r="Y214" s="41"/>
      <c r="Z214" s="73">
        <f t="shared" si="482"/>
        <v>0</v>
      </c>
      <c r="AA214" s="73">
        <f t="shared" ref="AA214" si="519">AA199+AA204+AA209</f>
        <v>0</v>
      </c>
      <c r="AB214" s="95"/>
      <c r="AC214" s="61">
        <f t="shared" si="482"/>
        <v>0</v>
      </c>
      <c r="AD214" s="61">
        <f t="shared" ref="AD214" si="520">AD199+AD204+AD209</f>
        <v>0</v>
      </c>
      <c r="AE214" s="95"/>
      <c r="AF214" s="61">
        <f t="shared" si="482"/>
        <v>0</v>
      </c>
      <c r="AG214" s="61">
        <f t="shared" ref="AG214" si="521">AG199+AG204+AG209</f>
        <v>0</v>
      </c>
      <c r="AH214" s="95"/>
      <c r="AI214" s="61">
        <f t="shared" si="482"/>
        <v>0</v>
      </c>
      <c r="AJ214" s="61"/>
      <c r="AK214" s="95"/>
      <c r="AL214" s="61">
        <f t="shared" si="482"/>
        <v>0</v>
      </c>
      <c r="AM214" s="61">
        <f t="shared" ref="AM214" si="522">AM199+AM204+AM209</f>
        <v>0</v>
      </c>
      <c r="AN214" s="95"/>
      <c r="AO214" s="61">
        <f t="shared" si="482"/>
        <v>0</v>
      </c>
      <c r="AP214" s="61">
        <f t="shared" ref="AP214" si="523">AP199+AP204+AP209</f>
        <v>0</v>
      </c>
      <c r="AQ214" s="41"/>
      <c r="AR214" s="52"/>
      <c r="AS214" s="52"/>
      <c r="AT214" s="43"/>
      <c r="AU214" s="101">
        <f t="shared" si="456"/>
        <v>0</v>
      </c>
      <c r="AV214" s="101">
        <f t="shared" si="457"/>
        <v>0</v>
      </c>
      <c r="AW214" s="101">
        <f t="shared" si="458"/>
        <v>0</v>
      </c>
      <c r="AX214" s="55">
        <f t="shared" si="459"/>
        <v>0</v>
      </c>
      <c r="AY214" s="62">
        <f t="shared" si="491"/>
        <v>0</v>
      </c>
      <c r="AZ214" s="55">
        <f t="shared" si="460"/>
        <v>0</v>
      </c>
    </row>
    <row r="215" spans="1:52" ht="15" customHeight="1">
      <c r="A215" s="74" t="s">
        <v>108</v>
      </c>
      <c r="B215" s="53" t="s">
        <v>19</v>
      </c>
      <c r="C215" s="75"/>
      <c r="D215" s="75"/>
      <c r="E215" s="113"/>
      <c r="F215" s="113"/>
      <c r="G215" s="113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52"/>
      <c r="AS215" s="52"/>
      <c r="AT215" s="43"/>
      <c r="AU215" s="101">
        <f t="shared" si="456"/>
        <v>0</v>
      </c>
      <c r="AV215" s="101">
        <f t="shared" si="457"/>
        <v>0</v>
      </c>
      <c r="AW215" s="101">
        <f t="shared" si="458"/>
        <v>0</v>
      </c>
      <c r="AX215" s="55">
        <f t="shared" si="459"/>
        <v>0</v>
      </c>
      <c r="AZ215" s="55">
        <f t="shared" si="460"/>
        <v>0</v>
      </c>
    </row>
    <row r="216" spans="1:52" ht="15.75" customHeight="1">
      <c r="A216" s="157" t="s">
        <v>109</v>
      </c>
      <c r="B216" s="152" t="s">
        <v>144</v>
      </c>
      <c r="C216" s="152" t="s">
        <v>163</v>
      </c>
      <c r="D216" s="54" t="s">
        <v>3</v>
      </c>
      <c r="E216" s="40">
        <f t="shared" ref="E216:F235" si="524">H216+K216+N216+Q216+T216+W216+Z216+AC216+AF216+AI216+AL216+AO216</f>
        <v>13705.800000000001</v>
      </c>
      <c r="F216" s="40">
        <f t="shared" si="524"/>
        <v>13705.399999999998</v>
      </c>
      <c r="G216" s="41">
        <f>F216/E216*100</f>
        <v>99.997081527528465</v>
      </c>
      <c r="H216" s="40">
        <f>H217+H218+H219+H220</f>
        <v>0</v>
      </c>
      <c r="I216" s="40"/>
      <c r="J216" s="38"/>
      <c r="K216" s="40">
        <f t="shared" ref="K216:AO216" si="525">K217+K218+K219+K220</f>
        <v>363.1</v>
      </c>
      <c r="L216" s="40">
        <f t="shared" si="525"/>
        <v>363.1</v>
      </c>
      <c r="M216" s="41">
        <f t="shared" ref="M216" si="526">L216/K216*100</f>
        <v>100</v>
      </c>
      <c r="N216" s="40">
        <f t="shared" si="525"/>
        <v>1355.3</v>
      </c>
      <c r="O216" s="40">
        <f t="shared" si="525"/>
        <v>1355.1</v>
      </c>
      <c r="P216" s="41">
        <f t="shared" ref="P216" si="527">O216/N216*100</f>
        <v>99.985243119604519</v>
      </c>
      <c r="Q216" s="40">
        <f t="shared" si="525"/>
        <v>0</v>
      </c>
      <c r="R216" s="40"/>
      <c r="S216" s="38"/>
      <c r="T216" s="40">
        <f t="shared" si="525"/>
        <v>50.4</v>
      </c>
      <c r="U216" s="40">
        <f t="shared" si="525"/>
        <v>50.4</v>
      </c>
      <c r="V216" s="41">
        <f>U216/T216*100</f>
        <v>100</v>
      </c>
      <c r="W216" s="40">
        <f t="shared" si="525"/>
        <v>2714.4</v>
      </c>
      <c r="X216" s="40">
        <f t="shared" si="525"/>
        <v>2714.3</v>
      </c>
      <c r="Y216" s="41">
        <f>X216/W216*100</f>
        <v>99.996315944591814</v>
      </c>
      <c r="Z216" s="40">
        <f t="shared" si="525"/>
        <v>5249.2000000000007</v>
      </c>
      <c r="AA216" s="40">
        <f t="shared" si="525"/>
        <v>3640.8999999999996</v>
      </c>
      <c r="AB216" s="41">
        <f>AA216/Z216*100</f>
        <v>69.361045492646483</v>
      </c>
      <c r="AC216" s="40">
        <f t="shared" si="525"/>
        <v>1869.4</v>
      </c>
      <c r="AD216" s="40">
        <f t="shared" si="525"/>
        <v>2974.8999999999996</v>
      </c>
      <c r="AE216" s="41">
        <f>AD216/AC216*100</f>
        <v>159.13662137584248</v>
      </c>
      <c r="AF216" s="40">
        <f t="shared" si="525"/>
        <v>408.2</v>
      </c>
      <c r="AG216" s="40">
        <f t="shared" si="525"/>
        <v>779.6</v>
      </c>
      <c r="AH216" s="41">
        <f>AG216/AF216*100</f>
        <v>190.98481136697697</v>
      </c>
      <c r="AI216" s="40">
        <f t="shared" si="525"/>
        <v>213.3</v>
      </c>
      <c r="AJ216" s="40">
        <f t="shared" si="525"/>
        <v>0</v>
      </c>
      <c r="AK216" s="38"/>
      <c r="AL216" s="40">
        <f t="shared" si="525"/>
        <v>1419.9</v>
      </c>
      <c r="AM216" s="40">
        <f t="shared" si="525"/>
        <v>1582.8</v>
      </c>
      <c r="AN216" s="41">
        <f>AM216/AL216*100</f>
        <v>111.47263891823367</v>
      </c>
      <c r="AO216" s="40">
        <f t="shared" si="525"/>
        <v>62.599999999999994</v>
      </c>
      <c r="AP216" s="40">
        <f t="shared" ref="AP216" si="528">AP217+AP218+AP219+AP220</f>
        <v>244.3</v>
      </c>
      <c r="AQ216" s="41">
        <f>AP216/AO216*100</f>
        <v>390.25559105431313</v>
      </c>
      <c r="AR216" s="52"/>
      <c r="AS216" s="52"/>
      <c r="AT216" s="43">
        <f t="shared" ref="AT216:AT265" si="529">(I216+L216+O216+R216+U216+X216+AA216+AD216+AG216+AJ216+AM216)/(H216+K216+N216+Q216+T216+W216+Z216+AC216+AF216+AI216+AL216)</f>
        <v>0.9866526914506859</v>
      </c>
      <c r="AU216" s="55">
        <f t="shared" si="456"/>
        <v>1718.4</v>
      </c>
      <c r="AV216" s="55">
        <f t="shared" si="457"/>
        <v>2764.8</v>
      </c>
      <c r="AW216" s="55">
        <f t="shared" si="458"/>
        <v>7526.8</v>
      </c>
      <c r="AX216" s="55">
        <f t="shared" si="459"/>
        <v>1695.8</v>
      </c>
      <c r="AY216" s="56">
        <f>AY218+AY219</f>
        <v>14695.300000000001</v>
      </c>
      <c r="AZ216" s="55">
        <f t="shared" si="460"/>
        <v>989.50000000000205</v>
      </c>
    </row>
    <row r="217" spans="1:52" ht="13.5" customHeight="1">
      <c r="A217" s="157"/>
      <c r="B217" s="152"/>
      <c r="C217" s="152"/>
      <c r="D217" s="54" t="s">
        <v>23</v>
      </c>
      <c r="E217" s="40">
        <f t="shared" si="524"/>
        <v>0</v>
      </c>
      <c r="F217" s="40">
        <f t="shared" si="524"/>
        <v>0</v>
      </c>
      <c r="G217" s="41"/>
      <c r="H217" s="40"/>
      <c r="I217" s="40"/>
      <c r="J217" s="38"/>
      <c r="K217" s="40"/>
      <c r="L217" s="40"/>
      <c r="M217" s="38"/>
      <c r="N217" s="40"/>
      <c r="O217" s="40"/>
      <c r="P217" s="38"/>
      <c r="Q217" s="40"/>
      <c r="R217" s="40"/>
      <c r="S217" s="38"/>
      <c r="T217" s="40"/>
      <c r="U217" s="40"/>
      <c r="V217" s="41"/>
      <c r="W217" s="40"/>
      <c r="X217" s="40"/>
      <c r="Y217" s="41"/>
      <c r="Z217" s="40"/>
      <c r="AA217" s="40"/>
      <c r="AB217" s="41"/>
      <c r="AC217" s="40"/>
      <c r="AD217" s="40"/>
      <c r="AE217" s="41"/>
      <c r="AF217" s="40"/>
      <c r="AG217" s="40"/>
      <c r="AH217" s="41"/>
      <c r="AI217" s="40"/>
      <c r="AJ217" s="40"/>
      <c r="AK217" s="38"/>
      <c r="AL217" s="40"/>
      <c r="AM217" s="40"/>
      <c r="AN217" s="41"/>
      <c r="AO217" s="40"/>
      <c r="AP217" s="40"/>
      <c r="AQ217" s="41"/>
      <c r="AR217" s="52"/>
      <c r="AS217" s="52"/>
      <c r="AT217" s="43"/>
      <c r="AU217" s="55">
        <f t="shared" si="456"/>
        <v>0</v>
      </c>
      <c r="AV217" s="55">
        <f t="shared" si="457"/>
        <v>0</v>
      </c>
      <c r="AW217" s="55">
        <f t="shared" si="458"/>
        <v>0</v>
      </c>
      <c r="AX217" s="55">
        <f t="shared" si="459"/>
        <v>0</v>
      </c>
      <c r="AZ217" s="55">
        <f t="shared" si="460"/>
        <v>0</v>
      </c>
    </row>
    <row r="218" spans="1:52" ht="48" customHeight="1">
      <c r="A218" s="157"/>
      <c r="B218" s="152"/>
      <c r="C218" s="152"/>
      <c r="D218" s="54" t="s">
        <v>4</v>
      </c>
      <c r="E218" s="40">
        <f t="shared" si="524"/>
        <v>5153.0000000000009</v>
      </c>
      <c r="F218" s="40">
        <f t="shared" si="524"/>
        <v>5152.5999999999995</v>
      </c>
      <c r="G218" s="41">
        <f t="shared" ref="G218:G219" si="530">F218/E218*100</f>
        <v>99.992237531534997</v>
      </c>
      <c r="H218" s="40"/>
      <c r="I218" s="40"/>
      <c r="J218" s="38"/>
      <c r="K218" s="40"/>
      <c r="L218" s="40"/>
      <c r="M218" s="38"/>
      <c r="N218" s="40">
        <v>715.4</v>
      </c>
      <c r="O218" s="40">
        <v>715.4</v>
      </c>
      <c r="P218" s="41">
        <f t="shared" ref="P218:P219" si="531">O218/N218*100</f>
        <v>100</v>
      </c>
      <c r="Q218" s="40"/>
      <c r="R218" s="40"/>
      <c r="S218" s="38"/>
      <c r="T218" s="40"/>
      <c r="U218" s="40"/>
      <c r="V218" s="41"/>
      <c r="W218" s="40"/>
      <c r="X218" s="40"/>
      <c r="Y218" s="41"/>
      <c r="Z218" s="40">
        <v>2747.4</v>
      </c>
      <c r="AA218" s="40">
        <v>1579.3</v>
      </c>
      <c r="AB218" s="41">
        <f t="shared" ref="AB218:AB219" si="532">AA218/Z218*100</f>
        <v>57.483438887675618</v>
      </c>
      <c r="AC218" s="40">
        <f>507.1+187.8+190</f>
        <v>884.90000000000009</v>
      </c>
      <c r="AD218" s="40">
        <v>1326.3</v>
      </c>
      <c r="AE218" s="41">
        <f t="shared" ref="AE218:AE219" si="533">AD218/AC218*100</f>
        <v>149.88134252457903</v>
      </c>
      <c r="AF218" s="40"/>
      <c r="AG218" s="40">
        <v>726.7</v>
      </c>
      <c r="AH218" s="41"/>
      <c r="AI218" s="40"/>
      <c r="AJ218" s="40"/>
      <c r="AK218" s="38"/>
      <c r="AL218" s="40">
        <v>722</v>
      </c>
      <c r="AM218" s="40">
        <v>634.9</v>
      </c>
      <c r="AN218" s="41">
        <f t="shared" ref="AN218:AN219" si="534">AM218/AL218*100</f>
        <v>87.936288088642655</v>
      </c>
      <c r="AO218" s="40">
        <v>83.3</v>
      </c>
      <c r="AP218" s="40">
        <f>169.9+0.1</f>
        <v>170</v>
      </c>
      <c r="AQ218" s="41">
        <f t="shared" ref="AQ218:AQ219" si="535">AP218/AO218*100</f>
        <v>204.08163265306123</v>
      </c>
      <c r="AR218" s="115" t="s">
        <v>59</v>
      </c>
      <c r="AS218" s="142"/>
      <c r="AT218" s="43">
        <f t="shared" si="529"/>
        <v>0.98281949622265596</v>
      </c>
      <c r="AU218" s="57">
        <f t="shared" si="456"/>
        <v>715.4</v>
      </c>
      <c r="AV218" s="55">
        <f t="shared" si="457"/>
        <v>0</v>
      </c>
      <c r="AW218" s="57">
        <f t="shared" si="458"/>
        <v>3632.3</v>
      </c>
      <c r="AX218" s="55">
        <f t="shared" si="459"/>
        <v>805.3</v>
      </c>
      <c r="AY218" s="56">
        <v>5045</v>
      </c>
      <c r="AZ218" s="55">
        <f t="shared" si="460"/>
        <v>-107.99999999999977</v>
      </c>
    </row>
    <row r="219" spans="1:52" ht="72">
      <c r="A219" s="157"/>
      <c r="B219" s="152"/>
      <c r="C219" s="152"/>
      <c r="D219" s="54" t="s">
        <v>70</v>
      </c>
      <c r="E219" s="40">
        <f t="shared" si="524"/>
        <v>8552.7999999999993</v>
      </c>
      <c r="F219" s="40">
        <f t="shared" si="524"/>
        <v>8552.7999999999993</v>
      </c>
      <c r="G219" s="41">
        <f t="shared" si="530"/>
        <v>100</v>
      </c>
      <c r="H219" s="40"/>
      <c r="I219" s="40"/>
      <c r="J219" s="38"/>
      <c r="K219" s="40">
        <v>363.1</v>
      </c>
      <c r="L219" s="40">
        <v>363.1</v>
      </c>
      <c r="M219" s="41">
        <f t="shared" ref="M219" si="536">L219/K219*100</f>
        <v>100</v>
      </c>
      <c r="N219" s="40">
        <f>639.8+0.1</f>
        <v>639.9</v>
      </c>
      <c r="O219" s="40">
        <v>639.70000000000005</v>
      </c>
      <c r="P219" s="41">
        <f t="shared" si="531"/>
        <v>99.968745116424458</v>
      </c>
      <c r="Q219" s="40"/>
      <c r="R219" s="40"/>
      <c r="S219" s="38"/>
      <c r="T219" s="40">
        <v>50.4</v>
      </c>
      <c r="U219" s="40">
        <v>50.4</v>
      </c>
      <c r="V219" s="41">
        <f t="shared" ref="V219" si="537">U219/T219*100</f>
        <v>100</v>
      </c>
      <c r="W219" s="40">
        <f>2714.3+0.1</f>
        <v>2714.4</v>
      </c>
      <c r="X219" s="40">
        <v>2714.3</v>
      </c>
      <c r="Y219" s="41">
        <f t="shared" ref="Y219" si="538">X219/W219*100</f>
        <v>99.996315944591814</v>
      </c>
      <c r="Z219" s="40">
        <v>2501.8000000000002</v>
      </c>
      <c r="AA219" s="40">
        <v>2061.6</v>
      </c>
      <c r="AB219" s="41">
        <f t="shared" si="532"/>
        <v>82.404668638580219</v>
      </c>
      <c r="AC219" s="40">
        <v>984.5</v>
      </c>
      <c r="AD219" s="40">
        <v>1648.6</v>
      </c>
      <c r="AE219" s="41">
        <f t="shared" si="533"/>
        <v>167.45556119857795</v>
      </c>
      <c r="AF219" s="40">
        <v>408.2</v>
      </c>
      <c r="AG219" s="40">
        <v>52.9</v>
      </c>
      <c r="AH219" s="41">
        <f t="shared" ref="AH219" si="539">AG219/AF219*100</f>
        <v>12.959333659970603</v>
      </c>
      <c r="AI219" s="97">
        <v>213.3</v>
      </c>
      <c r="AJ219" s="40"/>
      <c r="AK219" s="38"/>
      <c r="AL219" s="40">
        <f>180.4+517.5</f>
        <v>697.9</v>
      </c>
      <c r="AM219" s="40">
        <v>947.9</v>
      </c>
      <c r="AN219" s="41">
        <f t="shared" si="534"/>
        <v>135.82175096718728</v>
      </c>
      <c r="AO219" s="40">
        <v>-20.7</v>
      </c>
      <c r="AP219" s="40">
        <f>74.2+0.1</f>
        <v>74.3</v>
      </c>
      <c r="AQ219" s="41">
        <f t="shared" si="535"/>
        <v>-358.93719806763283</v>
      </c>
      <c r="AR219" s="115" t="s">
        <v>69</v>
      </c>
      <c r="AS219" s="143"/>
      <c r="AT219" s="43">
        <f t="shared" si="529"/>
        <v>0.98891934449174779</v>
      </c>
      <c r="AU219" s="57">
        <f t="shared" si="456"/>
        <v>1003</v>
      </c>
      <c r="AV219" s="57">
        <f t="shared" si="457"/>
        <v>2764.8</v>
      </c>
      <c r="AW219" s="57">
        <f t="shared" si="458"/>
        <v>3894.5</v>
      </c>
      <c r="AX219" s="57">
        <f t="shared" si="459"/>
        <v>890.5</v>
      </c>
      <c r="AY219" s="56">
        <f>1261.3+3672.6678+3283.5565+1432.7757</f>
        <v>9650.3000000000011</v>
      </c>
      <c r="AZ219" s="55">
        <f t="shared" si="460"/>
        <v>1097.5000000000009</v>
      </c>
    </row>
    <row r="220" spans="1:52" ht="15.75">
      <c r="A220" s="157"/>
      <c r="B220" s="152"/>
      <c r="C220" s="152"/>
      <c r="D220" s="54" t="s">
        <v>24</v>
      </c>
      <c r="E220" s="40">
        <f t="shared" si="524"/>
        <v>0</v>
      </c>
      <c r="F220" s="40">
        <f t="shared" si="524"/>
        <v>0</v>
      </c>
      <c r="G220" s="41"/>
      <c r="H220" s="40"/>
      <c r="I220" s="40"/>
      <c r="J220" s="41"/>
      <c r="K220" s="40"/>
      <c r="L220" s="40"/>
      <c r="M220" s="41"/>
      <c r="N220" s="40"/>
      <c r="O220" s="40"/>
      <c r="P220" s="41"/>
      <c r="Q220" s="40"/>
      <c r="R220" s="40"/>
      <c r="S220" s="41"/>
      <c r="T220" s="40"/>
      <c r="U220" s="40"/>
      <c r="V220" s="41"/>
      <c r="W220" s="40"/>
      <c r="X220" s="40"/>
      <c r="Y220" s="41"/>
      <c r="Z220" s="40"/>
      <c r="AA220" s="40"/>
      <c r="AB220" s="41"/>
      <c r="AC220" s="40"/>
      <c r="AD220" s="40"/>
      <c r="AE220" s="41"/>
      <c r="AF220" s="40"/>
      <c r="AG220" s="40"/>
      <c r="AH220" s="41"/>
      <c r="AI220" s="40"/>
      <c r="AJ220" s="40"/>
      <c r="AK220" s="41"/>
      <c r="AL220" s="40"/>
      <c r="AM220" s="40"/>
      <c r="AN220" s="41"/>
      <c r="AO220" s="40"/>
      <c r="AP220" s="40"/>
      <c r="AQ220" s="41"/>
      <c r="AR220" s="52"/>
      <c r="AS220" s="52"/>
      <c r="AT220" s="43"/>
      <c r="AU220" s="55">
        <f t="shared" si="456"/>
        <v>0</v>
      </c>
      <c r="AV220" s="55">
        <f t="shared" si="457"/>
        <v>0</v>
      </c>
      <c r="AW220" s="55">
        <f t="shared" si="458"/>
        <v>0</v>
      </c>
      <c r="AX220" s="55">
        <f t="shared" si="459"/>
        <v>0</v>
      </c>
      <c r="AZ220" s="55">
        <f t="shared" si="460"/>
        <v>0</v>
      </c>
    </row>
    <row r="221" spans="1:52" ht="15.75">
      <c r="A221" s="157" t="s">
        <v>110</v>
      </c>
      <c r="B221" s="152" t="s">
        <v>145</v>
      </c>
      <c r="C221" s="152" t="s">
        <v>6</v>
      </c>
      <c r="D221" s="54" t="s">
        <v>3</v>
      </c>
      <c r="E221" s="40">
        <f t="shared" si="524"/>
        <v>9443.9999999999982</v>
      </c>
      <c r="F221" s="40">
        <f t="shared" si="524"/>
        <v>9433.1999999999989</v>
      </c>
      <c r="G221" s="41">
        <f>F221/E221*100</f>
        <v>99.885641677255407</v>
      </c>
      <c r="H221" s="40">
        <f>H222+H223+H224+H225</f>
        <v>0</v>
      </c>
      <c r="I221" s="40"/>
      <c r="J221" s="38"/>
      <c r="K221" s="40">
        <f t="shared" ref="K221:AP221" si="540">K222+K223+K224+K225</f>
        <v>0</v>
      </c>
      <c r="L221" s="40"/>
      <c r="M221" s="38"/>
      <c r="N221" s="40">
        <f t="shared" si="540"/>
        <v>0</v>
      </c>
      <c r="O221" s="40"/>
      <c r="P221" s="38"/>
      <c r="Q221" s="40">
        <f t="shared" si="540"/>
        <v>48.5</v>
      </c>
      <c r="R221" s="40">
        <f t="shared" si="540"/>
        <v>7.2</v>
      </c>
      <c r="S221" s="41">
        <f>R221/Q221*100</f>
        <v>14.845360824742269</v>
      </c>
      <c r="T221" s="40">
        <f t="shared" si="540"/>
        <v>1342.5</v>
      </c>
      <c r="U221" s="40">
        <f t="shared" si="540"/>
        <v>1362.3</v>
      </c>
      <c r="V221" s="41">
        <f>U221/T221*100</f>
        <v>101.47486033519553</v>
      </c>
      <c r="W221" s="40">
        <f t="shared" si="540"/>
        <v>3940.9</v>
      </c>
      <c r="X221" s="40">
        <f t="shared" si="540"/>
        <v>3936.4</v>
      </c>
      <c r="Y221" s="41">
        <f>X221/W221*100</f>
        <v>99.885812885381512</v>
      </c>
      <c r="Z221" s="40">
        <f t="shared" si="540"/>
        <v>3035.9</v>
      </c>
      <c r="AA221" s="40">
        <f t="shared" si="540"/>
        <v>3035.9</v>
      </c>
      <c r="AB221" s="41">
        <f>AA221/Z221*100</f>
        <v>100</v>
      </c>
      <c r="AC221" s="40">
        <f t="shared" si="540"/>
        <v>984.4</v>
      </c>
      <c r="AD221" s="40">
        <f t="shared" si="540"/>
        <v>984.4</v>
      </c>
      <c r="AE221" s="41">
        <f>AD221/AC221*100</f>
        <v>100</v>
      </c>
      <c r="AF221" s="40">
        <f t="shared" si="540"/>
        <v>63</v>
      </c>
      <c r="AG221" s="40">
        <f t="shared" si="540"/>
        <v>50</v>
      </c>
      <c r="AH221" s="41">
        <f>AG221/AF221*100</f>
        <v>79.365079365079367</v>
      </c>
      <c r="AI221" s="40">
        <f t="shared" si="540"/>
        <v>0</v>
      </c>
      <c r="AJ221" s="40">
        <f t="shared" si="540"/>
        <v>47</v>
      </c>
      <c r="AK221" s="38"/>
      <c r="AL221" s="40">
        <f>AL222+AL223+AL224+AL225</f>
        <v>28.8</v>
      </c>
      <c r="AM221" s="40">
        <f>AM222+AM223+AM224+AM225</f>
        <v>10</v>
      </c>
      <c r="AN221" s="41">
        <f>AM221/AL221*100</f>
        <v>34.722222222222221</v>
      </c>
      <c r="AO221" s="40">
        <f t="shared" si="540"/>
        <v>0</v>
      </c>
      <c r="AP221" s="40">
        <f t="shared" si="540"/>
        <v>0</v>
      </c>
      <c r="AQ221" s="38"/>
      <c r="AR221" s="52"/>
      <c r="AS221" s="52"/>
      <c r="AT221" s="43">
        <f t="shared" si="529"/>
        <v>0.9988564167725541</v>
      </c>
      <c r="AU221" s="55">
        <f t="shared" si="456"/>
        <v>0</v>
      </c>
      <c r="AV221" s="55">
        <f t="shared" si="457"/>
        <v>5331.9</v>
      </c>
      <c r="AW221" s="55">
        <f t="shared" si="458"/>
        <v>4083.3</v>
      </c>
      <c r="AX221" s="55">
        <f t="shared" si="459"/>
        <v>28.8</v>
      </c>
      <c r="AY221" s="56">
        <f>AY223+AY224</f>
        <v>9444</v>
      </c>
      <c r="AZ221" s="55">
        <f t="shared" si="460"/>
        <v>1.8118839761882555E-13</v>
      </c>
    </row>
    <row r="222" spans="1:52" ht="15.75">
      <c r="A222" s="157"/>
      <c r="B222" s="152"/>
      <c r="C222" s="152"/>
      <c r="D222" s="54" t="s">
        <v>23</v>
      </c>
      <c r="E222" s="40">
        <f t="shared" si="524"/>
        <v>0</v>
      </c>
      <c r="F222" s="40">
        <f t="shared" si="524"/>
        <v>0</v>
      </c>
      <c r="G222" s="41"/>
      <c r="H222" s="40"/>
      <c r="I222" s="40"/>
      <c r="J222" s="38"/>
      <c r="K222" s="40"/>
      <c r="L222" s="40"/>
      <c r="M222" s="38"/>
      <c r="N222" s="40"/>
      <c r="O222" s="40"/>
      <c r="P222" s="38"/>
      <c r="Q222" s="40"/>
      <c r="R222" s="40"/>
      <c r="S222" s="41"/>
      <c r="T222" s="40"/>
      <c r="U222" s="40"/>
      <c r="V222" s="38"/>
      <c r="W222" s="40"/>
      <c r="X222" s="40"/>
      <c r="Y222" s="41"/>
      <c r="Z222" s="40"/>
      <c r="AA222" s="40"/>
      <c r="AB222" s="41"/>
      <c r="AC222" s="40"/>
      <c r="AD222" s="40"/>
      <c r="AE222" s="38"/>
      <c r="AF222" s="40"/>
      <c r="AG222" s="40"/>
      <c r="AH222" s="41"/>
      <c r="AI222" s="40"/>
      <c r="AJ222" s="40"/>
      <c r="AK222" s="38"/>
      <c r="AL222" s="40"/>
      <c r="AM222" s="40"/>
      <c r="AN222" s="41"/>
      <c r="AO222" s="40"/>
      <c r="AP222" s="40"/>
      <c r="AQ222" s="38"/>
      <c r="AR222" s="52"/>
      <c r="AS222" s="52"/>
      <c r="AT222" s="43"/>
      <c r="AU222" s="55">
        <f t="shared" si="456"/>
        <v>0</v>
      </c>
      <c r="AV222" s="55">
        <f t="shared" si="457"/>
        <v>0</v>
      </c>
      <c r="AW222" s="55">
        <f t="shared" si="458"/>
        <v>0</v>
      </c>
      <c r="AX222" s="55">
        <f t="shared" si="459"/>
        <v>0</v>
      </c>
      <c r="AZ222" s="55">
        <f t="shared" si="460"/>
        <v>0</v>
      </c>
    </row>
    <row r="223" spans="1:52" ht="38.25" customHeight="1">
      <c r="A223" s="157"/>
      <c r="B223" s="152"/>
      <c r="C223" s="152"/>
      <c r="D223" s="54" t="s">
        <v>4</v>
      </c>
      <c r="E223" s="40">
        <f t="shared" si="524"/>
        <v>9144</v>
      </c>
      <c r="F223" s="40">
        <f t="shared" si="524"/>
        <v>9133.2000000000007</v>
      </c>
      <c r="G223" s="41">
        <f t="shared" ref="G223:G224" si="541">F223/E223*100</f>
        <v>99.881889763779526</v>
      </c>
      <c r="H223" s="40"/>
      <c r="I223" s="40"/>
      <c r="J223" s="38"/>
      <c r="K223" s="40"/>
      <c r="L223" s="40"/>
      <c r="M223" s="38"/>
      <c r="N223" s="40"/>
      <c r="O223" s="40"/>
      <c r="P223" s="38"/>
      <c r="Q223" s="40"/>
      <c r="R223" s="40"/>
      <c r="S223" s="41"/>
      <c r="T223" s="40">
        <v>1300</v>
      </c>
      <c r="U223" s="40">
        <v>1300</v>
      </c>
      <c r="V223" s="41">
        <f t="shared" ref="V223:V224" si="542">U223/T223*100</f>
        <v>100</v>
      </c>
      <c r="W223" s="40">
        <v>3900</v>
      </c>
      <c r="X223" s="40">
        <v>3900</v>
      </c>
      <c r="Y223" s="41">
        <f t="shared" ref="Y223:Y224" si="543">X223/W223*100</f>
        <v>100</v>
      </c>
      <c r="Z223" s="40">
        <v>3000</v>
      </c>
      <c r="AA223" s="40">
        <v>3000</v>
      </c>
      <c r="AB223" s="41">
        <f t="shared" ref="AB223:AB224" si="544">AA223/Z223*100</f>
        <v>100</v>
      </c>
      <c r="AC223" s="40">
        <v>944</v>
      </c>
      <c r="AD223" s="40">
        <v>944</v>
      </c>
      <c r="AE223" s="41">
        <f t="shared" ref="AE223:AE224" si="545">AD223/AC223*100</f>
        <v>100</v>
      </c>
      <c r="AF223" s="40"/>
      <c r="AG223" s="40"/>
      <c r="AH223" s="41"/>
      <c r="AI223" s="40"/>
      <c r="AJ223" s="40">
        <v>-10.8</v>
      </c>
      <c r="AK223" s="38"/>
      <c r="AL223" s="40"/>
      <c r="AM223" s="40">
        <v>0</v>
      </c>
      <c r="AN223" s="41"/>
      <c r="AO223" s="40"/>
      <c r="AP223" s="40"/>
      <c r="AQ223" s="38"/>
      <c r="AR223" s="142" t="s">
        <v>65</v>
      </c>
      <c r="AS223" s="116" t="s">
        <v>185</v>
      </c>
      <c r="AT223" s="43">
        <f t="shared" si="529"/>
        <v>0.9988188976377953</v>
      </c>
      <c r="AU223" s="55">
        <f t="shared" si="456"/>
        <v>0</v>
      </c>
      <c r="AV223" s="55">
        <f t="shared" si="457"/>
        <v>5200</v>
      </c>
      <c r="AW223" s="55">
        <f t="shared" si="458"/>
        <v>3944</v>
      </c>
      <c r="AX223" s="55">
        <f t="shared" si="459"/>
        <v>0</v>
      </c>
      <c r="AY223" s="56">
        <v>9144</v>
      </c>
      <c r="AZ223" s="55">
        <f t="shared" si="460"/>
        <v>0</v>
      </c>
    </row>
    <row r="224" spans="1:52" ht="23.25" customHeight="1">
      <c r="A224" s="157"/>
      <c r="B224" s="152"/>
      <c r="C224" s="152"/>
      <c r="D224" s="54" t="s">
        <v>70</v>
      </c>
      <c r="E224" s="40">
        <f>H224+K224+N224+Q224+T224+W224+Z224+AC224+AF224+AI224+AL224+AO224</f>
        <v>300.00000000000006</v>
      </c>
      <c r="F224" s="40">
        <f>I224+L224+O224+R224+U224+X224+AA224+AD224+AG224+AJ224+AM224+AP224</f>
        <v>300</v>
      </c>
      <c r="G224" s="41">
        <f t="shared" si="541"/>
        <v>99.999999999999972</v>
      </c>
      <c r="H224" s="40"/>
      <c r="I224" s="40"/>
      <c r="J224" s="38"/>
      <c r="K224" s="40"/>
      <c r="L224" s="40"/>
      <c r="M224" s="38"/>
      <c r="N224" s="40"/>
      <c r="O224" s="40"/>
      <c r="P224" s="38"/>
      <c r="Q224" s="40">
        <v>48.5</v>
      </c>
      <c r="R224" s="40">
        <v>7.2</v>
      </c>
      <c r="S224" s="41">
        <f t="shared" ref="S224" si="546">R224/Q224*100</f>
        <v>14.845360824742269</v>
      </c>
      <c r="T224" s="40">
        <v>42.5</v>
      </c>
      <c r="U224" s="40">
        <v>62.3</v>
      </c>
      <c r="V224" s="41">
        <f t="shared" si="542"/>
        <v>146.58823529411765</v>
      </c>
      <c r="W224" s="40">
        <f>40.9</f>
        <v>40.9</v>
      </c>
      <c r="X224" s="40">
        <v>36.4</v>
      </c>
      <c r="Y224" s="41">
        <f t="shared" si="543"/>
        <v>88.997555012224936</v>
      </c>
      <c r="Z224" s="40">
        <v>35.9</v>
      </c>
      <c r="AA224" s="40">
        <v>35.9</v>
      </c>
      <c r="AB224" s="41">
        <f t="shared" si="544"/>
        <v>100</v>
      </c>
      <c r="AC224" s="40">
        <v>40.4</v>
      </c>
      <c r="AD224" s="40">
        <v>40.4</v>
      </c>
      <c r="AE224" s="41">
        <f t="shared" si="545"/>
        <v>100</v>
      </c>
      <c r="AF224" s="40">
        <f>63</f>
        <v>63</v>
      </c>
      <c r="AG224" s="40">
        <v>50</v>
      </c>
      <c r="AH224" s="41">
        <f t="shared" ref="AH224" si="547">AG224/AF224*100</f>
        <v>79.365079365079367</v>
      </c>
      <c r="AI224" s="40"/>
      <c r="AJ224" s="40">
        <v>57.8</v>
      </c>
      <c r="AK224" s="38"/>
      <c r="AL224" s="40">
        <v>28.8</v>
      </c>
      <c r="AM224" s="40">
        <v>10</v>
      </c>
      <c r="AN224" s="41">
        <f>AM224/AL224*100</f>
        <v>34.722222222222221</v>
      </c>
      <c r="AO224" s="40"/>
      <c r="AP224" s="40"/>
      <c r="AQ224" s="38"/>
      <c r="AR224" s="143"/>
      <c r="AS224" s="64"/>
      <c r="AT224" s="43">
        <f>(I224+L224+O224+R224+U224+X224+AA224+AD224+AG224+AJ224+AM224)/(H224+K224+N224+Q224+T224+W224+Z224+AC224+AF224+AI224+AL224)</f>
        <v>0.99999999999999978</v>
      </c>
      <c r="AU224" s="55">
        <f t="shared" si="456"/>
        <v>0</v>
      </c>
      <c r="AV224" s="55">
        <f t="shared" si="457"/>
        <v>131.9</v>
      </c>
      <c r="AW224" s="55">
        <f t="shared" si="458"/>
        <v>139.30000000000001</v>
      </c>
      <c r="AX224" s="55">
        <f>AI224+AL224+AO224</f>
        <v>28.8</v>
      </c>
      <c r="AY224" s="56">
        <v>300</v>
      </c>
      <c r="AZ224" s="55">
        <f t="shared" si="460"/>
        <v>0</v>
      </c>
    </row>
    <row r="225" spans="1:52" ht="15.75">
      <c r="A225" s="157"/>
      <c r="B225" s="152"/>
      <c r="C225" s="152"/>
      <c r="D225" s="54" t="s">
        <v>24</v>
      </c>
      <c r="E225" s="40">
        <f t="shared" si="524"/>
        <v>0</v>
      </c>
      <c r="F225" s="40">
        <f t="shared" si="524"/>
        <v>0</v>
      </c>
      <c r="G225" s="41"/>
      <c r="H225" s="40"/>
      <c r="I225" s="40"/>
      <c r="J225" s="41"/>
      <c r="K225" s="40"/>
      <c r="L225" s="40"/>
      <c r="M225" s="41"/>
      <c r="N225" s="40"/>
      <c r="O225" s="40"/>
      <c r="P225" s="41"/>
      <c r="Q225" s="40"/>
      <c r="R225" s="40"/>
      <c r="S225" s="41"/>
      <c r="T225" s="40"/>
      <c r="U225" s="40"/>
      <c r="V225" s="41"/>
      <c r="W225" s="40"/>
      <c r="X225" s="40"/>
      <c r="Y225" s="41"/>
      <c r="Z225" s="40"/>
      <c r="AA225" s="40"/>
      <c r="AB225" s="41"/>
      <c r="AC225" s="40"/>
      <c r="AD225" s="40"/>
      <c r="AE225" s="41"/>
      <c r="AF225" s="40"/>
      <c r="AG225" s="40"/>
      <c r="AH225" s="41"/>
      <c r="AI225" s="40"/>
      <c r="AJ225" s="40"/>
      <c r="AK225" s="41"/>
      <c r="AL225" s="40"/>
      <c r="AM225" s="40"/>
      <c r="AN225" s="41"/>
      <c r="AO225" s="40"/>
      <c r="AP225" s="40"/>
      <c r="AQ225" s="41"/>
      <c r="AR225" s="52"/>
      <c r="AS225" s="52"/>
      <c r="AT225" s="43"/>
      <c r="AU225" s="55">
        <f t="shared" si="456"/>
        <v>0</v>
      </c>
      <c r="AV225" s="55">
        <f t="shared" si="457"/>
        <v>0</v>
      </c>
      <c r="AW225" s="55">
        <f t="shared" si="458"/>
        <v>0</v>
      </c>
      <c r="AX225" s="55">
        <f t="shared" si="459"/>
        <v>0</v>
      </c>
      <c r="AZ225" s="55">
        <f t="shared" si="460"/>
        <v>0</v>
      </c>
    </row>
    <row r="226" spans="1:52" ht="14.25" customHeight="1">
      <c r="A226" s="157" t="s">
        <v>111</v>
      </c>
      <c r="B226" s="152" t="s">
        <v>146</v>
      </c>
      <c r="C226" s="152" t="s">
        <v>6</v>
      </c>
      <c r="D226" s="54" t="s">
        <v>3</v>
      </c>
      <c r="E226" s="40">
        <f t="shared" si="524"/>
        <v>0</v>
      </c>
      <c r="F226" s="40">
        <f t="shared" si="524"/>
        <v>0</v>
      </c>
      <c r="G226" s="41"/>
      <c r="H226" s="40">
        <f>H227+H228+H229+H230</f>
        <v>0</v>
      </c>
      <c r="I226" s="40"/>
      <c r="J226" s="41"/>
      <c r="K226" s="40">
        <f t="shared" ref="K226:AO226" si="548">K227+K228+K229+K230</f>
        <v>0</v>
      </c>
      <c r="L226" s="40"/>
      <c r="M226" s="41"/>
      <c r="N226" s="40">
        <f t="shared" si="548"/>
        <v>0</v>
      </c>
      <c r="O226" s="40"/>
      <c r="P226" s="41"/>
      <c r="Q226" s="40">
        <f t="shared" si="548"/>
        <v>0</v>
      </c>
      <c r="R226" s="40"/>
      <c r="S226" s="41"/>
      <c r="T226" s="40">
        <f t="shared" si="548"/>
        <v>0</v>
      </c>
      <c r="U226" s="40"/>
      <c r="V226" s="41"/>
      <c r="W226" s="40">
        <f t="shared" si="548"/>
        <v>0</v>
      </c>
      <c r="X226" s="40"/>
      <c r="Y226" s="41"/>
      <c r="Z226" s="40">
        <f t="shared" si="548"/>
        <v>0</v>
      </c>
      <c r="AA226" s="40"/>
      <c r="AB226" s="41"/>
      <c r="AC226" s="40">
        <f t="shared" si="548"/>
        <v>0</v>
      </c>
      <c r="AD226" s="40"/>
      <c r="AE226" s="41"/>
      <c r="AF226" s="40">
        <f t="shared" si="548"/>
        <v>0</v>
      </c>
      <c r="AG226" s="40"/>
      <c r="AH226" s="41"/>
      <c r="AI226" s="40">
        <f t="shared" si="548"/>
        <v>0</v>
      </c>
      <c r="AJ226" s="40"/>
      <c r="AK226" s="41"/>
      <c r="AL226" s="40">
        <f t="shared" si="548"/>
        <v>0</v>
      </c>
      <c r="AM226" s="40"/>
      <c r="AN226" s="41"/>
      <c r="AO226" s="40">
        <f t="shared" si="548"/>
        <v>0</v>
      </c>
      <c r="AP226" s="40"/>
      <c r="AQ226" s="41"/>
      <c r="AR226" s="52"/>
      <c r="AS226" s="52"/>
      <c r="AT226" s="43"/>
      <c r="AU226" s="55">
        <f t="shared" si="456"/>
        <v>0</v>
      </c>
      <c r="AV226" s="55">
        <f t="shared" si="457"/>
        <v>0</v>
      </c>
      <c r="AW226" s="55">
        <f t="shared" si="458"/>
        <v>0</v>
      </c>
      <c r="AX226" s="55">
        <f t="shared" si="459"/>
        <v>0</v>
      </c>
      <c r="AZ226" s="55">
        <f t="shared" si="460"/>
        <v>0</v>
      </c>
    </row>
    <row r="227" spans="1:52" ht="14.25" customHeight="1">
      <c r="A227" s="157"/>
      <c r="B227" s="152"/>
      <c r="C227" s="152"/>
      <c r="D227" s="54" t="s">
        <v>23</v>
      </c>
      <c r="E227" s="40">
        <f t="shared" si="524"/>
        <v>0</v>
      </c>
      <c r="F227" s="40">
        <f t="shared" si="524"/>
        <v>0</v>
      </c>
      <c r="G227" s="41"/>
      <c r="H227" s="40"/>
      <c r="I227" s="40"/>
      <c r="J227" s="41"/>
      <c r="K227" s="40"/>
      <c r="L227" s="40"/>
      <c r="M227" s="41"/>
      <c r="N227" s="40"/>
      <c r="O227" s="40"/>
      <c r="P227" s="41"/>
      <c r="Q227" s="40"/>
      <c r="R227" s="40"/>
      <c r="S227" s="41"/>
      <c r="T227" s="40"/>
      <c r="U227" s="40"/>
      <c r="V227" s="41"/>
      <c r="W227" s="40"/>
      <c r="X227" s="40"/>
      <c r="Y227" s="41"/>
      <c r="Z227" s="40"/>
      <c r="AA227" s="40"/>
      <c r="AB227" s="41"/>
      <c r="AC227" s="40"/>
      <c r="AD227" s="40"/>
      <c r="AE227" s="41"/>
      <c r="AF227" s="40"/>
      <c r="AG227" s="40"/>
      <c r="AH227" s="41"/>
      <c r="AI227" s="40"/>
      <c r="AJ227" s="40"/>
      <c r="AK227" s="41"/>
      <c r="AL227" s="40"/>
      <c r="AM227" s="40"/>
      <c r="AN227" s="41"/>
      <c r="AO227" s="40"/>
      <c r="AP227" s="40"/>
      <c r="AQ227" s="41"/>
      <c r="AR227" s="52"/>
      <c r="AS227" s="52"/>
      <c r="AT227" s="43"/>
      <c r="AU227" s="55">
        <f t="shared" si="456"/>
        <v>0</v>
      </c>
      <c r="AV227" s="55">
        <f t="shared" si="457"/>
        <v>0</v>
      </c>
      <c r="AW227" s="55">
        <f t="shared" si="458"/>
        <v>0</v>
      </c>
      <c r="AX227" s="55">
        <f t="shared" si="459"/>
        <v>0</v>
      </c>
      <c r="AZ227" s="55">
        <f t="shared" si="460"/>
        <v>0</v>
      </c>
    </row>
    <row r="228" spans="1:52" ht="24">
      <c r="A228" s="157"/>
      <c r="B228" s="152"/>
      <c r="C228" s="152"/>
      <c r="D228" s="54" t="s">
        <v>4</v>
      </c>
      <c r="E228" s="40">
        <f t="shared" si="524"/>
        <v>0</v>
      </c>
      <c r="F228" s="40">
        <f t="shared" si="524"/>
        <v>0</v>
      </c>
      <c r="G228" s="41"/>
      <c r="H228" s="40"/>
      <c r="I228" s="40"/>
      <c r="J228" s="41"/>
      <c r="K228" s="40"/>
      <c r="L228" s="40"/>
      <c r="M228" s="41"/>
      <c r="N228" s="40"/>
      <c r="O228" s="40"/>
      <c r="P228" s="41"/>
      <c r="Q228" s="40"/>
      <c r="R228" s="40"/>
      <c r="S228" s="41"/>
      <c r="T228" s="40"/>
      <c r="U228" s="40"/>
      <c r="V228" s="41"/>
      <c r="W228" s="40"/>
      <c r="X228" s="40"/>
      <c r="Y228" s="41"/>
      <c r="Z228" s="40"/>
      <c r="AA228" s="40"/>
      <c r="AB228" s="41"/>
      <c r="AC228" s="40"/>
      <c r="AD228" s="40"/>
      <c r="AE228" s="41"/>
      <c r="AF228" s="40"/>
      <c r="AG228" s="40"/>
      <c r="AH228" s="41"/>
      <c r="AI228" s="40"/>
      <c r="AJ228" s="40"/>
      <c r="AK228" s="41"/>
      <c r="AL228" s="40"/>
      <c r="AM228" s="40"/>
      <c r="AN228" s="41"/>
      <c r="AO228" s="40"/>
      <c r="AP228" s="40"/>
      <c r="AQ228" s="41"/>
      <c r="AR228" s="52"/>
      <c r="AS228" s="52"/>
      <c r="AT228" s="43"/>
      <c r="AU228" s="55">
        <f t="shared" si="456"/>
        <v>0</v>
      </c>
      <c r="AV228" s="55">
        <f t="shared" si="457"/>
        <v>0</v>
      </c>
      <c r="AW228" s="55">
        <f t="shared" si="458"/>
        <v>0</v>
      </c>
      <c r="AX228" s="55">
        <f t="shared" si="459"/>
        <v>0</v>
      </c>
      <c r="AZ228" s="55">
        <f t="shared" si="460"/>
        <v>0</v>
      </c>
    </row>
    <row r="229" spans="1:52" ht="14.25" customHeight="1">
      <c r="A229" s="157"/>
      <c r="B229" s="152"/>
      <c r="C229" s="152"/>
      <c r="D229" s="54" t="s">
        <v>70</v>
      </c>
      <c r="E229" s="40">
        <f t="shared" si="524"/>
        <v>0</v>
      </c>
      <c r="F229" s="40">
        <f t="shared" si="524"/>
        <v>0</v>
      </c>
      <c r="G229" s="41"/>
      <c r="H229" s="40"/>
      <c r="I229" s="40"/>
      <c r="J229" s="41"/>
      <c r="K229" s="40"/>
      <c r="L229" s="40"/>
      <c r="M229" s="41"/>
      <c r="N229" s="40"/>
      <c r="O229" s="40"/>
      <c r="P229" s="41"/>
      <c r="Q229" s="40"/>
      <c r="R229" s="40"/>
      <c r="S229" s="41"/>
      <c r="T229" s="40"/>
      <c r="U229" s="40"/>
      <c r="V229" s="41"/>
      <c r="W229" s="40"/>
      <c r="X229" s="40"/>
      <c r="Y229" s="41"/>
      <c r="Z229" s="40"/>
      <c r="AA229" s="40"/>
      <c r="AB229" s="41"/>
      <c r="AC229" s="40"/>
      <c r="AD229" s="40"/>
      <c r="AE229" s="41"/>
      <c r="AF229" s="40"/>
      <c r="AG229" s="40"/>
      <c r="AH229" s="41"/>
      <c r="AI229" s="40"/>
      <c r="AJ229" s="40"/>
      <c r="AK229" s="41"/>
      <c r="AL229" s="40"/>
      <c r="AM229" s="40"/>
      <c r="AN229" s="41"/>
      <c r="AO229" s="40"/>
      <c r="AP229" s="40"/>
      <c r="AQ229" s="41"/>
      <c r="AR229" s="52"/>
      <c r="AS229" s="52"/>
      <c r="AT229" s="43"/>
      <c r="AU229" s="55">
        <f t="shared" si="456"/>
        <v>0</v>
      </c>
      <c r="AV229" s="55">
        <f t="shared" si="457"/>
        <v>0</v>
      </c>
      <c r="AW229" s="55">
        <f t="shared" si="458"/>
        <v>0</v>
      </c>
      <c r="AX229" s="55">
        <f t="shared" si="459"/>
        <v>0</v>
      </c>
      <c r="AZ229" s="55">
        <f t="shared" si="460"/>
        <v>0</v>
      </c>
    </row>
    <row r="230" spans="1:52" ht="14.25" customHeight="1" thickBot="1">
      <c r="A230" s="157"/>
      <c r="B230" s="152"/>
      <c r="C230" s="152"/>
      <c r="D230" s="54" t="s">
        <v>24</v>
      </c>
      <c r="E230" s="40">
        <f t="shared" si="524"/>
        <v>0</v>
      </c>
      <c r="F230" s="40">
        <f t="shared" si="524"/>
        <v>0</v>
      </c>
      <c r="G230" s="41"/>
      <c r="H230" s="40"/>
      <c r="I230" s="40"/>
      <c r="J230" s="41"/>
      <c r="K230" s="40"/>
      <c r="L230" s="40"/>
      <c r="M230" s="41"/>
      <c r="N230" s="40"/>
      <c r="O230" s="40"/>
      <c r="P230" s="41"/>
      <c r="Q230" s="40"/>
      <c r="R230" s="40"/>
      <c r="S230" s="41"/>
      <c r="T230" s="40"/>
      <c r="U230" s="40"/>
      <c r="V230" s="41"/>
      <c r="W230" s="40"/>
      <c r="X230" s="40"/>
      <c r="Y230" s="41"/>
      <c r="Z230" s="40"/>
      <c r="AA230" s="40"/>
      <c r="AB230" s="41"/>
      <c r="AC230" s="40"/>
      <c r="AD230" s="40"/>
      <c r="AE230" s="41"/>
      <c r="AF230" s="40"/>
      <c r="AG230" s="40"/>
      <c r="AH230" s="41"/>
      <c r="AI230" s="40"/>
      <c r="AJ230" s="40"/>
      <c r="AK230" s="41"/>
      <c r="AL230" s="40"/>
      <c r="AM230" s="40"/>
      <c r="AN230" s="41"/>
      <c r="AO230" s="40"/>
      <c r="AP230" s="40"/>
      <c r="AQ230" s="41"/>
      <c r="AR230" s="52"/>
      <c r="AS230" s="52"/>
      <c r="AT230" s="43"/>
      <c r="AU230" s="55">
        <f t="shared" si="456"/>
        <v>0</v>
      </c>
      <c r="AV230" s="55">
        <f t="shared" si="457"/>
        <v>0</v>
      </c>
      <c r="AW230" s="55">
        <f t="shared" si="458"/>
        <v>0</v>
      </c>
      <c r="AX230" s="55">
        <f t="shared" si="459"/>
        <v>0</v>
      </c>
      <c r="AZ230" s="55">
        <f t="shared" si="460"/>
        <v>0</v>
      </c>
    </row>
    <row r="231" spans="1:52" ht="15.75">
      <c r="A231" s="160" t="s">
        <v>20</v>
      </c>
      <c r="B231" s="160"/>
      <c r="C231" s="160"/>
      <c r="D231" s="58" t="s">
        <v>3</v>
      </c>
      <c r="E231" s="59">
        <f t="shared" si="524"/>
        <v>23149.8</v>
      </c>
      <c r="F231" s="59">
        <f t="shared" si="524"/>
        <v>23138.6</v>
      </c>
      <c r="G231" s="42">
        <f>F231/E231*100</f>
        <v>99.951619452435864</v>
      </c>
      <c r="H231" s="76">
        <f>H232+H233+H234+H235</f>
        <v>0</v>
      </c>
      <c r="I231" s="76">
        <f>I232+I233+I234+I235</f>
        <v>0</v>
      </c>
      <c r="J231" s="39"/>
      <c r="K231" s="76">
        <f t="shared" ref="K231:AO231" si="549">K232+K233+K234+K235</f>
        <v>363.1</v>
      </c>
      <c r="L231" s="76">
        <f t="shared" si="549"/>
        <v>363.1</v>
      </c>
      <c r="M231" s="42">
        <f>L231/K231*100</f>
        <v>100</v>
      </c>
      <c r="N231" s="76">
        <f t="shared" si="549"/>
        <v>1355.3</v>
      </c>
      <c r="O231" s="76">
        <f t="shared" si="549"/>
        <v>1355.1</v>
      </c>
      <c r="P231" s="42">
        <f>O231/N231*100</f>
        <v>99.985243119604519</v>
      </c>
      <c r="Q231" s="76">
        <f t="shared" si="549"/>
        <v>48.5</v>
      </c>
      <c r="R231" s="76">
        <f t="shared" ref="R231" si="550">R232+R233+R234+R235</f>
        <v>7.2</v>
      </c>
      <c r="S231" s="42">
        <f>R231/Q231*100</f>
        <v>14.845360824742269</v>
      </c>
      <c r="T231" s="76">
        <f t="shared" si="549"/>
        <v>1392.9</v>
      </c>
      <c r="U231" s="76">
        <f t="shared" ref="U231" si="551">U232+U233+U234+U235</f>
        <v>1412.7</v>
      </c>
      <c r="V231" s="42">
        <f>U231/T231*100</f>
        <v>101.42149472323929</v>
      </c>
      <c r="W231" s="76">
        <f t="shared" si="549"/>
        <v>6655.3</v>
      </c>
      <c r="X231" s="76">
        <f t="shared" ref="X231" si="552">X232+X233+X234+X235</f>
        <v>6650.7000000000007</v>
      </c>
      <c r="Y231" s="42">
        <f>X231/W231*100</f>
        <v>99.930882154072691</v>
      </c>
      <c r="Z231" s="76">
        <f t="shared" si="549"/>
        <v>8285.1</v>
      </c>
      <c r="AA231" s="76">
        <f t="shared" ref="AA231" si="553">AA232+AA233+AA234+AA235</f>
        <v>6676.8</v>
      </c>
      <c r="AB231" s="42">
        <f>AA231/Z231*100</f>
        <v>80.588043596335595</v>
      </c>
      <c r="AC231" s="76">
        <f t="shared" si="549"/>
        <v>2853.8</v>
      </c>
      <c r="AD231" s="76">
        <f t="shared" ref="AD231" si="554">AD232+AD233+AD234+AD235</f>
        <v>3959.3</v>
      </c>
      <c r="AE231" s="42">
        <f>AD231/AC231*100</f>
        <v>138.73782325320624</v>
      </c>
      <c r="AF231" s="76">
        <f t="shared" si="549"/>
        <v>471.2</v>
      </c>
      <c r="AG231" s="76">
        <f t="shared" ref="AG231" si="555">AG232+AG233+AG234+AG235</f>
        <v>829.6</v>
      </c>
      <c r="AH231" s="42">
        <f>AG231/AF231*100</f>
        <v>176.06112054329373</v>
      </c>
      <c r="AI231" s="76">
        <f t="shared" si="549"/>
        <v>213.3</v>
      </c>
      <c r="AJ231" s="76">
        <f t="shared" ref="AJ231" si="556">AJ232+AJ233+AJ234+AJ235</f>
        <v>47</v>
      </c>
      <c r="AK231" s="42">
        <f>AJ231/AI231*100</f>
        <v>22.034692920768869</v>
      </c>
      <c r="AL231" s="76">
        <f t="shared" si="549"/>
        <v>1448.6999999999998</v>
      </c>
      <c r="AM231" s="76">
        <f t="shared" ref="AM231" si="557">AM232+AM233+AM234+AM235</f>
        <v>1592.8</v>
      </c>
      <c r="AN231" s="42">
        <f>AM231/AL231*100</f>
        <v>109.94684889901292</v>
      </c>
      <c r="AO231" s="76">
        <f t="shared" si="549"/>
        <v>62.599999999999994</v>
      </c>
      <c r="AP231" s="76">
        <f t="shared" ref="AP231" si="558">AP232+AP233+AP234+AP235</f>
        <v>244.3</v>
      </c>
      <c r="AQ231" s="42">
        <f>AP231/AO231*100</f>
        <v>390.25559105431313</v>
      </c>
      <c r="AR231" s="52"/>
      <c r="AS231" s="52"/>
      <c r="AT231" s="43">
        <f t="shared" si="529"/>
        <v>0.99164472088429945</v>
      </c>
      <c r="AU231" s="101">
        <f t="shared" si="456"/>
        <v>1718.4</v>
      </c>
      <c r="AV231" s="101">
        <f t="shared" si="457"/>
        <v>8096.7000000000007</v>
      </c>
      <c r="AW231" s="101">
        <f t="shared" si="458"/>
        <v>11610.100000000002</v>
      </c>
      <c r="AX231" s="101">
        <f t="shared" si="459"/>
        <v>1724.5999999999997</v>
      </c>
      <c r="AY231" s="77">
        <f t="shared" ref="AY231" si="559">AY232+AY233+AY234+AY235</f>
        <v>24139.300000000003</v>
      </c>
      <c r="AZ231" s="55">
        <f t="shared" si="460"/>
        <v>989.49999999999886</v>
      </c>
    </row>
    <row r="232" spans="1:52" ht="14.25" customHeight="1">
      <c r="A232" s="160"/>
      <c r="B232" s="160"/>
      <c r="C232" s="160"/>
      <c r="D232" s="58" t="s">
        <v>23</v>
      </c>
      <c r="E232" s="59">
        <f t="shared" si="524"/>
        <v>0</v>
      </c>
      <c r="F232" s="59">
        <f t="shared" si="524"/>
        <v>0</v>
      </c>
      <c r="G232" s="42"/>
      <c r="H232" s="76">
        <f t="shared" ref="H232:I235" si="560">H217+H222+H227</f>
        <v>0</v>
      </c>
      <c r="I232" s="76">
        <f t="shared" si="560"/>
        <v>0</v>
      </c>
      <c r="J232" s="39"/>
      <c r="K232" s="76">
        <f t="shared" ref="K232:AO235" si="561">K217+K222+K227</f>
        <v>0</v>
      </c>
      <c r="L232" s="76">
        <f t="shared" si="561"/>
        <v>0</v>
      </c>
      <c r="M232" s="42"/>
      <c r="N232" s="76">
        <f t="shared" si="561"/>
        <v>0</v>
      </c>
      <c r="O232" s="76">
        <f t="shared" si="561"/>
        <v>0</v>
      </c>
      <c r="P232" s="42"/>
      <c r="Q232" s="76">
        <f t="shared" si="561"/>
        <v>0</v>
      </c>
      <c r="R232" s="76">
        <f t="shared" ref="R232" si="562">R217+R222+R227</f>
        <v>0</v>
      </c>
      <c r="S232" s="42"/>
      <c r="T232" s="76">
        <f t="shared" si="561"/>
        <v>0</v>
      </c>
      <c r="U232" s="76">
        <f t="shared" ref="U232" si="563">U217+U222+U227</f>
        <v>0</v>
      </c>
      <c r="V232" s="42"/>
      <c r="W232" s="76">
        <f t="shared" si="561"/>
        <v>0</v>
      </c>
      <c r="X232" s="76">
        <f t="shared" ref="X232" si="564">X217+X222+X227</f>
        <v>0</v>
      </c>
      <c r="Y232" s="42"/>
      <c r="Z232" s="76">
        <f t="shared" si="561"/>
        <v>0</v>
      </c>
      <c r="AA232" s="76">
        <f t="shared" ref="AA232" si="565">AA217+AA222+AA227</f>
        <v>0</v>
      </c>
      <c r="AB232" s="42"/>
      <c r="AC232" s="76">
        <f t="shared" si="561"/>
        <v>0</v>
      </c>
      <c r="AD232" s="76">
        <f t="shared" ref="AD232" si="566">AD217+AD222+AD227</f>
        <v>0</v>
      </c>
      <c r="AE232" s="42"/>
      <c r="AF232" s="76">
        <f t="shared" si="561"/>
        <v>0</v>
      </c>
      <c r="AG232" s="76">
        <f t="shared" ref="AG232" si="567">AG217+AG222+AG227</f>
        <v>0</v>
      </c>
      <c r="AH232" s="42"/>
      <c r="AI232" s="76">
        <f t="shared" si="561"/>
        <v>0</v>
      </c>
      <c r="AJ232" s="76">
        <f t="shared" ref="AJ232" si="568">AJ217+AJ222+AJ227</f>
        <v>0</v>
      </c>
      <c r="AK232" s="42"/>
      <c r="AL232" s="76">
        <f t="shared" si="561"/>
        <v>0</v>
      </c>
      <c r="AM232" s="76">
        <f t="shared" ref="AM232" si="569">AM217+AM222+AM227</f>
        <v>0</v>
      </c>
      <c r="AN232" s="42"/>
      <c r="AO232" s="76">
        <f t="shared" si="561"/>
        <v>0</v>
      </c>
      <c r="AP232" s="76">
        <f t="shared" ref="AP232" si="570">AP217+AP222+AP227</f>
        <v>0</v>
      </c>
      <c r="AQ232" s="42"/>
      <c r="AR232" s="52"/>
      <c r="AS232" s="52"/>
      <c r="AT232" s="43"/>
      <c r="AU232" s="101">
        <f t="shared" si="456"/>
        <v>0</v>
      </c>
      <c r="AV232" s="101">
        <f t="shared" si="457"/>
        <v>0</v>
      </c>
      <c r="AW232" s="101">
        <f t="shared" si="458"/>
        <v>0</v>
      </c>
      <c r="AX232" s="101">
        <f t="shared" si="459"/>
        <v>0</v>
      </c>
      <c r="AY232" s="78">
        <f t="shared" ref="AY232:AY235" si="571">AY217+AY222+AY227</f>
        <v>0</v>
      </c>
      <c r="AZ232" s="55">
        <f t="shared" si="460"/>
        <v>0</v>
      </c>
    </row>
    <row r="233" spans="1:52" ht="24">
      <c r="A233" s="160"/>
      <c r="B233" s="160"/>
      <c r="C233" s="160"/>
      <c r="D233" s="58" t="s">
        <v>4</v>
      </c>
      <c r="E233" s="59">
        <f t="shared" si="524"/>
        <v>14296.999999999998</v>
      </c>
      <c r="F233" s="59">
        <f t="shared" si="524"/>
        <v>14285.800000000001</v>
      </c>
      <c r="G233" s="42">
        <f t="shared" ref="G233:G234" si="572">F233/E233*100</f>
        <v>99.921661887109209</v>
      </c>
      <c r="H233" s="76">
        <f t="shared" si="560"/>
        <v>0</v>
      </c>
      <c r="I233" s="76">
        <f t="shared" si="560"/>
        <v>0</v>
      </c>
      <c r="J233" s="39"/>
      <c r="K233" s="76">
        <f t="shared" si="561"/>
        <v>0</v>
      </c>
      <c r="L233" s="76">
        <f t="shared" si="561"/>
        <v>0</v>
      </c>
      <c r="M233" s="42"/>
      <c r="N233" s="76">
        <f t="shared" si="561"/>
        <v>715.4</v>
      </c>
      <c r="O233" s="76">
        <f t="shared" si="561"/>
        <v>715.4</v>
      </c>
      <c r="P233" s="42">
        <f t="shared" ref="P233:P234" si="573">O233/N233*100</f>
        <v>100</v>
      </c>
      <c r="Q233" s="76">
        <f t="shared" si="561"/>
        <v>0</v>
      </c>
      <c r="R233" s="76">
        <f t="shared" ref="R233" si="574">R218+R223+R228</f>
        <v>0</v>
      </c>
      <c r="S233" s="42"/>
      <c r="T233" s="76">
        <f t="shared" si="561"/>
        <v>1300</v>
      </c>
      <c r="U233" s="76">
        <f t="shared" ref="U233" si="575">U218+U223+U228</f>
        <v>1300</v>
      </c>
      <c r="V233" s="42">
        <f t="shared" ref="V233:V234" si="576">U233/T233*100</f>
        <v>100</v>
      </c>
      <c r="W233" s="76">
        <f t="shared" si="561"/>
        <v>3900</v>
      </c>
      <c r="X233" s="76">
        <f t="shared" ref="X233" si="577">X218+X223+X228</f>
        <v>3900</v>
      </c>
      <c r="Y233" s="42">
        <f t="shared" ref="Y233:Y234" si="578">X233/W233*100</f>
        <v>100</v>
      </c>
      <c r="Z233" s="76">
        <f t="shared" si="561"/>
        <v>5747.4</v>
      </c>
      <c r="AA233" s="76">
        <f t="shared" ref="AA233" si="579">AA218+AA223+AA228</f>
        <v>4579.3</v>
      </c>
      <c r="AB233" s="42">
        <f t="shared" ref="AB233:AB234" si="580">AA233/Z233*100</f>
        <v>79.676027421094759</v>
      </c>
      <c r="AC233" s="76">
        <f t="shared" si="561"/>
        <v>1828.9</v>
      </c>
      <c r="AD233" s="76">
        <f t="shared" ref="AD233" si="581">AD218+AD223+AD228</f>
        <v>2270.3000000000002</v>
      </c>
      <c r="AE233" s="42">
        <f t="shared" ref="AE233:AE234" si="582">AD233/AC233*100</f>
        <v>124.13472579145935</v>
      </c>
      <c r="AF233" s="76">
        <f t="shared" si="561"/>
        <v>0</v>
      </c>
      <c r="AG233" s="76">
        <f t="shared" ref="AG233" si="583">AG218+AG223+AG228</f>
        <v>726.7</v>
      </c>
      <c r="AH233" s="42"/>
      <c r="AI233" s="76">
        <f t="shared" si="561"/>
        <v>0</v>
      </c>
      <c r="AJ233" s="76">
        <f t="shared" ref="AJ233" si="584">AJ218+AJ223+AJ228</f>
        <v>-10.8</v>
      </c>
      <c r="AK233" s="42"/>
      <c r="AL233" s="76">
        <f t="shared" si="561"/>
        <v>722</v>
      </c>
      <c r="AM233" s="76">
        <f t="shared" ref="AM233" si="585">AM218+AM223+AM228</f>
        <v>634.9</v>
      </c>
      <c r="AN233" s="42">
        <f t="shared" ref="AN233:AN234" si="586">AM233/AL233*100</f>
        <v>87.936288088642655</v>
      </c>
      <c r="AO233" s="76">
        <f t="shared" si="561"/>
        <v>83.3</v>
      </c>
      <c r="AP233" s="76">
        <f t="shared" ref="AP233" si="587">AP218+AP223+AP228</f>
        <v>170</v>
      </c>
      <c r="AQ233" s="42">
        <f t="shared" ref="AQ233:AQ234" si="588">AP233/AO233*100</f>
        <v>204.08163265306123</v>
      </c>
      <c r="AR233" s="52"/>
      <c r="AS233" s="52"/>
      <c r="AT233" s="43">
        <f t="shared" si="529"/>
        <v>0.99311227899843124</v>
      </c>
      <c r="AU233" s="101">
        <f t="shared" si="456"/>
        <v>715.4</v>
      </c>
      <c r="AV233" s="101">
        <f t="shared" si="457"/>
        <v>5200</v>
      </c>
      <c r="AW233" s="101">
        <f t="shared" si="458"/>
        <v>7576.2999999999993</v>
      </c>
      <c r="AX233" s="101">
        <f t="shared" si="459"/>
        <v>805.3</v>
      </c>
      <c r="AY233" s="78">
        <f t="shared" si="571"/>
        <v>14189</v>
      </c>
      <c r="AZ233" s="55">
        <f t="shared" si="460"/>
        <v>-107.99999999999886</v>
      </c>
    </row>
    <row r="234" spans="1:52" ht="14.25" customHeight="1">
      <c r="A234" s="160"/>
      <c r="B234" s="160"/>
      <c r="C234" s="160"/>
      <c r="D234" s="58" t="s">
        <v>70</v>
      </c>
      <c r="E234" s="59">
        <f t="shared" si="524"/>
        <v>8852.8000000000011</v>
      </c>
      <c r="F234" s="59">
        <f t="shared" si="524"/>
        <v>8852.7999999999993</v>
      </c>
      <c r="G234" s="42">
        <f t="shared" si="572"/>
        <v>99.999999999999972</v>
      </c>
      <c r="H234" s="76">
        <f t="shared" si="560"/>
        <v>0</v>
      </c>
      <c r="I234" s="76">
        <f t="shared" si="560"/>
        <v>0</v>
      </c>
      <c r="J234" s="39"/>
      <c r="K234" s="76">
        <f t="shared" si="561"/>
        <v>363.1</v>
      </c>
      <c r="L234" s="76">
        <f t="shared" si="561"/>
        <v>363.1</v>
      </c>
      <c r="M234" s="42">
        <f t="shared" ref="M234" si="589">L234/K234*100</f>
        <v>100</v>
      </c>
      <c r="N234" s="76">
        <f t="shared" si="561"/>
        <v>639.9</v>
      </c>
      <c r="O234" s="76">
        <f t="shared" si="561"/>
        <v>639.70000000000005</v>
      </c>
      <c r="P234" s="42">
        <f t="shared" si="573"/>
        <v>99.968745116424458</v>
      </c>
      <c r="Q234" s="76">
        <f t="shared" si="561"/>
        <v>48.5</v>
      </c>
      <c r="R234" s="76">
        <f t="shared" ref="R234" si="590">R219+R224+R229</f>
        <v>7.2</v>
      </c>
      <c r="S234" s="42">
        <f t="shared" ref="S234" si="591">R234/Q234*100</f>
        <v>14.845360824742269</v>
      </c>
      <c r="T234" s="76">
        <f t="shared" si="561"/>
        <v>92.9</v>
      </c>
      <c r="U234" s="76">
        <f t="shared" ref="U234" si="592">U219+U224+U229</f>
        <v>112.69999999999999</v>
      </c>
      <c r="V234" s="42">
        <f t="shared" si="576"/>
        <v>121.31324004305704</v>
      </c>
      <c r="W234" s="76">
        <f t="shared" si="561"/>
        <v>2755.3</v>
      </c>
      <c r="X234" s="76">
        <f t="shared" ref="X234" si="593">X219+X224+X229</f>
        <v>2750.7000000000003</v>
      </c>
      <c r="Y234" s="42">
        <f t="shared" si="578"/>
        <v>99.833049032773204</v>
      </c>
      <c r="Z234" s="76">
        <f t="shared" si="561"/>
        <v>2537.7000000000003</v>
      </c>
      <c r="AA234" s="76">
        <f t="shared" ref="AA234" si="594">AA219+AA224+AA229</f>
        <v>2097.5</v>
      </c>
      <c r="AB234" s="42">
        <f t="shared" si="580"/>
        <v>82.653583953974064</v>
      </c>
      <c r="AC234" s="76">
        <f t="shared" si="561"/>
        <v>1024.9000000000001</v>
      </c>
      <c r="AD234" s="76">
        <f t="shared" ref="AD234" si="595">AD219+AD224+AD229</f>
        <v>1689</v>
      </c>
      <c r="AE234" s="42">
        <f t="shared" si="582"/>
        <v>164.79656551858716</v>
      </c>
      <c r="AF234" s="76">
        <f t="shared" si="561"/>
        <v>471.2</v>
      </c>
      <c r="AG234" s="76">
        <f t="shared" ref="AG234" si="596">AG219+AG224+AG229</f>
        <v>102.9</v>
      </c>
      <c r="AH234" s="42">
        <f t="shared" ref="AH234" si="597">AG234/AF234*100</f>
        <v>21.837860780984723</v>
      </c>
      <c r="AI234" s="76">
        <f t="shared" si="561"/>
        <v>213.3</v>
      </c>
      <c r="AJ234" s="76">
        <f t="shared" ref="AJ234" si="598">AJ219+AJ224+AJ229</f>
        <v>57.8</v>
      </c>
      <c r="AK234" s="42">
        <f t="shared" ref="AK234" si="599">AJ234/AI234*100</f>
        <v>27.097984060009374</v>
      </c>
      <c r="AL234" s="76">
        <f>AL219+AL224+AL229</f>
        <v>726.69999999999993</v>
      </c>
      <c r="AM234" s="76">
        <f>AM219+AM224+AM229</f>
        <v>957.9</v>
      </c>
      <c r="AN234" s="42">
        <f t="shared" si="586"/>
        <v>131.8150543553048</v>
      </c>
      <c r="AO234" s="76">
        <f t="shared" si="561"/>
        <v>-20.7</v>
      </c>
      <c r="AP234" s="76">
        <f t="shared" ref="AP234" si="600">AP219+AP224+AP229</f>
        <v>74.3</v>
      </c>
      <c r="AQ234" s="42">
        <f t="shared" si="588"/>
        <v>-358.93719806763283</v>
      </c>
      <c r="AR234" s="52"/>
      <c r="AS234" s="52"/>
      <c r="AT234" s="43">
        <f t="shared" si="529"/>
        <v>0.9892939651772128</v>
      </c>
      <c r="AU234" s="105">
        <f t="shared" si="456"/>
        <v>1003</v>
      </c>
      <c r="AV234" s="105">
        <f t="shared" si="457"/>
        <v>2896.7000000000003</v>
      </c>
      <c r="AW234" s="101">
        <f t="shared" si="458"/>
        <v>4033.8</v>
      </c>
      <c r="AX234" s="101">
        <f t="shared" si="459"/>
        <v>919.3</v>
      </c>
      <c r="AY234" s="78">
        <f t="shared" si="571"/>
        <v>9950.3000000000011</v>
      </c>
      <c r="AZ234" s="55">
        <f t="shared" si="460"/>
        <v>1097.5000000000002</v>
      </c>
    </row>
    <row r="235" spans="1:52" ht="14.25" customHeight="1" thickBot="1">
      <c r="A235" s="160"/>
      <c r="B235" s="160"/>
      <c r="C235" s="160"/>
      <c r="D235" s="58" t="s">
        <v>24</v>
      </c>
      <c r="E235" s="59">
        <f t="shared" si="524"/>
        <v>0</v>
      </c>
      <c r="F235" s="59">
        <f t="shared" si="524"/>
        <v>0</v>
      </c>
      <c r="G235" s="42"/>
      <c r="H235" s="76">
        <f t="shared" si="560"/>
        <v>0</v>
      </c>
      <c r="I235" s="76">
        <f t="shared" si="560"/>
        <v>0</v>
      </c>
      <c r="J235" s="42"/>
      <c r="K235" s="76">
        <f t="shared" si="561"/>
        <v>0</v>
      </c>
      <c r="L235" s="76">
        <f t="shared" si="561"/>
        <v>0</v>
      </c>
      <c r="M235" s="42"/>
      <c r="N235" s="76">
        <f t="shared" si="561"/>
        <v>0</v>
      </c>
      <c r="O235" s="76">
        <f t="shared" si="561"/>
        <v>0</v>
      </c>
      <c r="P235" s="42"/>
      <c r="Q235" s="76">
        <f t="shared" si="561"/>
        <v>0</v>
      </c>
      <c r="R235" s="76">
        <f t="shared" ref="R235" si="601">R220+R225+R230</f>
        <v>0</v>
      </c>
      <c r="S235" s="42"/>
      <c r="T235" s="76">
        <f t="shared" si="561"/>
        <v>0</v>
      </c>
      <c r="U235" s="76">
        <f t="shared" ref="U235" si="602">U220+U225+U230</f>
        <v>0</v>
      </c>
      <c r="V235" s="42"/>
      <c r="W235" s="76">
        <f t="shared" si="561"/>
        <v>0</v>
      </c>
      <c r="X235" s="76">
        <f t="shared" ref="X235" si="603">X220+X225+X230</f>
        <v>0</v>
      </c>
      <c r="Y235" s="42"/>
      <c r="Z235" s="76">
        <f t="shared" si="561"/>
        <v>0</v>
      </c>
      <c r="AA235" s="76">
        <f t="shared" ref="AA235" si="604">AA220+AA225+AA230</f>
        <v>0</v>
      </c>
      <c r="AB235" s="42"/>
      <c r="AC235" s="76">
        <f t="shared" si="561"/>
        <v>0</v>
      </c>
      <c r="AD235" s="76">
        <f t="shared" ref="AD235" si="605">AD220+AD225+AD230</f>
        <v>0</v>
      </c>
      <c r="AE235" s="42"/>
      <c r="AF235" s="76">
        <f t="shared" si="561"/>
        <v>0</v>
      </c>
      <c r="AG235" s="76">
        <f t="shared" ref="AG235" si="606">AG220+AG225+AG230</f>
        <v>0</v>
      </c>
      <c r="AH235" s="42"/>
      <c r="AI235" s="76">
        <f t="shared" si="561"/>
        <v>0</v>
      </c>
      <c r="AJ235" s="76">
        <f t="shared" ref="AJ235" si="607">AJ220+AJ225+AJ230</f>
        <v>0</v>
      </c>
      <c r="AK235" s="42"/>
      <c r="AL235" s="76">
        <f t="shared" si="561"/>
        <v>0</v>
      </c>
      <c r="AM235" s="76">
        <f t="shared" ref="AM235" si="608">AM220+AM225+AM230</f>
        <v>0</v>
      </c>
      <c r="AN235" s="42"/>
      <c r="AO235" s="76">
        <f t="shared" si="561"/>
        <v>0</v>
      </c>
      <c r="AP235" s="76">
        <f t="shared" ref="AP235" si="609">AP220+AP225+AP230</f>
        <v>0</v>
      </c>
      <c r="AQ235" s="42"/>
      <c r="AR235" s="52"/>
      <c r="AS235" s="52"/>
      <c r="AT235" s="43"/>
      <c r="AU235" s="55">
        <f t="shared" si="456"/>
        <v>0</v>
      </c>
      <c r="AV235" s="55">
        <f t="shared" si="457"/>
        <v>0</v>
      </c>
      <c r="AW235" s="55">
        <f t="shared" si="458"/>
        <v>0</v>
      </c>
      <c r="AX235" s="55">
        <f t="shared" si="459"/>
        <v>0</v>
      </c>
      <c r="AY235" s="79">
        <f t="shared" si="571"/>
        <v>0</v>
      </c>
      <c r="AZ235" s="55">
        <f t="shared" si="460"/>
        <v>0</v>
      </c>
    </row>
    <row r="236" spans="1:52" ht="12" customHeight="1">
      <c r="A236" s="160" t="s">
        <v>21</v>
      </c>
      <c r="B236" s="160"/>
      <c r="C236" s="160"/>
      <c r="D236" s="58" t="s">
        <v>3</v>
      </c>
      <c r="E236" s="59">
        <f t="shared" ref="E236:F240" si="610">H236+K236+N236+Q236+T236+W236+Z236+AC236+AF236+AI236+AL236+AO236</f>
        <v>1530126.3</v>
      </c>
      <c r="F236" s="59">
        <f t="shared" si="610"/>
        <v>1519179.7</v>
      </c>
      <c r="G236" s="42">
        <f>F236/E236*100</f>
        <v>99.284595003693482</v>
      </c>
      <c r="H236" s="76">
        <f>H238+H239+H240</f>
        <v>31758.1</v>
      </c>
      <c r="I236" s="76">
        <f>I238+I239+I240</f>
        <v>31473</v>
      </c>
      <c r="J236" s="42">
        <f>I236/H236*100</f>
        <v>99.102276269676082</v>
      </c>
      <c r="K236" s="76">
        <f t="shared" ref="K236:AL236" si="611">K238+K239+K240</f>
        <v>116549.70000000001</v>
      </c>
      <c r="L236" s="76">
        <f t="shared" si="611"/>
        <v>113183.59999999999</v>
      </c>
      <c r="M236" s="42">
        <f>L236/K236*100</f>
        <v>97.111875877844369</v>
      </c>
      <c r="N236" s="76">
        <f t="shared" si="611"/>
        <v>124348.79999999999</v>
      </c>
      <c r="O236" s="76">
        <f t="shared" si="611"/>
        <v>116944.3</v>
      </c>
      <c r="P236" s="42">
        <f>O236/N236*100</f>
        <v>94.045378805424747</v>
      </c>
      <c r="Q236" s="76">
        <f t="shared" si="611"/>
        <v>141335.75</v>
      </c>
      <c r="R236" s="76">
        <f t="shared" ref="R236" si="612">R238+R239+R240</f>
        <v>138825.75</v>
      </c>
      <c r="S236" s="42">
        <f>R236/Q236*100</f>
        <v>98.224086970211005</v>
      </c>
      <c r="T236" s="76">
        <f t="shared" si="611"/>
        <v>177404.55</v>
      </c>
      <c r="U236" s="76">
        <f t="shared" ref="U236" si="613">U238+U239+U240</f>
        <v>177886.65</v>
      </c>
      <c r="V236" s="42">
        <f>U236/T236*100</f>
        <v>100.27175176735885</v>
      </c>
      <c r="W236" s="76">
        <f t="shared" si="611"/>
        <v>209380.3</v>
      </c>
      <c r="X236" s="76">
        <f t="shared" ref="X236" si="614">X238+X239+X240</f>
        <v>216037.60000000003</v>
      </c>
      <c r="Y236" s="42">
        <f>X236/W236*100</f>
        <v>103.17952548544444</v>
      </c>
      <c r="Z236" s="76">
        <f t="shared" si="611"/>
        <v>122465.5</v>
      </c>
      <c r="AA236" s="76">
        <f t="shared" ref="AA236" si="615">AA238+AA239+AA240</f>
        <v>127477.99999999997</v>
      </c>
      <c r="AB236" s="42">
        <f>AA236/Z236*100</f>
        <v>104.09298945417278</v>
      </c>
      <c r="AC236" s="76">
        <f t="shared" si="611"/>
        <v>74476.100000000006</v>
      </c>
      <c r="AD236" s="76">
        <f t="shared" ref="AD236" si="616">AD238+AD239+AD240</f>
        <v>68371.900000000009</v>
      </c>
      <c r="AE236" s="42">
        <f>AD236/AC236*100</f>
        <v>91.803813572407805</v>
      </c>
      <c r="AF236" s="76">
        <f t="shared" si="611"/>
        <v>96541.2</v>
      </c>
      <c r="AG236" s="76">
        <f t="shared" ref="AG236" si="617">AG238+AG239+AG240</f>
        <v>87688.199999999983</v>
      </c>
      <c r="AH236" s="42">
        <f>AG236/AF236*100</f>
        <v>90.829821879156242</v>
      </c>
      <c r="AI236" s="76">
        <f t="shared" si="611"/>
        <v>116536.19999999998</v>
      </c>
      <c r="AJ236" s="76">
        <f t="shared" ref="AJ236" si="618">AJ238+AJ239+AJ240</f>
        <v>119522.9</v>
      </c>
      <c r="AK236" s="42">
        <f>AJ236/AI236*100</f>
        <v>102.56289461986921</v>
      </c>
      <c r="AL236" s="76">
        <f t="shared" si="611"/>
        <v>131116.29999999999</v>
      </c>
      <c r="AM236" s="76">
        <f t="shared" ref="AM236" si="619">AM238+AM239+AM240</f>
        <v>130231.29999999999</v>
      </c>
      <c r="AN236" s="42">
        <f>AM236/AL236*100</f>
        <v>99.325026712925862</v>
      </c>
      <c r="AO236" s="76">
        <f>AO237+AO238+AO239+AO240</f>
        <v>188213.8</v>
      </c>
      <c r="AP236" s="76">
        <f>AP237+AP238+AP239+AP240</f>
        <v>191536.5</v>
      </c>
      <c r="AQ236" s="42">
        <f>AP236/AO236*100</f>
        <v>101.76538596000933</v>
      </c>
      <c r="AR236" s="52"/>
      <c r="AS236" s="52"/>
      <c r="AT236" s="43">
        <f t="shared" si="529"/>
        <v>0.98936644527866013</v>
      </c>
      <c r="AU236" s="104">
        <f t="shared" si="456"/>
        <v>272656.59999999998</v>
      </c>
      <c r="AV236" s="103">
        <f t="shared" si="457"/>
        <v>528120.6</v>
      </c>
      <c r="AW236" s="106">
        <f t="shared" si="458"/>
        <v>293482.8</v>
      </c>
      <c r="AX236" s="106">
        <f t="shared" si="459"/>
        <v>435866.29999999993</v>
      </c>
      <c r="AY236" s="77">
        <f t="shared" ref="AY236" si="620">AY238+AY239+AY240</f>
        <v>1462155.5999999999</v>
      </c>
      <c r="AZ236" s="55">
        <f t="shared" si="460"/>
        <v>-67970.699999999895</v>
      </c>
    </row>
    <row r="237" spans="1:52" ht="12.75" customHeight="1">
      <c r="A237" s="160"/>
      <c r="B237" s="160"/>
      <c r="C237" s="160"/>
      <c r="D237" s="58" t="s">
        <v>23</v>
      </c>
      <c r="E237" s="59">
        <f t="shared" si="610"/>
        <v>276.5</v>
      </c>
      <c r="F237" s="59">
        <f t="shared" si="610"/>
        <v>276.5</v>
      </c>
      <c r="G237" s="42">
        <f>F237/E237*100</f>
        <v>100</v>
      </c>
      <c r="H237" s="76">
        <f>H31+H67+H123+H159+H190+H211+H232</f>
        <v>0</v>
      </c>
      <c r="I237" s="76"/>
      <c r="J237" s="42"/>
      <c r="K237" s="76">
        <f t="shared" ref="K237:L240" si="621">K31+K67+K123+K159+K190+K211+K232</f>
        <v>0</v>
      </c>
      <c r="L237" s="76">
        <f t="shared" si="621"/>
        <v>0</v>
      </c>
      <c r="M237" s="42"/>
      <c r="N237" s="76">
        <f t="shared" ref="N237:O240" si="622">N31+N67+N123+N159+N190+N211+N232</f>
        <v>0</v>
      </c>
      <c r="O237" s="76">
        <f t="shared" si="622"/>
        <v>0</v>
      </c>
      <c r="P237" s="42"/>
      <c r="Q237" s="76">
        <f t="shared" ref="Q237:R240" si="623">Q31+Q67+Q123+Q159+Q190+Q211+Q232</f>
        <v>0</v>
      </c>
      <c r="R237" s="76">
        <f t="shared" si="623"/>
        <v>0</v>
      </c>
      <c r="S237" s="42"/>
      <c r="T237" s="76">
        <f t="shared" ref="T237:U240" si="624">T31+T67+T123+T159+T190+T211+T232</f>
        <v>0</v>
      </c>
      <c r="U237" s="76">
        <f t="shared" si="624"/>
        <v>0</v>
      </c>
      <c r="V237" s="42"/>
      <c r="W237" s="76">
        <f t="shared" ref="W237:X240" si="625">W31+W67+W123+W159+W190+W211+W232</f>
        <v>0</v>
      </c>
      <c r="X237" s="76">
        <f t="shared" si="625"/>
        <v>0</v>
      </c>
      <c r="Y237" s="42"/>
      <c r="Z237" s="76">
        <f t="shared" ref="Z237:AA240" si="626">Z31+Z67+Z123+Z159+Z190+Z211+Z232</f>
        <v>0</v>
      </c>
      <c r="AA237" s="76">
        <f t="shared" si="626"/>
        <v>0</v>
      </c>
      <c r="AB237" s="42"/>
      <c r="AC237" s="76">
        <f t="shared" ref="AC237:AD240" si="627">AC31+AC67+AC123+AC159+AC190+AC211+AC232</f>
        <v>0</v>
      </c>
      <c r="AD237" s="76">
        <f t="shared" si="627"/>
        <v>0</v>
      </c>
      <c r="AE237" s="42"/>
      <c r="AF237" s="76">
        <f t="shared" ref="AF237:AG240" si="628">AF31+AF67+AF123+AF159+AF190+AF211+AF232</f>
        <v>0</v>
      </c>
      <c r="AG237" s="76">
        <f t="shared" si="628"/>
        <v>0</v>
      </c>
      <c r="AH237" s="42"/>
      <c r="AI237" s="76">
        <f t="shared" ref="AI237:AJ240" si="629">AI31+AI67+AI123+AI159+AI190+AI211+AI232</f>
        <v>0</v>
      </c>
      <c r="AJ237" s="76">
        <f t="shared" si="629"/>
        <v>0</v>
      </c>
      <c r="AK237" s="42"/>
      <c r="AL237" s="76">
        <f t="shared" ref="AL237:AM240" si="630">AL31+AL67+AL123+AL159+AL190+AL211+AL232</f>
        <v>0</v>
      </c>
      <c r="AM237" s="76">
        <f t="shared" si="630"/>
        <v>0</v>
      </c>
      <c r="AN237" s="42"/>
      <c r="AO237" s="76">
        <f t="shared" ref="AO237:AP240" si="631">AO31+AO67+AO123+AO159+AO190+AO211+AO232</f>
        <v>276.5</v>
      </c>
      <c r="AP237" s="76">
        <f t="shared" si="631"/>
        <v>276.5</v>
      </c>
      <c r="AQ237" s="42">
        <f>AP237/AO237*100</f>
        <v>100</v>
      </c>
      <c r="AR237" s="52"/>
      <c r="AS237" s="52"/>
      <c r="AT237" s="43"/>
      <c r="AU237" s="103">
        <f t="shared" si="456"/>
        <v>0</v>
      </c>
      <c r="AV237" s="103">
        <f t="shared" si="457"/>
        <v>0</v>
      </c>
      <c r="AW237" s="106">
        <f t="shared" si="458"/>
        <v>0</v>
      </c>
      <c r="AX237" s="106">
        <f t="shared" si="459"/>
        <v>276.5</v>
      </c>
      <c r="AY237" s="78">
        <f>AY31+AY67+AY123+AY159+AY190+AY211+AY232</f>
        <v>0</v>
      </c>
      <c r="AZ237" s="55">
        <f t="shared" si="460"/>
        <v>-276.5</v>
      </c>
    </row>
    <row r="238" spans="1:52" ht="24">
      <c r="A238" s="160"/>
      <c r="B238" s="160"/>
      <c r="C238" s="160"/>
      <c r="D238" s="58" t="s">
        <v>4</v>
      </c>
      <c r="E238" s="59">
        <f t="shared" si="610"/>
        <v>1202101.9999999998</v>
      </c>
      <c r="F238" s="59">
        <f t="shared" si="610"/>
        <v>1201700.3</v>
      </c>
      <c r="G238" s="42">
        <f>F238/E238*100</f>
        <v>99.966583534508743</v>
      </c>
      <c r="H238" s="76">
        <f>H32+H68+H124+H160+H191+H212+H233</f>
        <v>25747</v>
      </c>
      <c r="I238" s="76">
        <f>I32+I68+I124+I160+I191+I212+I233</f>
        <v>25725.200000000001</v>
      </c>
      <c r="J238" s="42">
        <f>I238/H238*100</f>
        <v>99.915329941352397</v>
      </c>
      <c r="K238" s="76">
        <f t="shared" si="621"/>
        <v>87537.1</v>
      </c>
      <c r="L238" s="76">
        <f t="shared" si="621"/>
        <v>86411.4</v>
      </c>
      <c r="M238" s="42">
        <f>L238/K238*100</f>
        <v>98.714030965156468</v>
      </c>
      <c r="N238" s="76">
        <f t="shared" si="622"/>
        <v>93498.299999999988</v>
      </c>
      <c r="O238" s="76">
        <f t="shared" si="622"/>
        <v>87383</v>
      </c>
      <c r="P238" s="42">
        <f>O238/N238*100</f>
        <v>93.459453273481984</v>
      </c>
      <c r="Q238" s="76">
        <f t="shared" si="623"/>
        <v>108934.29999999999</v>
      </c>
      <c r="R238" s="76">
        <f t="shared" si="623"/>
        <v>108019.4</v>
      </c>
      <c r="S238" s="42">
        <f>R238/Q238*100</f>
        <v>99.160135971865614</v>
      </c>
      <c r="T238" s="76">
        <f t="shared" si="624"/>
        <v>152993.59999999998</v>
      </c>
      <c r="U238" s="76">
        <f t="shared" si="624"/>
        <v>153795.19999999998</v>
      </c>
      <c r="V238" s="42">
        <f>U238/T238*100</f>
        <v>100.5239434852177</v>
      </c>
      <c r="W238" s="76">
        <f t="shared" si="625"/>
        <v>182826.3</v>
      </c>
      <c r="X238" s="76">
        <f t="shared" si="625"/>
        <v>188105.80000000002</v>
      </c>
      <c r="Y238" s="42">
        <f>X238/W238*100</f>
        <v>102.8877136385739</v>
      </c>
      <c r="Z238" s="76">
        <f t="shared" si="626"/>
        <v>96236.6</v>
      </c>
      <c r="AA238" s="76">
        <f t="shared" si="626"/>
        <v>97518.099999999977</v>
      </c>
      <c r="AB238" s="42">
        <f>AA238/Z238*100</f>
        <v>101.33161395976164</v>
      </c>
      <c r="AC238" s="76">
        <f t="shared" si="627"/>
        <v>56188.4</v>
      </c>
      <c r="AD238" s="76">
        <f t="shared" si="627"/>
        <v>49192.100000000006</v>
      </c>
      <c r="AE238" s="42">
        <f>AD238/AC238*100</f>
        <v>87.548497554655413</v>
      </c>
      <c r="AF238" s="76">
        <f t="shared" si="628"/>
        <v>63607.9</v>
      </c>
      <c r="AG238" s="76">
        <f t="shared" si="628"/>
        <v>67843.89999999998</v>
      </c>
      <c r="AH238" s="42">
        <f>AG238/AF238*100</f>
        <v>106.65955015021716</v>
      </c>
      <c r="AI238" s="76">
        <f t="shared" si="629"/>
        <v>88144.299999999988</v>
      </c>
      <c r="AJ238" s="76">
        <f t="shared" si="629"/>
        <v>86500.800000000003</v>
      </c>
      <c r="AK238" s="42">
        <f>AJ238/AI238*100</f>
        <v>98.13544381202189</v>
      </c>
      <c r="AL238" s="76">
        <f t="shared" si="630"/>
        <v>102209.49999999999</v>
      </c>
      <c r="AM238" s="76">
        <f t="shared" si="630"/>
        <v>101778.79999999999</v>
      </c>
      <c r="AN238" s="42">
        <f>AM238/AL238*100</f>
        <v>99.578610598819097</v>
      </c>
      <c r="AO238" s="76">
        <f t="shared" si="631"/>
        <v>144178.69999999998</v>
      </c>
      <c r="AP238" s="76">
        <f t="shared" si="631"/>
        <v>149426.6</v>
      </c>
      <c r="AQ238" s="42">
        <f>AP238/AO238*100</f>
        <v>103.63985803728291</v>
      </c>
      <c r="AR238" s="52"/>
      <c r="AS238" s="52"/>
      <c r="AT238" s="43">
        <f t="shared" si="529"/>
        <v>0.99465972627694288</v>
      </c>
      <c r="AU238" s="103">
        <f t="shared" si="456"/>
        <v>206782.4</v>
      </c>
      <c r="AV238" s="103">
        <f t="shared" si="457"/>
        <v>444754.19999999995</v>
      </c>
      <c r="AW238" s="107">
        <f t="shared" si="458"/>
        <v>216032.9</v>
      </c>
      <c r="AX238" s="107">
        <f t="shared" si="459"/>
        <v>334532.5</v>
      </c>
      <c r="AY238" s="78">
        <f>AY32+AY68+AY124+AY160+AY191+AY212+AY233</f>
        <v>1169607.8999999999</v>
      </c>
      <c r="AZ238" s="55">
        <f t="shared" si="460"/>
        <v>-32494.100000000093</v>
      </c>
    </row>
    <row r="239" spans="1:52" ht="12.75" customHeight="1">
      <c r="A239" s="160"/>
      <c r="B239" s="160"/>
      <c r="C239" s="160"/>
      <c r="D239" s="58" t="s">
        <v>70</v>
      </c>
      <c r="E239" s="59">
        <f t="shared" si="610"/>
        <v>327747.80000000005</v>
      </c>
      <c r="F239" s="59">
        <f t="shared" si="610"/>
        <v>317202.90000000002</v>
      </c>
      <c r="G239" s="42">
        <f t="shared" ref="G239" si="632">F239/E239*100</f>
        <v>96.782617610247868</v>
      </c>
      <c r="H239" s="76">
        <f>H33+H69+H125+H161+H192+H213+H234</f>
        <v>6011.1</v>
      </c>
      <c r="I239" s="76">
        <f>I33+I69+I125+I161+I192+I213+I234</f>
        <v>5747.8</v>
      </c>
      <c r="J239" s="42">
        <f t="shared" ref="J239" si="633">I239/H239*100</f>
        <v>95.619770091996472</v>
      </c>
      <c r="K239" s="76">
        <f t="shared" si="621"/>
        <v>29012.6</v>
      </c>
      <c r="L239" s="76">
        <f t="shared" si="621"/>
        <v>26772.199999999997</v>
      </c>
      <c r="M239" s="42">
        <f t="shared" ref="M239" si="634">L239/K239*100</f>
        <v>92.277837904910271</v>
      </c>
      <c r="N239" s="76">
        <f t="shared" si="622"/>
        <v>30850.500000000004</v>
      </c>
      <c r="O239" s="76">
        <f t="shared" si="622"/>
        <v>29561.300000000007</v>
      </c>
      <c r="P239" s="42">
        <f t="shared" ref="P239" si="635">O239/N239*100</f>
        <v>95.821137420787352</v>
      </c>
      <c r="Q239" s="76">
        <f t="shared" si="623"/>
        <v>32401.45</v>
      </c>
      <c r="R239" s="76">
        <f t="shared" si="623"/>
        <v>30806.35</v>
      </c>
      <c r="S239" s="42">
        <f t="shared" ref="S239" si="636">R239/Q239*100</f>
        <v>95.07707216806655</v>
      </c>
      <c r="T239" s="76">
        <f t="shared" si="624"/>
        <v>24410.950000000004</v>
      </c>
      <c r="U239" s="76">
        <f t="shared" si="624"/>
        <v>24091.45</v>
      </c>
      <c r="V239" s="42">
        <f t="shared" ref="V239" si="637">U239/T239*100</f>
        <v>98.691161138751241</v>
      </c>
      <c r="W239" s="76">
        <f t="shared" si="625"/>
        <v>26554.000000000004</v>
      </c>
      <c r="X239" s="76">
        <f t="shared" si="625"/>
        <v>27931.800000000003</v>
      </c>
      <c r="Y239" s="42">
        <f t="shared" ref="Y239" si="638">X239/W239*100</f>
        <v>105.18867213979061</v>
      </c>
      <c r="Z239" s="76">
        <f t="shared" si="626"/>
        <v>26228.9</v>
      </c>
      <c r="AA239" s="76">
        <f t="shared" si="626"/>
        <v>29959.9</v>
      </c>
      <c r="AB239" s="42">
        <f t="shared" ref="AB239" si="639">AA239/Z239*100</f>
        <v>114.22476733679264</v>
      </c>
      <c r="AC239" s="76">
        <f t="shared" si="627"/>
        <v>18287.7</v>
      </c>
      <c r="AD239" s="76">
        <f t="shared" si="627"/>
        <v>19179.8</v>
      </c>
      <c r="AE239" s="42">
        <f t="shared" ref="AE239" si="640">AD239/AC239*100</f>
        <v>104.87814213925206</v>
      </c>
      <c r="AF239" s="76">
        <f t="shared" si="628"/>
        <v>32933.299999999996</v>
      </c>
      <c r="AG239" s="76">
        <f t="shared" si="628"/>
        <v>19844.300000000003</v>
      </c>
      <c r="AH239" s="42">
        <f t="shared" ref="AH239" si="641">AG239/AF239*100</f>
        <v>60.256032647806343</v>
      </c>
      <c r="AI239" s="76">
        <f t="shared" si="629"/>
        <v>28391.9</v>
      </c>
      <c r="AJ239" s="76">
        <f t="shared" si="629"/>
        <v>33022.1</v>
      </c>
      <c r="AK239" s="42">
        <f t="shared" ref="AK239" si="642">AJ239/AI239*100</f>
        <v>116.30817240128346</v>
      </c>
      <c r="AL239" s="76">
        <f t="shared" si="630"/>
        <v>28906.800000000003</v>
      </c>
      <c r="AM239" s="76">
        <f t="shared" si="630"/>
        <v>28452.500000000004</v>
      </c>
      <c r="AN239" s="42">
        <f t="shared" ref="AN239" si="643">AM239/AL239*100</f>
        <v>98.428397470491376</v>
      </c>
      <c r="AO239" s="76">
        <f t="shared" si="631"/>
        <v>43758.600000000006</v>
      </c>
      <c r="AP239" s="76">
        <f t="shared" si="631"/>
        <v>41833.400000000009</v>
      </c>
      <c r="AQ239" s="42">
        <f t="shared" ref="AQ239" si="644">AP239/AO239*100</f>
        <v>95.600407691288126</v>
      </c>
      <c r="AR239" s="52"/>
      <c r="AS239" s="52"/>
      <c r="AT239" s="43">
        <f t="shared" si="529"/>
        <v>0.96964778942297802</v>
      </c>
      <c r="AU239" s="104">
        <f t="shared" si="456"/>
        <v>65874.2</v>
      </c>
      <c r="AV239" s="103">
        <f t="shared" si="457"/>
        <v>83366.400000000009</v>
      </c>
      <c r="AW239" s="106">
        <f t="shared" si="458"/>
        <v>77449.899999999994</v>
      </c>
      <c r="AX239" s="107">
        <f t="shared" si="459"/>
        <v>101057.30000000002</v>
      </c>
      <c r="AY239" s="78">
        <f>AY33+AY69+AY125+AY161+AY192+AY213+AY234</f>
        <v>292547.69999999995</v>
      </c>
      <c r="AZ239" s="55">
        <f t="shared" si="460"/>
        <v>-35200.100000000093</v>
      </c>
    </row>
    <row r="240" spans="1:52" ht="14.25" customHeight="1">
      <c r="A240" s="160"/>
      <c r="B240" s="160"/>
      <c r="C240" s="160"/>
      <c r="D240" s="58" t="s">
        <v>24</v>
      </c>
      <c r="E240" s="59">
        <f t="shared" si="610"/>
        <v>0</v>
      </c>
      <c r="F240" s="59">
        <f t="shared" si="610"/>
        <v>0</v>
      </c>
      <c r="G240" s="42"/>
      <c r="H240" s="76">
        <f>H34+H70+H126+H162+H193+H214+H235</f>
        <v>0</v>
      </c>
      <c r="I240" s="76"/>
      <c r="J240" s="42"/>
      <c r="K240" s="76">
        <f t="shared" si="621"/>
        <v>0</v>
      </c>
      <c r="L240" s="76">
        <f t="shared" si="621"/>
        <v>0</v>
      </c>
      <c r="M240" s="42"/>
      <c r="N240" s="76">
        <f t="shared" si="622"/>
        <v>0</v>
      </c>
      <c r="O240" s="76">
        <f t="shared" si="622"/>
        <v>0</v>
      </c>
      <c r="P240" s="42"/>
      <c r="Q240" s="76">
        <f t="shared" si="623"/>
        <v>0</v>
      </c>
      <c r="R240" s="76">
        <f t="shared" si="623"/>
        <v>0</v>
      </c>
      <c r="S240" s="42"/>
      <c r="T240" s="76">
        <f t="shared" si="624"/>
        <v>0</v>
      </c>
      <c r="U240" s="76">
        <f t="shared" si="624"/>
        <v>0</v>
      </c>
      <c r="V240" s="42"/>
      <c r="W240" s="76">
        <f t="shared" si="625"/>
        <v>0</v>
      </c>
      <c r="X240" s="76">
        <f t="shared" si="625"/>
        <v>0</v>
      </c>
      <c r="Y240" s="42"/>
      <c r="Z240" s="76">
        <f t="shared" si="626"/>
        <v>0</v>
      </c>
      <c r="AA240" s="76">
        <f t="shared" si="626"/>
        <v>0</v>
      </c>
      <c r="AB240" s="42"/>
      <c r="AC240" s="76">
        <f t="shared" si="627"/>
        <v>0</v>
      </c>
      <c r="AD240" s="76">
        <f t="shared" si="627"/>
        <v>0</v>
      </c>
      <c r="AE240" s="42"/>
      <c r="AF240" s="76">
        <f t="shared" si="628"/>
        <v>0</v>
      </c>
      <c r="AG240" s="76">
        <f t="shared" si="628"/>
        <v>0</v>
      </c>
      <c r="AH240" s="42"/>
      <c r="AI240" s="76">
        <f t="shared" si="629"/>
        <v>0</v>
      </c>
      <c r="AJ240" s="76">
        <f t="shared" si="629"/>
        <v>0</v>
      </c>
      <c r="AK240" s="42"/>
      <c r="AL240" s="76">
        <f t="shared" si="630"/>
        <v>0</v>
      </c>
      <c r="AM240" s="76">
        <f t="shared" si="630"/>
        <v>0</v>
      </c>
      <c r="AN240" s="42"/>
      <c r="AO240" s="76">
        <f t="shared" si="631"/>
        <v>0</v>
      </c>
      <c r="AP240" s="76">
        <f t="shared" si="631"/>
        <v>0</v>
      </c>
      <c r="AQ240" s="42"/>
      <c r="AR240" s="52"/>
      <c r="AS240" s="52"/>
      <c r="AT240" s="43"/>
      <c r="AU240" s="55">
        <f t="shared" ref="AU240:AU256" si="645">H240+K240+N240</f>
        <v>0</v>
      </c>
      <c r="AV240" s="55">
        <f t="shared" ref="AV240:AV256" si="646">Q240+T240+W240</f>
        <v>0</v>
      </c>
      <c r="AW240" s="55">
        <f t="shared" ref="AW240:AW256" si="647">Z240+AC240+AF240</f>
        <v>0</v>
      </c>
      <c r="AX240" s="55">
        <f t="shared" ref="AX240:AX256" si="648">AI240+AL240+AO240</f>
        <v>0</v>
      </c>
      <c r="AZ240" s="55">
        <f t="shared" si="460"/>
        <v>0</v>
      </c>
    </row>
    <row r="241" spans="1:50" ht="11.25" customHeight="1">
      <c r="A241" s="160" t="s">
        <v>154</v>
      </c>
      <c r="B241" s="160"/>
      <c r="C241" s="160"/>
      <c r="D241" s="58" t="s">
        <v>3</v>
      </c>
      <c r="E241" s="59">
        <f>H241+K241+N241+Q241+T241+W241+Z241+AC241+AF241+AI241+AL241+AO241</f>
        <v>6396.5</v>
      </c>
      <c r="F241" s="59">
        <f t="shared" ref="F241:F245" si="649">I241+L241+O241+R241+U241+X241+AA241+AD241+AG241+AJ241+AM241+AP241</f>
        <v>24</v>
      </c>
      <c r="G241" s="42">
        <f>F241/E241*100</f>
        <v>0.37520519033846639</v>
      </c>
      <c r="H241" s="76">
        <f>H242+H243+H244+H245</f>
        <v>0</v>
      </c>
      <c r="I241" s="76">
        <f>I242+I243+I244+I245</f>
        <v>0</v>
      </c>
      <c r="J241" s="42"/>
      <c r="K241" s="76">
        <f>K242+K243+K244+K245</f>
        <v>0</v>
      </c>
      <c r="L241" s="76">
        <f>L242+L243+L244+L245</f>
        <v>0</v>
      </c>
      <c r="M241" s="42"/>
      <c r="N241" s="76">
        <f>N242+N243+N244+N245</f>
        <v>0</v>
      </c>
      <c r="O241" s="76">
        <f>O242+O243+O244+O245</f>
        <v>0</v>
      </c>
      <c r="P241" s="42"/>
      <c r="Q241" s="76">
        <f>Q242+Q243+Q244+Q245</f>
        <v>0</v>
      </c>
      <c r="R241" s="76">
        <f>R242+R243+R244+R245</f>
        <v>0</v>
      </c>
      <c r="S241" s="42"/>
      <c r="T241" s="76">
        <f>T242+T243+T244+T245</f>
        <v>0</v>
      </c>
      <c r="U241" s="76">
        <f>U242+U243+U244+U245</f>
        <v>0</v>
      </c>
      <c r="V241" s="42"/>
      <c r="W241" s="76">
        <f>W242+W243+W244+W245</f>
        <v>0</v>
      </c>
      <c r="X241" s="76">
        <f>X242+X243+X244+X245</f>
        <v>0</v>
      </c>
      <c r="Y241" s="42"/>
      <c r="Z241" s="76">
        <f>Z242+Z243+Z244+Z245</f>
        <v>0</v>
      </c>
      <c r="AA241" s="76">
        <f>AA242+AA243+AA244+AA245</f>
        <v>0</v>
      </c>
      <c r="AB241" s="42"/>
      <c r="AC241" s="76">
        <f>AC242+AC243+AC244+AC245</f>
        <v>0</v>
      </c>
      <c r="AD241" s="76">
        <f>AD242+AD243+AD244+AD245</f>
        <v>0</v>
      </c>
      <c r="AE241" s="42"/>
      <c r="AF241" s="76">
        <f>AF242+AF243+AF244+AF245</f>
        <v>0</v>
      </c>
      <c r="AG241" s="76">
        <f>AG242+AG243+AG244+AG245</f>
        <v>0</v>
      </c>
      <c r="AH241" s="42"/>
      <c r="AI241" s="76">
        <f>AI242+AI243+AI244+AI245</f>
        <v>0</v>
      </c>
      <c r="AJ241" s="76">
        <f>AJ242+AJ243+AJ244+AJ245</f>
        <v>0</v>
      </c>
      <c r="AK241" s="42"/>
      <c r="AL241" s="76">
        <f>AL242+AL243+AL244+AL245</f>
        <v>0</v>
      </c>
      <c r="AM241" s="76">
        <f>AM242+AM243+AM244+AM245</f>
        <v>0</v>
      </c>
      <c r="AN241" s="42"/>
      <c r="AO241" s="76">
        <f>AO242+AO243+AO244+AO245</f>
        <v>6396.5</v>
      </c>
      <c r="AP241" s="76">
        <f>AP242+AP243+AP244+AP245</f>
        <v>24</v>
      </c>
      <c r="AQ241" s="42">
        <f>AP241/AO241*100</f>
        <v>0.37520519033846639</v>
      </c>
      <c r="AR241" s="52"/>
      <c r="AS241" s="52"/>
      <c r="AT241" s="43"/>
      <c r="AU241" s="55">
        <f t="shared" si="645"/>
        <v>0</v>
      </c>
      <c r="AV241" s="55">
        <f t="shared" si="646"/>
        <v>0</v>
      </c>
      <c r="AW241" s="55">
        <f t="shared" si="647"/>
        <v>0</v>
      </c>
      <c r="AX241" s="55">
        <f t="shared" si="648"/>
        <v>6396.5</v>
      </c>
    </row>
    <row r="242" spans="1:50" ht="12" customHeight="1">
      <c r="A242" s="160"/>
      <c r="B242" s="160"/>
      <c r="C242" s="160"/>
      <c r="D242" s="58" t="s">
        <v>23</v>
      </c>
      <c r="E242" s="59">
        <f t="shared" ref="E242:E245" si="650">H242+K242+N242+Q242+T242+W242+Z242+AC242+AF242+AI242+AL242+AO242</f>
        <v>0</v>
      </c>
      <c r="F242" s="59">
        <f t="shared" si="649"/>
        <v>0</v>
      </c>
      <c r="G242" s="42"/>
      <c r="H242" s="76">
        <f>H42+H47+H52</f>
        <v>0</v>
      </c>
      <c r="I242" s="76">
        <f>I42+I47+I52</f>
        <v>0</v>
      </c>
      <c r="J242" s="42"/>
      <c r="K242" s="76">
        <f>K42+K47+K52</f>
        <v>0</v>
      </c>
      <c r="L242" s="76">
        <f>L42+L47+L52</f>
        <v>0</v>
      </c>
      <c r="M242" s="42"/>
      <c r="N242" s="76">
        <f>N42+N47+N52</f>
        <v>0</v>
      </c>
      <c r="O242" s="76">
        <f>O42+O47+O52</f>
        <v>0</v>
      </c>
      <c r="P242" s="42"/>
      <c r="Q242" s="76">
        <f>Q42+Q47+Q52</f>
        <v>0</v>
      </c>
      <c r="R242" s="76">
        <f>R42+R47+R52</f>
        <v>0</v>
      </c>
      <c r="S242" s="42"/>
      <c r="T242" s="76">
        <f>T42+T47+T52</f>
        <v>0</v>
      </c>
      <c r="U242" s="76">
        <f>U42+U47+U52</f>
        <v>0</v>
      </c>
      <c r="V242" s="42"/>
      <c r="W242" s="76">
        <f>W42+W47+W52</f>
        <v>0</v>
      </c>
      <c r="X242" s="76">
        <f>X42+X47+X52</f>
        <v>0</v>
      </c>
      <c r="Y242" s="42"/>
      <c r="Z242" s="76">
        <f>Z42+Z47+Z52</f>
        <v>0</v>
      </c>
      <c r="AA242" s="76">
        <f>AA42+AA47+AA52</f>
        <v>0</v>
      </c>
      <c r="AB242" s="42"/>
      <c r="AC242" s="76">
        <f>AC42+AC47+AC52</f>
        <v>0</v>
      </c>
      <c r="AD242" s="76">
        <f>AD42+AD47+AD52</f>
        <v>0</v>
      </c>
      <c r="AE242" s="42"/>
      <c r="AF242" s="76">
        <f>AF42+AF47+AF52</f>
        <v>0</v>
      </c>
      <c r="AG242" s="76">
        <f>AG42+AG47+AG52</f>
        <v>0</v>
      </c>
      <c r="AH242" s="42"/>
      <c r="AI242" s="76">
        <f>AI42+AI47+AI52</f>
        <v>0</v>
      </c>
      <c r="AJ242" s="76">
        <f>AJ42+AJ47+AJ52</f>
        <v>0</v>
      </c>
      <c r="AK242" s="42"/>
      <c r="AL242" s="76">
        <f>AL42+AL47+AL52</f>
        <v>0</v>
      </c>
      <c r="AM242" s="76">
        <f>AM42+AM47+AM52</f>
        <v>0</v>
      </c>
      <c r="AN242" s="42"/>
      <c r="AO242" s="76">
        <f>AO42+AO47+AO52</f>
        <v>0</v>
      </c>
      <c r="AP242" s="76">
        <f>AP42+AP47+AP52</f>
        <v>0</v>
      </c>
      <c r="AQ242" s="42"/>
      <c r="AR242" s="52"/>
      <c r="AS242" s="52"/>
      <c r="AT242" s="43"/>
      <c r="AU242" s="55">
        <f t="shared" si="645"/>
        <v>0</v>
      </c>
      <c r="AV242" s="55">
        <f t="shared" si="646"/>
        <v>0</v>
      </c>
      <c r="AW242" s="55">
        <f t="shared" si="647"/>
        <v>0</v>
      </c>
      <c r="AX242" s="55">
        <f t="shared" si="648"/>
        <v>0</v>
      </c>
    </row>
    <row r="243" spans="1:50" ht="24">
      <c r="A243" s="160"/>
      <c r="B243" s="160"/>
      <c r="C243" s="160"/>
      <c r="D243" s="58" t="s">
        <v>4</v>
      </c>
      <c r="E243" s="59">
        <f t="shared" si="650"/>
        <v>0</v>
      </c>
      <c r="F243" s="59">
        <f t="shared" si="649"/>
        <v>0</v>
      </c>
      <c r="G243" s="42"/>
      <c r="H243" s="76">
        <f t="shared" ref="H243:I243" si="651">H43+H48+H53</f>
        <v>0</v>
      </c>
      <c r="I243" s="76">
        <f t="shared" si="651"/>
        <v>0</v>
      </c>
      <c r="J243" s="42"/>
      <c r="K243" s="76">
        <f t="shared" ref="K243:L243" si="652">K43+K48+K53</f>
        <v>0</v>
      </c>
      <c r="L243" s="76">
        <f t="shared" si="652"/>
        <v>0</v>
      </c>
      <c r="M243" s="42"/>
      <c r="N243" s="76">
        <f t="shared" ref="N243:O243" si="653">N43+N48+N53</f>
        <v>0</v>
      </c>
      <c r="O243" s="76">
        <f t="shared" si="653"/>
        <v>0</v>
      </c>
      <c r="P243" s="42"/>
      <c r="Q243" s="76">
        <f t="shared" ref="Q243:R243" si="654">Q43+Q48+Q53</f>
        <v>0</v>
      </c>
      <c r="R243" s="76">
        <f t="shared" si="654"/>
        <v>0</v>
      </c>
      <c r="S243" s="42"/>
      <c r="T243" s="76">
        <f t="shared" ref="T243:U243" si="655">T43+T48+T53</f>
        <v>0</v>
      </c>
      <c r="U243" s="76">
        <f t="shared" si="655"/>
        <v>0</v>
      </c>
      <c r="V243" s="42"/>
      <c r="W243" s="76">
        <f t="shared" ref="W243:X243" si="656">W43+W48+W53</f>
        <v>0</v>
      </c>
      <c r="X243" s="76">
        <f t="shared" si="656"/>
        <v>0</v>
      </c>
      <c r="Y243" s="42"/>
      <c r="Z243" s="76">
        <f t="shared" ref="Z243:AA243" si="657">Z43+Z48+Z53</f>
        <v>0</v>
      </c>
      <c r="AA243" s="76">
        <f t="shared" si="657"/>
        <v>0</v>
      </c>
      <c r="AB243" s="42"/>
      <c r="AC243" s="76">
        <f t="shared" ref="AC243:AD243" si="658">AC43+AC48+AC53</f>
        <v>0</v>
      </c>
      <c r="AD243" s="76">
        <f t="shared" si="658"/>
        <v>0</v>
      </c>
      <c r="AE243" s="42"/>
      <c r="AF243" s="76">
        <f t="shared" ref="AF243:AG243" si="659">AF43+AF48+AF53</f>
        <v>0</v>
      </c>
      <c r="AG243" s="76">
        <f t="shared" si="659"/>
        <v>0</v>
      </c>
      <c r="AH243" s="42"/>
      <c r="AI243" s="76">
        <f t="shared" ref="AI243:AJ243" si="660">AI43+AI48+AI53</f>
        <v>0</v>
      </c>
      <c r="AJ243" s="76">
        <f t="shared" si="660"/>
        <v>0</v>
      </c>
      <c r="AK243" s="42"/>
      <c r="AL243" s="76">
        <f t="shared" ref="AL243:AM243" si="661">AL43+AL48+AL53</f>
        <v>0</v>
      </c>
      <c r="AM243" s="76">
        <f t="shared" si="661"/>
        <v>0</v>
      </c>
      <c r="AN243" s="42"/>
      <c r="AO243" s="76">
        <f t="shared" ref="AO243:AO244" si="662">AO43+AO48+AO53</f>
        <v>0</v>
      </c>
      <c r="AP243" s="76">
        <f t="shared" ref="AP243" si="663">AP43+AP48+AP53</f>
        <v>0</v>
      </c>
      <c r="AQ243" s="42"/>
      <c r="AR243" s="52"/>
      <c r="AS243" s="52"/>
      <c r="AT243" s="43"/>
      <c r="AU243" s="55">
        <f t="shared" si="645"/>
        <v>0</v>
      </c>
      <c r="AV243" s="55">
        <f t="shared" si="646"/>
        <v>0</v>
      </c>
      <c r="AW243" s="55">
        <f t="shared" si="647"/>
        <v>0</v>
      </c>
      <c r="AX243" s="55">
        <f t="shared" si="648"/>
        <v>0</v>
      </c>
    </row>
    <row r="244" spans="1:50" ht="13.5" customHeight="1">
      <c r="A244" s="160"/>
      <c r="B244" s="160"/>
      <c r="C244" s="160"/>
      <c r="D244" s="58" t="s">
        <v>70</v>
      </c>
      <c r="E244" s="59">
        <f t="shared" si="650"/>
        <v>6396.5</v>
      </c>
      <c r="F244" s="59">
        <f t="shared" si="649"/>
        <v>24</v>
      </c>
      <c r="G244" s="42">
        <f t="shared" ref="G244" si="664">F244/E244*100</f>
        <v>0.37520519033846639</v>
      </c>
      <c r="H244" s="76">
        <f t="shared" ref="H244:I244" si="665">H44+H49+H54</f>
        <v>0</v>
      </c>
      <c r="I244" s="76">
        <f t="shared" si="665"/>
        <v>0</v>
      </c>
      <c r="J244" s="42"/>
      <c r="K244" s="76">
        <f t="shared" ref="K244:L244" si="666">K44+K49+K54</f>
        <v>0</v>
      </c>
      <c r="L244" s="76">
        <f t="shared" si="666"/>
        <v>0</v>
      </c>
      <c r="M244" s="42"/>
      <c r="N244" s="76">
        <f t="shared" ref="N244:O244" si="667">N44+N49+N54</f>
        <v>0</v>
      </c>
      <c r="O244" s="76">
        <f t="shared" si="667"/>
        <v>0</v>
      </c>
      <c r="P244" s="42"/>
      <c r="Q244" s="76">
        <f t="shared" ref="Q244:R244" si="668">Q44+Q49+Q54</f>
        <v>0</v>
      </c>
      <c r="R244" s="76">
        <f t="shared" si="668"/>
        <v>0</v>
      </c>
      <c r="S244" s="42"/>
      <c r="T244" s="76">
        <f t="shared" ref="T244:U244" si="669">T44+T49+T54</f>
        <v>0</v>
      </c>
      <c r="U244" s="76">
        <f t="shared" si="669"/>
        <v>0</v>
      </c>
      <c r="V244" s="42"/>
      <c r="W244" s="76">
        <f t="shared" ref="W244:X244" si="670">W44+W49+W54</f>
        <v>0</v>
      </c>
      <c r="X244" s="76">
        <f t="shared" si="670"/>
        <v>0</v>
      </c>
      <c r="Y244" s="42"/>
      <c r="Z244" s="76">
        <f t="shared" ref="Z244:AA244" si="671">Z44+Z49+Z54</f>
        <v>0</v>
      </c>
      <c r="AA244" s="76">
        <f t="shared" si="671"/>
        <v>0</v>
      </c>
      <c r="AB244" s="42"/>
      <c r="AC244" s="76">
        <f t="shared" ref="AC244:AD244" si="672">AC44+AC49+AC54</f>
        <v>0</v>
      </c>
      <c r="AD244" s="76">
        <f t="shared" si="672"/>
        <v>0</v>
      </c>
      <c r="AE244" s="42"/>
      <c r="AF244" s="76">
        <f t="shared" ref="AF244:AG244" si="673">AF44+AF49+AF54</f>
        <v>0</v>
      </c>
      <c r="AG244" s="76">
        <f t="shared" si="673"/>
        <v>0</v>
      </c>
      <c r="AH244" s="42"/>
      <c r="AI244" s="76">
        <f t="shared" ref="AI244:AJ244" si="674">AI44+AI49+AI54</f>
        <v>0</v>
      </c>
      <c r="AJ244" s="76">
        <f t="shared" si="674"/>
        <v>0</v>
      </c>
      <c r="AK244" s="42"/>
      <c r="AL244" s="76">
        <f t="shared" ref="AL244:AM244" si="675">AL44+AL49+AL54</f>
        <v>0</v>
      </c>
      <c r="AM244" s="76">
        <f t="shared" si="675"/>
        <v>0</v>
      </c>
      <c r="AN244" s="42"/>
      <c r="AO244" s="76">
        <f t="shared" si="662"/>
        <v>6396.5</v>
      </c>
      <c r="AP244" s="76">
        <f t="shared" ref="AP244" si="676">AP44+AP49+AP54</f>
        <v>24</v>
      </c>
      <c r="AQ244" s="42">
        <f t="shared" ref="AQ244" si="677">AP244/AO244*100</f>
        <v>0.37520519033846639</v>
      </c>
      <c r="AR244" s="52"/>
      <c r="AS244" s="52"/>
      <c r="AT244" s="43"/>
      <c r="AU244" s="55">
        <f t="shared" si="645"/>
        <v>0</v>
      </c>
      <c r="AV244" s="55">
        <f t="shared" si="646"/>
        <v>0</v>
      </c>
      <c r="AW244" s="55">
        <f t="shared" si="647"/>
        <v>0</v>
      </c>
      <c r="AX244" s="55">
        <f t="shared" si="648"/>
        <v>6396.5</v>
      </c>
    </row>
    <row r="245" spans="1:50" ht="13.5" customHeight="1">
      <c r="A245" s="160"/>
      <c r="B245" s="160"/>
      <c r="C245" s="160"/>
      <c r="D245" s="58" t="s">
        <v>24</v>
      </c>
      <c r="E245" s="59">
        <f t="shared" si="650"/>
        <v>0</v>
      </c>
      <c r="F245" s="59">
        <f t="shared" si="649"/>
        <v>0</v>
      </c>
      <c r="G245" s="42"/>
      <c r="H245" s="76">
        <f t="shared" ref="H245:I245" si="678">H45+H50+H55</f>
        <v>0</v>
      </c>
      <c r="I245" s="76">
        <f t="shared" si="678"/>
        <v>0</v>
      </c>
      <c r="J245" s="42"/>
      <c r="K245" s="76">
        <f t="shared" ref="K245:L245" si="679">K45+K50+K55</f>
        <v>0</v>
      </c>
      <c r="L245" s="76">
        <f t="shared" si="679"/>
        <v>0</v>
      </c>
      <c r="M245" s="42"/>
      <c r="N245" s="76">
        <f t="shared" ref="N245:O245" si="680">N45+N50+N55</f>
        <v>0</v>
      </c>
      <c r="O245" s="76">
        <f t="shared" si="680"/>
        <v>0</v>
      </c>
      <c r="P245" s="42"/>
      <c r="Q245" s="76">
        <f t="shared" ref="Q245:R245" si="681">Q45+Q50+Q55</f>
        <v>0</v>
      </c>
      <c r="R245" s="76">
        <f t="shared" si="681"/>
        <v>0</v>
      </c>
      <c r="S245" s="42"/>
      <c r="T245" s="76">
        <f t="shared" ref="T245:U245" si="682">T45+T50+T55</f>
        <v>0</v>
      </c>
      <c r="U245" s="76">
        <f t="shared" si="682"/>
        <v>0</v>
      </c>
      <c r="V245" s="42"/>
      <c r="W245" s="76">
        <f t="shared" ref="W245:X245" si="683">W45+W50+W55</f>
        <v>0</v>
      </c>
      <c r="X245" s="76">
        <f t="shared" si="683"/>
        <v>0</v>
      </c>
      <c r="Y245" s="42"/>
      <c r="Z245" s="76">
        <f t="shared" ref="Z245:AA245" si="684">Z45+Z50+Z55</f>
        <v>0</v>
      </c>
      <c r="AA245" s="76">
        <f t="shared" si="684"/>
        <v>0</v>
      </c>
      <c r="AB245" s="42"/>
      <c r="AC245" s="76">
        <f t="shared" ref="AC245:AD245" si="685">AC45+AC50+AC55</f>
        <v>0</v>
      </c>
      <c r="AD245" s="76">
        <f t="shared" si="685"/>
        <v>0</v>
      </c>
      <c r="AE245" s="42"/>
      <c r="AF245" s="76">
        <f t="shared" ref="AF245:AG245" si="686">AF45+AF50+AF55</f>
        <v>0</v>
      </c>
      <c r="AG245" s="76">
        <f t="shared" si="686"/>
        <v>0</v>
      </c>
      <c r="AH245" s="42"/>
      <c r="AI245" s="76">
        <f t="shared" ref="AI245:AJ245" si="687">AI45+AI50+AI55</f>
        <v>0</v>
      </c>
      <c r="AJ245" s="76">
        <f t="shared" si="687"/>
        <v>0</v>
      </c>
      <c r="AK245" s="42"/>
      <c r="AL245" s="76">
        <f t="shared" ref="AL245:AM245" si="688">AL45+AL50+AL55</f>
        <v>0</v>
      </c>
      <c r="AM245" s="76">
        <f t="shared" si="688"/>
        <v>0</v>
      </c>
      <c r="AN245" s="42"/>
      <c r="AO245" s="76">
        <f t="shared" ref="AO245:AP245" si="689">AO45+AO50+AO55</f>
        <v>0</v>
      </c>
      <c r="AP245" s="76">
        <f t="shared" si="689"/>
        <v>0</v>
      </c>
      <c r="AQ245" s="42"/>
      <c r="AR245" s="52"/>
      <c r="AS245" s="52"/>
      <c r="AT245" s="43"/>
      <c r="AU245" s="55">
        <f t="shared" si="645"/>
        <v>0</v>
      </c>
      <c r="AV245" s="55">
        <f t="shared" si="646"/>
        <v>0</v>
      </c>
      <c r="AW245" s="55">
        <f t="shared" si="647"/>
        <v>0</v>
      </c>
      <c r="AX245" s="55">
        <f t="shared" si="648"/>
        <v>0</v>
      </c>
    </row>
    <row r="246" spans="1:50" ht="12.75" customHeight="1">
      <c r="A246" s="160" t="s">
        <v>155</v>
      </c>
      <c r="B246" s="160"/>
      <c r="C246" s="160"/>
      <c r="D246" s="58" t="s">
        <v>3</v>
      </c>
      <c r="E246" s="59">
        <f>H246+K246+N246+Q246+T246+W246+Z246+AC246+AF246+AI246+AL246+AO246</f>
        <v>1523729.8</v>
      </c>
      <c r="F246" s="59">
        <f t="shared" ref="F246:F250" si="690">I246+L246+O246+R246+U246+X246+AA246+AD246+AG246+AJ246+AM246+AP246</f>
        <v>1519155.7</v>
      </c>
      <c r="G246" s="42">
        <f>F246/E246*100</f>
        <v>99.699808981881162</v>
      </c>
      <c r="H246" s="76">
        <f>H247+H248+H249+H250</f>
        <v>31758.1</v>
      </c>
      <c r="I246" s="76">
        <f>I247+I248+I249+I250</f>
        <v>31473</v>
      </c>
      <c r="J246" s="42">
        <f>I246/H246*100</f>
        <v>99.102276269676082</v>
      </c>
      <c r="K246" s="76">
        <f>K247+K248+K249+K250</f>
        <v>116549.70000000001</v>
      </c>
      <c r="L246" s="76">
        <f>L247+L248+L249+L250</f>
        <v>113183.59999999999</v>
      </c>
      <c r="M246" s="42">
        <f>L246/K246*100</f>
        <v>97.111875877844369</v>
      </c>
      <c r="N246" s="76">
        <f>N247+N248+N249+N250</f>
        <v>124348.79999999999</v>
      </c>
      <c r="O246" s="76">
        <f>O247+O248+O249+O250</f>
        <v>116944.3</v>
      </c>
      <c r="P246" s="42">
        <f>O246/N246*100</f>
        <v>94.045378805424747</v>
      </c>
      <c r="Q246" s="76">
        <f>Q247+Q248+Q249+Q250</f>
        <v>141335.75</v>
      </c>
      <c r="R246" s="76">
        <f>R247+R248+R249+R250</f>
        <v>138825.75</v>
      </c>
      <c r="S246" s="42">
        <f>R246/Q246*100</f>
        <v>98.224086970211005</v>
      </c>
      <c r="T246" s="76">
        <f>T247+T248+T249+T250</f>
        <v>177404.55</v>
      </c>
      <c r="U246" s="76">
        <f>U247+U248+U249+U250</f>
        <v>177886.65</v>
      </c>
      <c r="V246" s="42">
        <f>U246/T246*100</f>
        <v>100.27175176735885</v>
      </c>
      <c r="W246" s="76">
        <f>W247+W248+W249+W250</f>
        <v>209380.3</v>
      </c>
      <c r="X246" s="76">
        <f>X247+X248+X249+X250</f>
        <v>216037.60000000003</v>
      </c>
      <c r="Y246" s="42">
        <f>X246/W246*100</f>
        <v>103.17952548544444</v>
      </c>
      <c r="Z246" s="76">
        <f>Z247+Z248+Z249+Z250</f>
        <v>122465.5</v>
      </c>
      <c r="AA246" s="76">
        <f>AA247+AA248+AA249+AA250</f>
        <v>127477.99999999997</v>
      </c>
      <c r="AB246" s="42">
        <f>AA246/Z246*100</f>
        <v>104.09298945417278</v>
      </c>
      <c r="AC246" s="76">
        <f>AC247+AC248+AC249+AC250</f>
        <v>74476.100000000006</v>
      </c>
      <c r="AD246" s="76">
        <f>AD247+AD248+AD249+AD250</f>
        <v>68371.900000000009</v>
      </c>
      <c r="AE246" s="42">
        <f>AD246/AC246*100</f>
        <v>91.803813572407805</v>
      </c>
      <c r="AF246" s="76">
        <f>AF247+AF248+AF249+AF250</f>
        <v>96541.2</v>
      </c>
      <c r="AG246" s="76">
        <f>AG247+AG248+AG249+AG250</f>
        <v>87688.199999999983</v>
      </c>
      <c r="AH246" s="42">
        <f>AG246/AF246*100</f>
        <v>90.829821879156242</v>
      </c>
      <c r="AI246" s="76">
        <f>AI247+AI248+AI249+AI250</f>
        <v>116536.19999999998</v>
      </c>
      <c r="AJ246" s="76">
        <f>AJ247+AJ248+AJ249+AJ250</f>
        <v>119522.9</v>
      </c>
      <c r="AK246" s="42">
        <f>AJ246/AI246*100</f>
        <v>102.56289461986921</v>
      </c>
      <c r="AL246" s="76">
        <f>AL247+AL248+AL249+AL250</f>
        <v>131116.29999999999</v>
      </c>
      <c r="AM246" s="76">
        <f>AM247+AM248+AM249+AM250</f>
        <v>130231.29999999999</v>
      </c>
      <c r="AN246" s="42">
        <f>AM246/AL246*100</f>
        <v>99.325026712925862</v>
      </c>
      <c r="AO246" s="76">
        <f>AO247+AO248+AO249+AO250</f>
        <v>181817.3</v>
      </c>
      <c r="AP246" s="76">
        <f>AP247+AP248+AP249+AP250</f>
        <v>191512.5</v>
      </c>
      <c r="AQ246" s="42">
        <f>AP246/AO246*100</f>
        <v>105.33238586207143</v>
      </c>
      <c r="AR246" s="52"/>
      <c r="AS246" s="52"/>
      <c r="AT246" s="43">
        <f t="shared" si="529"/>
        <v>0.98936644527866013</v>
      </c>
      <c r="AU246" s="55">
        <f t="shared" si="645"/>
        <v>272656.59999999998</v>
      </c>
      <c r="AV246" s="55">
        <f t="shared" si="646"/>
        <v>528120.6</v>
      </c>
      <c r="AW246" s="55">
        <f t="shared" si="647"/>
        <v>293482.8</v>
      </c>
      <c r="AX246" s="55">
        <f t="shared" si="648"/>
        <v>429469.79999999993</v>
      </c>
    </row>
    <row r="247" spans="1:50" ht="13.5" customHeight="1">
      <c r="A247" s="160"/>
      <c r="B247" s="160"/>
      <c r="C247" s="160"/>
      <c r="D247" s="58" t="s">
        <v>23</v>
      </c>
      <c r="E247" s="59">
        <f t="shared" ref="E247:E250" si="691">H247+K247+N247+Q247+T247+W247+Z247+AC247+AF247+AI247+AL247+AO247</f>
        <v>276.5</v>
      </c>
      <c r="F247" s="59">
        <f t="shared" si="690"/>
        <v>276.5</v>
      </c>
      <c r="G247" s="42">
        <f>F247/E247*100</f>
        <v>100</v>
      </c>
      <c r="H247" s="76">
        <f>H237-H242</f>
        <v>0</v>
      </c>
      <c r="I247" s="76">
        <f>I237-I242</f>
        <v>0</v>
      </c>
      <c r="J247" s="42"/>
      <c r="K247" s="76">
        <f>K237-K242</f>
        <v>0</v>
      </c>
      <c r="L247" s="76">
        <f>L237-L242</f>
        <v>0</v>
      </c>
      <c r="M247" s="42"/>
      <c r="N247" s="76">
        <f>N237-N242</f>
        <v>0</v>
      </c>
      <c r="O247" s="76">
        <f>O237-O242</f>
        <v>0</v>
      </c>
      <c r="P247" s="42"/>
      <c r="Q247" s="76">
        <f>Q237-Q242</f>
        <v>0</v>
      </c>
      <c r="R247" s="76">
        <f>R237-R242</f>
        <v>0</v>
      </c>
      <c r="S247" s="42"/>
      <c r="T247" s="76">
        <f>T237-T242</f>
        <v>0</v>
      </c>
      <c r="U247" s="76">
        <f>U237-U242</f>
        <v>0</v>
      </c>
      <c r="V247" s="42"/>
      <c r="W247" s="76">
        <f>W237-W242</f>
        <v>0</v>
      </c>
      <c r="X247" s="76">
        <f>X237-X242</f>
        <v>0</v>
      </c>
      <c r="Y247" s="42"/>
      <c r="Z247" s="76">
        <f>Z237-Z242</f>
        <v>0</v>
      </c>
      <c r="AA247" s="76">
        <f>AA237-AA242</f>
        <v>0</v>
      </c>
      <c r="AB247" s="42"/>
      <c r="AC247" s="76">
        <f>AC237-AC242</f>
        <v>0</v>
      </c>
      <c r="AD247" s="76">
        <f>AD237-AD242</f>
        <v>0</v>
      </c>
      <c r="AE247" s="42"/>
      <c r="AF247" s="76">
        <f>AF237-AF242</f>
        <v>0</v>
      </c>
      <c r="AG247" s="76">
        <f>AG237-AG242</f>
        <v>0</v>
      </c>
      <c r="AH247" s="42"/>
      <c r="AI247" s="76">
        <f>AI237-AI242</f>
        <v>0</v>
      </c>
      <c r="AJ247" s="76">
        <f>AJ237-AJ242</f>
        <v>0</v>
      </c>
      <c r="AK247" s="42"/>
      <c r="AL247" s="76">
        <f>AL237-AL242</f>
        <v>0</v>
      </c>
      <c r="AM247" s="76">
        <f>AM237-AM242</f>
        <v>0</v>
      </c>
      <c r="AN247" s="42"/>
      <c r="AO247" s="76">
        <f>AO237-AO242</f>
        <v>276.5</v>
      </c>
      <c r="AP247" s="76">
        <f>AP237-AP242</f>
        <v>276.5</v>
      </c>
      <c r="AQ247" s="42">
        <f>AP247/AO247*100</f>
        <v>100</v>
      </c>
      <c r="AR247" s="52"/>
      <c r="AS247" s="52"/>
      <c r="AT247" s="43"/>
      <c r="AU247" s="55">
        <f t="shared" si="645"/>
        <v>0</v>
      </c>
      <c r="AV247" s="55">
        <f t="shared" si="646"/>
        <v>0</v>
      </c>
      <c r="AW247" s="55">
        <f t="shared" si="647"/>
        <v>0</v>
      </c>
      <c r="AX247" s="55">
        <f t="shared" si="648"/>
        <v>276.5</v>
      </c>
    </row>
    <row r="248" spans="1:50" ht="24">
      <c r="A248" s="160"/>
      <c r="B248" s="160"/>
      <c r="C248" s="160"/>
      <c r="D248" s="58" t="s">
        <v>4</v>
      </c>
      <c r="E248" s="59">
        <f t="shared" si="691"/>
        <v>1202101.9999999998</v>
      </c>
      <c r="F248" s="59">
        <f t="shared" si="690"/>
        <v>1201700.3</v>
      </c>
      <c r="G248" s="42">
        <f>F248/E248*100</f>
        <v>99.966583534508743</v>
      </c>
      <c r="H248" s="76">
        <f t="shared" ref="H248:I248" si="692">H238-H243</f>
        <v>25747</v>
      </c>
      <c r="I248" s="76">
        <f t="shared" si="692"/>
        <v>25725.200000000001</v>
      </c>
      <c r="J248" s="42">
        <f>I248/H248*100</f>
        <v>99.915329941352397</v>
      </c>
      <c r="K248" s="76">
        <f t="shared" ref="K248:L248" si="693">K238-K243</f>
        <v>87537.1</v>
      </c>
      <c r="L248" s="76">
        <f t="shared" si="693"/>
        <v>86411.4</v>
      </c>
      <c r="M248" s="42">
        <f>L248/K248*100</f>
        <v>98.714030965156468</v>
      </c>
      <c r="N248" s="76">
        <f t="shared" ref="N248:O248" si="694">N238-N243</f>
        <v>93498.299999999988</v>
      </c>
      <c r="O248" s="76">
        <f t="shared" si="694"/>
        <v>87383</v>
      </c>
      <c r="P248" s="42">
        <f>O248/N248*100</f>
        <v>93.459453273481984</v>
      </c>
      <c r="Q248" s="76">
        <f t="shared" ref="Q248:R248" si="695">Q238-Q243</f>
        <v>108934.29999999999</v>
      </c>
      <c r="R248" s="76">
        <f t="shared" si="695"/>
        <v>108019.4</v>
      </c>
      <c r="S248" s="42">
        <f>R248/Q248*100</f>
        <v>99.160135971865614</v>
      </c>
      <c r="T248" s="76">
        <f t="shared" ref="T248:U248" si="696">T238-T243</f>
        <v>152993.59999999998</v>
      </c>
      <c r="U248" s="76">
        <f t="shared" si="696"/>
        <v>153795.19999999998</v>
      </c>
      <c r="V248" s="42">
        <f>U248/T248*100</f>
        <v>100.5239434852177</v>
      </c>
      <c r="W248" s="76">
        <f t="shared" ref="W248:X248" si="697">W238-W243</f>
        <v>182826.3</v>
      </c>
      <c r="X248" s="76">
        <f t="shared" si="697"/>
        <v>188105.80000000002</v>
      </c>
      <c r="Y248" s="42">
        <f>X248/W248*100</f>
        <v>102.8877136385739</v>
      </c>
      <c r="Z248" s="76">
        <f t="shared" ref="Z248:AA248" si="698">Z238-Z243</f>
        <v>96236.6</v>
      </c>
      <c r="AA248" s="76">
        <f t="shared" si="698"/>
        <v>97518.099999999977</v>
      </c>
      <c r="AB248" s="42">
        <f>AA248/Z248*100</f>
        <v>101.33161395976164</v>
      </c>
      <c r="AC248" s="76">
        <f t="shared" ref="AC248:AD248" si="699">AC238-AC243</f>
        <v>56188.4</v>
      </c>
      <c r="AD248" s="76">
        <f t="shared" si="699"/>
        <v>49192.100000000006</v>
      </c>
      <c r="AE248" s="42">
        <f>AD248/AC248*100</f>
        <v>87.548497554655413</v>
      </c>
      <c r="AF248" s="76">
        <f t="shared" ref="AF248:AG248" si="700">AF238-AF243</f>
        <v>63607.9</v>
      </c>
      <c r="AG248" s="76">
        <f t="shared" si="700"/>
        <v>67843.89999999998</v>
      </c>
      <c r="AH248" s="42">
        <f>AG248/AF248*100</f>
        <v>106.65955015021716</v>
      </c>
      <c r="AI248" s="76">
        <f t="shared" ref="AI248:AJ248" si="701">AI238-AI243</f>
        <v>88144.299999999988</v>
      </c>
      <c r="AJ248" s="76">
        <f t="shared" si="701"/>
        <v>86500.800000000003</v>
      </c>
      <c r="AK248" s="42">
        <f>AJ248/AI248*100</f>
        <v>98.13544381202189</v>
      </c>
      <c r="AL248" s="76">
        <f t="shared" ref="AL248:AM248" si="702">AL238-AL243</f>
        <v>102209.49999999999</v>
      </c>
      <c r="AM248" s="76">
        <f t="shared" si="702"/>
        <v>101778.79999999999</v>
      </c>
      <c r="AN248" s="42">
        <f>AM248/AL248*100</f>
        <v>99.578610598819097</v>
      </c>
      <c r="AO248" s="76">
        <f t="shared" ref="AO248:AP248" si="703">AO238-AO243</f>
        <v>144178.69999999998</v>
      </c>
      <c r="AP248" s="76">
        <f t="shared" si="703"/>
        <v>149426.6</v>
      </c>
      <c r="AQ248" s="42">
        <f>AP248/AO248*100</f>
        <v>103.63985803728291</v>
      </c>
      <c r="AR248" s="52"/>
      <c r="AS248" s="52"/>
      <c r="AT248" s="43">
        <f t="shared" si="529"/>
        <v>0.99465972627694288</v>
      </c>
      <c r="AU248" s="55">
        <f t="shared" si="645"/>
        <v>206782.4</v>
      </c>
      <c r="AV248" s="55">
        <f t="shared" si="646"/>
        <v>444754.19999999995</v>
      </c>
      <c r="AW248" s="55">
        <f t="shared" si="647"/>
        <v>216032.9</v>
      </c>
      <c r="AX248" s="55">
        <f t="shared" si="648"/>
        <v>334532.5</v>
      </c>
    </row>
    <row r="249" spans="1:50" ht="12.75" customHeight="1">
      <c r="A249" s="160"/>
      <c r="B249" s="160"/>
      <c r="C249" s="160"/>
      <c r="D249" s="58" t="s">
        <v>70</v>
      </c>
      <c r="E249" s="59">
        <f t="shared" si="691"/>
        <v>321351.30000000005</v>
      </c>
      <c r="F249" s="59">
        <f t="shared" si="690"/>
        <v>317178.90000000002</v>
      </c>
      <c r="G249" s="42">
        <f t="shared" ref="G249" si="704">F249/E249*100</f>
        <v>98.701607866531106</v>
      </c>
      <c r="H249" s="76">
        <f t="shared" ref="H249:I249" si="705">H239-H244</f>
        <v>6011.1</v>
      </c>
      <c r="I249" s="76">
        <f t="shared" si="705"/>
        <v>5747.8</v>
      </c>
      <c r="J249" s="42">
        <f t="shared" ref="J249" si="706">I249/H249*100</f>
        <v>95.619770091996472</v>
      </c>
      <c r="K249" s="76">
        <f t="shared" ref="K249:L249" si="707">K239-K244</f>
        <v>29012.6</v>
      </c>
      <c r="L249" s="76">
        <f t="shared" si="707"/>
        <v>26772.199999999997</v>
      </c>
      <c r="M249" s="42">
        <f t="shared" ref="M249" si="708">L249/K249*100</f>
        <v>92.277837904910271</v>
      </c>
      <c r="N249" s="76">
        <f t="shared" ref="N249:O249" si="709">N239-N244</f>
        <v>30850.500000000004</v>
      </c>
      <c r="O249" s="76">
        <f t="shared" si="709"/>
        <v>29561.300000000007</v>
      </c>
      <c r="P249" s="42">
        <f t="shared" ref="P249" si="710">O249/N249*100</f>
        <v>95.821137420787352</v>
      </c>
      <c r="Q249" s="76">
        <f t="shared" ref="Q249:R249" si="711">Q239-Q244</f>
        <v>32401.45</v>
      </c>
      <c r="R249" s="76">
        <f t="shared" si="711"/>
        <v>30806.35</v>
      </c>
      <c r="S249" s="42">
        <f t="shared" ref="S249" si="712">R249/Q249*100</f>
        <v>95.07707216806655</v>
      </c>
      <c r="T249" s="76">
        <f t="shared" ref="T249:U249" si="713">T239-T244</f>
        <v>24410.950000000004</v>
      </c>
      <c r="U249" s="76">
        <f t="shared" si="713"/>
        <v>24091.45</v>
      </c>
      <c r="V249" s="42">
        <f t="shared" ref="V249" si="714">U249/T249*100</f>
        <v>98.691161138751241</v>
      </c>
      <c r="W249" s="76">
        <f t="shared" ref="W249:X249" si="715">W239-W244</f>
        <v>26554.000000000004</v>
      </c>
      <c r="X249" s="76">
        <f t="shared" si="715"/>
        <v>27931.800000000003</v>
      </c>
      <c r="Y249" s="42">
        <f t="shared" ref="Y249" si="716">X249/W249*100</f>
        <v>105.18867213979061</v>
      </c>
      <c r="Z249" s="76">
        <f t="shared" ref="Z249:AA249" si="717">Z239-Z244</f>
        <v>26228.9</v>
      </c>
      <c r="AA249" s="76">
        <f t="shared" si="717"/>
        <v>29959.9</v>
      </c>
      <c r="AB249" s="42">
        <f t="shared" ref="AB249" si="718">AA249/Z249*100</f>
        <v>114.22476733679264</v>
      </c>
      <c r="AC249" s="76">
        <f t="shared" ref="AC249:AD249" si="719">AC239-AC244</f>
        <v>18287.7</v>
      </c>
      <c r="AD249" s="76">
        <f t="shared" si="719"/>
        <v>19179.8</v>
      </c>
      <c r="AE249" s="42">
        <f t="shared" ref="AE249" si="720">AD249/AC249*100</f>
        <v>104.87814213925206</v>
      </c>
      <c r="AF249" s="76">
        <f t="shared" ref="AF249:AG249" si="721">AF239-AF244</f>
        <v>32933.299999999996</v>
      </c>
      <c r="AG249" s="76">
        <f t="shared" si="721"/>
        <v>19844.300000000003</v>
      </c>
      <c r="AH249" s="42">
        <f t="shared" ref="AH249" si="722">AG249/AF249*100</f>
        <v>60.256032647806343</v>
      </c>
      <c r="AI249" s="76">
        <f t="shared" ref="AI249:AJ249" si="723">AI239-AI244</f>
        <v>28391.9</v>
      </c>
      <c r="AJ249" s="76">
        <f t="shared" si="723"/>
        <v>33022.1</v>
      </c>
      <c r="AK249" s="42">
        <f t="shared" ref="AK249" si="724">AJ249/AI249*100</f>
        <v>116.30817240128346</v>
      </c>
      <c r="AL249" s="76">
        <f t="shared" ref="AL249:AM249" si="725">AL239-AL244</f>
        <v>28906.800000000003</v>
      </c>
      <c r="AM249" s="76">
        <f t="shared" si="725"/>
        <v>28452.500000000004</v>
      </c>
      <c r="AN249" s="42">
        <f t="shared" ref="AN249" si="726">AM249/AL249*100</f>
        <v>98.428397470491376</v>
      </c>
      <c r="AO249" s="76">
        <f t="shared" ref="AO249:AP249" si="727">AO239-AO244</f>
        <v>37362.100000000006</v>
      </c>
      <c r="AP249" s="76">
        <f t="shared" si="727"/>
        <v>41809.400000000009</v>
      </c>
      <c r="AQ249" s="42">
        <f t="shared" ref="AQ249" si="728">AP249/AO249*100</f>
        <v>111.90323884364102</v>
      </c>
      <c r="AR249" s="52"/>
      <c r="AS249" s="52"/>
      <c r="AT249" s="43">
        <f t="shared" si="529"/>
        <v>0.96964778942297802</v>
      </c>
      <c r="AU249" s="55">
        <f t="shared" si="645"/>
        <v>65874.2</v>
      </c>
      <c r="AV249" s="55">
        <f t="shared" si="646"/>
        <v>83366.400000000009</v>
      </c>
      <c r="AW249" s="55">
        <f t="shared" si="647"/>
        <v>77449.899999999994</v>
      </c>
      <c r="AX249" s="55">
        <f t="shared" si="648"/>
        <v>94660.800000000017</v>
      </c>
    </row>
    <row r="250" spans="1:50" ht="12.75" customHeight="1">
      <c r="A250" s="160"/>
      <c r="B250" s="160"/>
      <c r="C250" s="160"/>
      <c r="D250" s="58" t="s">
        <v>24</v>
      </c>
      <c r="E250" s="59">
        <f t="shared" si="691"/>
        <v>0</v>
      </c>
      <c r="F250" s="59">
        <f t="shared" si="690"/>
        <v>0</v>
      </c>
      <c r="G250" s="42"/>
      <c r="H250" s="76">
        <f t="shared" ref="H250:I250" si="729">H240-H245</f>
        <v>0</v>
      </c>
      <c r="I250" s="76">
        <f t="shared" si="729"/>
        <v>0</v>
      </c>
      <c r="J250" s="42"/>
      <c r="K250" s="76">
        <f t="shared" ref="K250:L250" si="730">K240-K245</f>
        <v>0</v>
      </c>
      <c r="L250" s="76">
        <f t="shared" si="730"/>
        <v>0</v>
      </c>
      <c r="M250" s="42"/>
      <c r="N250" s="76">
        <f t="shared" ref="N250:O250" si="731">N240-N245</f>
        <v>0</v>
      </c>
      <c r="O250" s="76">
        <f t="shared" si="731"/>
        <v>0</v>
      </c>
      <c r="P250" s="42"/>
      <c r="Q250" s="76">
        <f t="shared" ref="Q250:R250" si="732">Q240-Q245</f>
        <v>0</v>
      </c>
      <c r="R250" s="76">
        <f t="shared" si="732"/>
        <v>0</v>
      </c>
      <c r="S250" s="42"/>
      <c r="T250" s="76">
        <f t="shared" ref="T250:U250" si="733">T240-T245</f>
        <v>0</v>
      </c>
      <c r="U250" s="76">
        <f t="shared" si="733"/>
        <v>0</v>
      </c>
      <c r="V250" s="42"/>
      <c r="W250" s="76">
        <f t="shared" ref="W250:X250" si="734">W240-W245</f>
        <v>0</v>
      </c>
      <c r="X250" s="76">
        <f t="shared" si="734"/>
        <v>0</v>
      </c>
      <c r="Y250" s="42"/>
      <c r="Z250" s="76">
        <f t="shared" ref="Z250:AA250" si="735">Z240-Z245</f>
        <v>0</v>
      </c>
      <c r="AA250" s="76">
        <f t="shared" si="735"/>
        <v>0</v>
      </c>
      <c r="AB250" s="42"/>
      <c r="AC250" s="76">
        <f t="shared" ref="AC250:AD250" si="736">AC240-AC245</f>
        <v>0</v>
      </c>
      <c r="AD250" s="76">
        <f t="shared" si="736"/>
        <v>0</v>
      </c>
      <c r="AE250" s="42"/>
      <c r="AF250" s="76">
        <f t="shared" ref="AF250:AG250" si="737">AF240-AF245</f>
        <v>0</v>
      </c>
      <c r="AG250" s="76">
        <f t="shared" si="737"/>
        <v>0</v>
      </c>
      <c r="AH250" s="42"/>
      <c r="AI250" s="76">
        <f t="shared" ref="AI250:AJ250" si="738">AI240-AI245</f>
        <v>0</v>
      </c>
      <c r="AJ250" s="76">
        <f t="shared" si="738"/>
        <v>0</v>
      </c>
      <c r="AK250" s="42"/>
      <c r="AL250" s="76">
        <f t="shared" ref="AL250:AM250" si="739">AL240-AL245</f>
        <v>0</v>
      </c>
      <c r="AM250" s="76">
        <f t="shared" si="739"/>
        <v>0</v>
      </c>
      <c r="AN250" s="42"/>
      <c r="AO250" s="76">
        <f t="shared" ref="AO250:AP250" si="740">AO240-AO245</f>
        <v>0</v>
      </c>
      <c r="AP250" s="76">
        <f t="shared" si="740"/>
        <v>0</v>
      </c>
      <c r="AQ250" s="42"/>
      <c r="AR250" s="52"/>
      <c r="AS250" s="52"/>
      <c r="AT250" s="43"/>
      <c r="AU250" s="55">
        <f t="shared" si="645"/>
        <v>0</v>
      </c>
      <c r="AV250" s="55">
        <f t="shared" si="646"/>
        <v>0</v>
      </c>
      <c r="AW250" s="55">
        <f t="shared" si="647"/>
        <v>0</v>
      </c>
      <c r="AX250" s="55">
        <f t="shared" si="648"/>
        <v>0</v>
      </c>
    </row>
    <row r="251" spans="1:50" ht="13.5" customHeight="1">
      <c r="A251" s="161" t="s">
        <v>156</v>
      </c>
      <c r="B251" s="162"/>
      <c r="C251" s="163"/>
      <c r="D251" s="58"/>
      <c r="E251" s="59"/>
      <c r="F251" s="59"/>
      <c r="G251" s="42"/>
      <c r="H251" s="76"/>
      <c r="I251" s="76"/>
      <c r="J251" s="42"/>
      <c r="K251" s="76"/>
      <c r="L251" s="76"/>
      <c r="M251" s="42"/>
      <c r="N251" s="76"/>
      <c r="O251" s="76"/>
      <c r="P251" s="42"/>
      <c r="Q251" s="76"/>
      <c r="R251" s="76"/>
      <c r="S251" s="42"/>
      <c r="T251" s="76"/>
      <c r="U251" s="76"/>
      <c r="V251" s="42"/>
      <c r="W251" s="76"/>
      <c r="X251" s="76"/>
      <c r="Y251" s="42"/>
      <c r="Z251" s="76"/>
      <c r="AA251" s="76"/>
      <c r="AB251" s="42"/>
      <c r="AC251" s="76"/>
      <c r="AD251" s="76"/>
      <c r="AE251" s="42"/>
      <c r="AF251" s="76"/>
      <c r="AG251" s="76"/>
      <c r="AH251" s="42"/>
      <c r="AI251" s="76"/>
      <c r="AJ251" s="76"/>
      <c r="AK251" s="42"/>
      <c r="AL251" s="76"/>
      <c r="AM251" s="76"/>
      <c r="AN251" s="42"/>
      <c r="AO251" s="76"/>
      <c r="AP251" s="68"/>
      <c r="AQ251" s="42"/>
      <c r="AR251" s="52"/>
      <c r="AS251" s="52"/>
      <c r="AT251" s="43"/>
      <c r="AU251" s="55">
        <f t="shared" si="645"/>
        <v>0</v>
      </c>
      <c r="AV251" s="55">
        <f t="shared" si="646"/>
        <v>0</v>
      </c>
      <c r="AW251" s="55">
        <f t="shared" si="647"/>
        <v>0</v>
      </c>
      <c r="AX251" s="55">
        <f t="shared" si="648"/>
        <v>0</v>
      </c>
    </row>
    <row r="252" spans="1:50" ht="12" customHeight="1">
      <c r="A252" s="160" t="s">
        <v>158</v>
      </c>
      <c r="B252" s="160"/>
      <c r="C252" s="160"/>
      <c r="D252" s="58" t="s">
        <v>3</v>
      </c>
      <c r="E252" s="59">
        <f>H252+K252+N252+Q252+T252+W252+Z252+AC252+AF252+AI252+AL252+AO252</f>
        <v>1523120.7000000002</v>
      </c>
      <c r="F252" s="59">
        <f t="shared" ref="F252:F256" si="741">I252+L252+O252+R252+U252+X252+AA252+AD252+AG252+AJ252+AM252+AP252</f>
        <v>1518546.6</v>
      </c>
      <c r="G252" s="42">
        <f>F252/E252*100</f>
        <v>99.699688934698344</v>
      </c>
      <c r="H252" s="76">
        <f>H253+H254+H255+H256</f>
        <v>31758.1</v>
      </c>
      <c r="I252" s="76">
        <f>I253+I254+I255+I256</f>
        <v>31473</v>
      </c>
      <c r="J252" s="42">
        <f>I252/H252*100</f>
        <v>99.102276269676082</v>
      </c>
      <c r="K252" s="76">
        <f>K253+K254+K255+K256</f>
        <v>116549.70000000001</v>
      </c>
      <c r="L252" s="76">
        <f>L253+L254+L255+L256</f>
        <v>113183.59999999999</v>
      </c>
      <c r="M252" s="42">
        <f>L252/K252*100</f>
        <v>97.111875877844369</v>
      </c>
      <c r="N252" s="76">
        <f>N253+N254+N255+N256</f>
        <v>124089.5</v>
      </c>
      <c r="O252" s="76">
        <f>O253+O254+O255+O256</f>
        <v>116685</v>
      </c>
      <c r="P252" s="42">
        <f>O252/N252*100</f>
        <v>94.032935905132987</v>
      </c>
      <c r="Q252" s="76">
        <f>Q253+Q254+Q255+Q256</f>
        <v>141335.75</v>
      </c>
      <c r="R252" s="76">
        <f>R253+R254+R255+R256</f>
        <v>138825.75</v>
      </c>
      <c r="S252" s="42">
        <f>R252/Q252*100</f>
        <v>98.224086970211005</v>
      </c>
      <c r="T252" s="76">
        <f>T253+T254+T255+T256</f>
        <v>177404.55</v>
      </c>
      <c r="U252" s="76">
        <f>U253+U254+U255+U256</f>
        <v>177886.65</v>
      </c>
      <c r="V252" s="42">
        <f>U252/T252*100</f>
        <v>100.27175176735885</v>
      </c>
      <c r="W252" s="76">
        <f>W253+W254+W255+W256</f>
        <v>209380.3</v>
      </c>
      <c r="X252" s="76">
        <f>X253+X254+X255+X256</f>
        <v>216037.60000000003</v>
      </c>
      <c r="Y252" s="42">
        <f>X252/W252*100</f>
        <v>103.17952548544444</v>
      </c>
      <c r="Z252" s="76">
        <f>Z253+Z254+Z255+Z256</f>
        <v>122465.5</v>
      </c>
      <c r="AA252" s="76">
        <f>AA253+AA254+AA255+AA256</f>
        <v>127477.99999999997</v>
      </c>
      <c r="AB252" s="42">
        <f>AA252/Z252*100</f>
        <v>104.09298945417278</v>
      </c>
      <c r="AC252" s="76">
        <f>AC253+AC254+AC255+AC256</f>
        <v>74476.100000000006</v>
      </c>
      <c r="AD252" s="76">
        <f>AD253+AD254+AD255+AD256</f>
        <v>68371.900000000009</v>
      </c>
      <c r="AE252" s="42">
        <f>AD252/AC252*100</f>
        <v>91.803813572407805</v>
      </c>
      <c r="AF252" s="76">
        <f>AF253+AF254+AF255+AF256</f>
        <v>96541.2</v>
      </c>
      <c r="AG252" s="76">
        <f>AG253+AG254+AG255+AG256</f>
        <v>87688.199999999983</v>
      </c>
      <c r="AH252" s="42">
        <f>AG252/AF252*100</f>
        <v>90.829821879156242</v>
      </c>
      <c r="AI252" s="76">
        <f>AI253+AI254+AI255+AI256</f>
        <v>116536.19999999998</v>
      </c>
      <c r="AJ252" s="76">
        <f>AJ253+AJ254+AJ255+AJ256</f>
        <v>119522.9</v>
      </c>
      <c r="AK252" s="42">
        <f>AJ252/AI252*100</f>
        <v>102.56289461986921</v>
      </c>
      <c r="AL252" s="76">
        <f>AL253+AL254+AL255+AL256</f>
        <v>130766.5</v>
      </c>
      <c r="AM252" s="76">
        <f>AM253+AM254+AM255+AM256</f>
        <v>130108.4</v>
      </c>
      <c r="AN252" s="42">
        <f>AM252/AL252*100</f>
        <v>99.496736549498536</v>
      </c>
      <c r="AO252" s="76">
        <f>AO253+AO254+AO255+AO256</f>
        <v>181817.3</v>
      </c>
      <c r="AP252" s="76">
        <f>AP253+AP254+AP255+AP256</f>
        <v>191285.60000000003</v>
      </c>
      <c r="AQ252" s="42">
        <f>AP252/AO252*100</f>
        <v>105.20759025681276</v>
      </c>
      <c r="AR252" s="52"/>
      <c r="AS252" s="52"/>
      <c r="AT252" s="43">
        <f t="shared" si="529"/>
        <v>0.98953078028431141</v>
      </c>
      <c r="AU252" s="55">
        <f t="shared" si="645"/>
        <v>272397.30000000005</v>
      </c>
      <c r="AV252" s="55">
        <f t="shared" si="646"/>
        <v>528120.6</v>
      </c>
      <c r="AW252" s="55">
        <f t="shared" si="647"/>
        <v>293482.8</v>
      </c>
      <c r="AX252" s="55">
        <f t="shared" si="648"/>
        <v>429120</v>
      </c>
    </row>
    <row r="253" spans="1:50" ht="12" customHeight="1">
      <c r="A253" s="160"/>
      <c r="B253" s="160"/>
      <c r="C253" s="160"/>
      <c r="D253" s="58" t="s">
        <v>23</v>
      </c>
      <c r="E253" s="59">
        <f t="shared" ref="E253:E256" si="742">H253+K253+N253+Q253+T253+W253+Z253+AC253+AF253+AI253+AL253+AO253</f>
        <v>276.5</v>
      </c>
      <c r="F253" s="59">
        <f t="shared" si="741"/>
        <v>276.5</v>
      </c>
      <c r="G253" s="42">
        <f>F253/E253*100</f>
        <v>100</v>
      </c>
      <c r="H253" s="76">
        <f t="shared" ref="H253:I256" si="743">H237-H258-H263</f>
        <v>0</v>
      </c>
      <c r="I253" s="76">
        <f t="shared" si="743"/>
        <v>0</v>
      </c>
      <c r="J253" s="42"/>
      <c r="K253" s="76">
        <f t="shared" ref="K253:L256" si="744">K237-K258-K263</f>
        <v>0</v>
      </c>
      <c r="L253" s="76">
        <f t="shared" si="744"/>
        <v>0</v>
      </c>
      <c r="M253" s="42"/>
      <c r="N253" s="76">
        <f t="shared" ref="N253:O256" si="745">N237-N258-N263</f>
        <v>0</v>
      </c>
      <c r="O253" s="76">
        <f t="shared" si="745"/>
        <v>0</v>
      </c>
      <c r="P253" s="42"/>
      <c r="Q253" s="76">
        <f t="shared" ref="Q253:R256" si="746">Q237-Q258-Q263</f>
        <v>0</v>
      </c>
      <c r="R253" s="76">
        <f t="shared" si="746"/>
        <v>0</v>
      </c>
      <c r="S253" s="42"/>
      <c r="T253" s="76">
        <f t="shared" ref="T253:U256" si="747">T237-T258-T263</f>
        <v>0</v>
      </c>
      <c r="U253" s="76">
        <f t="shared" si="747"/>
        <v>0</v>
      </c>
      <c r="V253" s="42"/>
      <c r="W253" s="76">
        <f t="shared" ref="W253:X256" si="748">W237-W258-W263</f>
        <v>0</v>
      </c>
      <c r="X253" s="76">
        <f t="shared" si="748"/>
        <v>0</v>
      </c>
      <c r="Y253" s="42"/>
      <c r="Z253" s="76">
        <f t="shared" ref="Z253:AA256" si="749">Z237-Z258-Z263</f>
        <v>0</v>
      </c>
      <c r="AA253" s="76">
        <f t="shared" si="749"/>
        <v>0</v>
      </c>
      <c r="AB253" s="42"/>
      <c r="AC253" s="76">
        <f t="shared" ref="AC253:AD256" si="750">AC237-AC258-AC263</f>
        <v>0</v>
      </c>
      <c r="AD253" s="76">
        <f t="shared" si="750"/>
        <v>0</v>
      </c>
      <c r="AE253" s="42"/>
      <c r="AF253" s="76">
        <f t="shared" ref="AF253:AG256" si="751">AF237-AF258-AF263</f>
        <v>0</v>
      </c>
      <c r="AG253" s="76">
        <f t="shared" si="751"/>
        <v>0</v>
      </c>
      <c r="AH253" s="42"/>
      <c r="AI253" s="76">
        <f t="shared" ref="AI253:AJ256" si="752">AI237-AI258-AI263</f>
        <v>0</v>
      </c>
      <c r="AJ253" s="76">
        <f t="shared" si="752"/>
        <v>0</v>
      </c>
      <c r="AK253" s="42"/>
      <c r="AL253" s="76">
        <f t="shared" ref="AL253:AM256" si="753">AL237-AL258-AL263</f>
        <v>0</v>
      </c>
      <c r="AM253" s="76">
        <f t="shared" si="753"/>
        <v>0</v>
      </c>
      <c r="AN253" s="42"/>
      <c r="AO253" s="76">
        <f t="shared" ref="AO253:AP256" si="754">AO237-AO258-AO263</f>
        <v>276.5</v>
      </c>
      <c r="AP253" s="76">
        <f t="shared" si="754"/>
        <v>276.5</v>
      </c>
      <c r="AQ253" s="42">
        <f>AP253/AO253*100</f>
        <v>100</v>
      </c>
      <c r="AR253" s="52"/>
      <c r="AS253" s="52"/>
      <c r="AT253" s="43"/>
      <c r="AU253" s="55">
        <f t="shared" si="645"/>
        <v>0</v>
      </c>
      <c r="AV253" s="55">
        <f t="shared" si="646"/>
        <v>0</v>
      </c>
      <c r="AW253" s="55">
        <f t="shared" si="647"/>
        <v>0</v>
      </c>
      <c r="AX253" s="55">
        <f t="shared" si="648"/>
        <v>276.5</v>
      </c>
    </row>
    <row r="254" spans="1:50" ht="24">
      <c r="A254" s="160"/>
      <c r="B254" s="160"/>
      <c r="C254" s="160"/>
      <c r="D254" s="58" t="s">
        <v>4</v>
      </c>
      <c r="E254" s="59">
        <f t="shared" si="742"/>
        <v>1201851.5999999999</v>
      </c>
      <c r="F254" s="59">
        <f t="shared" si="741"/>
        <v>1201449.8999999999</v>
      </c>
      <c r="G254" s="42">
        <f>F254/E254*100</f>
        <v>99.96657657234887</v>
      </c>
      <c r="H254" s="76">
        <f t="shared" si="743"/>
        <v>25747</v>
      </c>
      <c r="I254" s="76">
        <f t="shared" si="743"/>
        <v>25725.200000000001</v>
      </c>
      <c r="J254" s="42">
        <f>I254/H254*100</f>
        <v>99.915329941352397</v>
      </c>
      <c r="K254" s="76">
        <f t="shared" si="744"/>
        <v>87537.1</v>
      </c>
      <c r="L254" s="76">
        <f t="shared" si="744"/>
        <v>86411.4</v>
      </c>
      <c r="M254" s="42">
        <f>L254/K254*100</f>
        <v>98.714030965156468</v>
      </c>
      <c r="N254" s="76">
        <f t="shared" si="745"/>
        <v>93417.799999999988</v>
      </c>
      <c r="O254" s="76">
        <f t="shared" si="745"/>
        <v>87302.5</v>
      </c>
      <c r="P254" s="42">
        <f>O254/N254*100</f>
        <v>93.453817152619749</v>
      </c>
      <c r="Q254" s="76">
        <f t="shared" si="746"/>
        <v>108934.29999999999</v>
      </c>
      <c r="R254" s="76">
        <f t="shared" si="746"/>
        <v>108019.4</v>
      </c>
      <c r="S254" s="42">
        <f>R254/Q254*100</f>
        <v>99.160135971865614</v>
      </c>
      <c r="T254" s="76">
        <f t="shared" si="747"/>
        <v>152993.59999999998</v>
      </c>
      <c r="U254" s="76">
        <f t="shared" si="747"/>
        <v>153795.19999999998</v>
      </c>
      <c r="V254" s="42">
        <f>U254/T254*100</f>
        <v>100.5239434852177</v>
      </c>
      <c r="W254" s="76">
        <f t="shared" si="748"/>
        <v>182826.3</v>
      </c>
      <c r="X254" s="76">
        <f t="shared" si="748"/>
        <v>188105.80000000002</v>
      </c>
      <c r="Y254" s="42">
        <f>X254/W254*100</f>
        <v>102.8877136385739</v>
      </c>
      <c r="Z254" s="76">
        <f t="shared" si="749"/>
        <v>96236.6</v>
      </c>
      <c r="AA254" s="76">
        <f t="shared" si="749"/>
        <v>97518.099999999977</v>
      </c>
      <c r="AB254" s="42">
        <f>AA254/Z254*100</f>
        <v>101.33161395976164</v>
      </c>
      <c r="AC254" s="76">
        <f t="shared" si="750"/>
        <v>56188.4</v>
      </c>
      <c r="AD254" s="76">
        <f t="shared" si="750"/>
        <v>49192.100000000006</v>
      </c>
      <c r="AE254" s="42">
        <f>AD254/AC254*100</f>
        <v>87.548497554655413</v>
      </c>
      <c r="AF254" s="76">
        <f t="shared" si="751"/>
        <v>63607.9</v>
      </c>
      <c r="AG254" s="76">
        <f t="shared" si="751"/>
        <v>67843.89999999998</v>
      </c>
      <c r="AH254" s="42">
        <f>AG254/AF254*100</f>
        <v>106.65955015021716</v>
      </c>
      <c r="AI254" s="76">
        <f t="shared" si="752"/>
        <v>88144.299999999988</v>
      </c>
      <c r="AJ254" s="76">
        <f t="shared" si="752"/>
        <v>86500.800000000003</v>
      </c>
      <c r="AK254" s="42">
        <f>AJ254/AI254*100</f>
        <v>98.13544381202189</v>
      </c>
      <c r="AL254" s="76">
        <f t="shared" si="753"/>
        <v>102039.59999999999</v>
      </c>
      <c r="AM254" s="76">
        <f t="shared" si="753"/>
        <v>101778.79999999999</v>
      </c>
      <c r="AN254" s="42">
        <f>AM254/AL254*100</f>
        <v>99.744412953402403</v>
      </c>
      <c r="AO254" s="76">
        <f t="shared" si="754"/>
        <v>144178.69999999998</v>
      </c>
      <c r="AP254" s="76">
        <f t="shared" si="754"/>
        <v>149256.70000000001</v>
      </c>
      <c r="AQ254" s="42">
        <f>AP254/AO254*100</f>
        <v>103.52201816218347</v>
      </c>
      <c r="AR254" s="52"/>
      <c r="AS254" s="52"/>
      <c r="AT254" s="43">
        <f t="shared" si="529"/>
        <v>0.99481909766242482</v>
      </c>
      <c r="AU254" s="55">
        <f t="shared" si="645"/>
        <v>206701.9</v>
      </c>
      <c r="AV254" s="55">
        <f t="shared" si="646"/>
        <v>444754.19999999995</v>
      </c>
      <c r="AW254" s="55">
        <f t="shared" si="647"/>
        <v>216032.9</v>
      </c>
      <c r="AX254" s="55">
        <f t="shared" si="648"/>
        <v>334362.59999999998</v>
      </c>
    </row>
    <row r="255" spans="1:50" ht="13.5" customHeight="1">
      <c r="A255" s="160"/>
      <c r="B255" s="160"/>
      <c r="C255" s="160"/>
      <c r="D255" s="58" t="s">
        <v>70</v>
      </c>
      <c r="E255" s="59">
        <f t="shared" si="742"/>
        <v>320992.59999999998</v>
      </c>
      <c r="F255" s="59">
        <f t="shared" si="741"/>
        <v>316820.2</v>
      </c>
      <c r="G255" s="42">
        <f t="shared" ref="G255" si="755">F255/E255*100</f>
        <v>98.700156950658695</v>
      </c>
      <c r="H255" s="76">
        <f t="shared" si="743"/>
        <v>6011.1</v>
      </c>
      <c r="I255" s="76">
        <f t="shared" si="743"/>
        <v>5747.8</v>
      </c>
      <c r="J255" s="42">
        <f t="shared" ref="J255" si="756">I255/H255*100</f>
        <v>95.619770091996472</v>
      </c>
      <c r="K255" s="76">
        <f t="shared" si="744"/>
        <v>29012.6</v>
      </c>
      <c r="L255" s="76">
        <f t="shared" si="744"/>
        <v>26772.199999999997</v>
      </c>
      <c r="M255" s="42">
        <f t="shared" ref="M255" si="757">L255/K255*100</f>
        <v>92.277837904910271</v>
      </c>
      <c r="N255" s="76">
        <f t="shared" si="745"/>
        <v>30671.700000000004</v>
      </c>
      <c r="O255" s="76">
        <f t="shared" si="745"/>
        <v>29382.500000000007</v>
      </c>
      <c r="P255" s="42">
        <f t="shared" ref="P255" si="758">O255/N255*100</f>
        <v>95.796776833367574</v>
      </c>
      <c r="Q255" s="76">
        <f t="shared" si="746"/>
        <v>32401.45</v>
      </c>
      <c r="R255" s="76">
        <f t="shared" si="746"/>
        <v>30806.35</v>
      </c>
      <c r="S255" s="42">
        <f t="shared" ref="S255" si="759">R255/Q255*100</f>
        <v>95.07707216806655</v>
      </c>
      <c r="T255" s="76">
        <f t="shared" si="747"/>
        <v>24410.950000000004</v>
      </c>
      <c r="U255" s="76">
        <f t="shared" si="747"/>
        <v>24091.45</v>
      </c>
      <c r="V255" s="42">
        <f t="shared" ref="V255" si="760">U255/T255*100</f>
        <v>98.691161138751241</v>
      </c>
      <c r="W255" s="76">
        <f t="shared" si="748"/>
        <v>26554.000000000004</v>
      </c>
      <c r="X255" s="76">
        <f t="shared" si="748"/>
        <v>27931.800000000003</v>
      </c>
      <c r="Y255" s="42">
        <f t="shared" ref="Y255" si="761">X255/W255*100</f>
        <v>105.18867213979061</v>
      </c>
      <c r="Z255" s="76">
        <f t="shared" si="749"/>
        <v>26228.9</v>
      </c>
      <c r="AA255" s="76">
        <f t="shared" si="749"/>
        <v>29959.9</v>
      </c>
      <c r="AB255" s="42">
        <f t="shared" ref="AB255" si="762">AA255/Z255*100</f>
        <v>114.22476733679264</v>
      </c>
      <c r="AC255" s="76">
        <f t="shared" si="750"/>
        <v>18287.7</v>
      </c>
      <c r="AD255" s="76">
        <f t="shared" si="750"/>
        <v>19179.8</v>
      </c>
      <c r="AE255" s="42">
        <f t="shared" ref="AE255" si="763">AD255/AC255*100</f>
        <v>104.87814213925206</v>
      </c>
      <c r="AF255" s="76">
        <f t="shared" si="751"/>
        <v>32933.299999999996</v>
      </c>
      <c r="AG255" s="76">
        <f t="shared" si="751"/>
        <v>19844.300000000003</v>
      </c>
      <c r="AH255" s="42">
        <f t="shared" ref="AH255" si="764">AG255/AF255*100</f>
        <v>60.256032647806343</v>
      </c>
      <c r="AI255" s="76">
        <f t="shared" si="752"/>
        <v>28391.9</v>
      </c>
      <c r="AJ255" s="76">
        <f t="shared" si="752"/>
        <v>33022.1</v>
      </c>
      <c r="AK255" s="42">
        <f t="shared" ref="AK255" si="765">AJ255/AI255*100</f>
        <v>116.30817240128346</v>
      </c>
      <c r="AL255" s="76">
        <f t="shared" si="753"/>
        <v>28726.9</v>
      </c>
      <c r="AM255" s="76">
        <f t="shared" si="753"/>
        <v>28329.600000000002</v>
      </c>
      <c r="AN255" s="42">
        <f t="shared" ref="AN255" si="766">AM255/AL255*100</f>
        <v>98.616975726583803</v>
      </c>
      <c r="AO255" s="76">
        <f t="shared" si="754"/>
        <v>37362.100000000006</v>
      </c>
      <c r="AP255" s="76">
        <f t="shared" si="754"/>
        <v>41752.400000000009</v>
      </c>
      <c r="AQ255" s="42">
        <f t="shared" ref="AQ255" si="767">AP255/AO255*100</f>
        <v>111.75067782592521</v>
      </c>
      <c r="AR255" s="52"/>
      <c r="AS255" s="52"/>
      <c r="AT255" s="43">
        <f t="shared" si="529"/>
        <v>0.96981036947718946</v>
      </c>
      <c r="AU255" s="55">
        <f t="shared" si="645"/>
        <v>65695.399999999994</v>
      </c>
      <c r="AV255" s="55">
        <f t="shared" si="646"/>
        <v>83366.400000000009</v>
      </c>
      <c r="AW255" s="55">
        <f t="shared" si="647"/>
        <v>77449.899999999994</v>
      </c>
      <c r="AX255" s="55">
        <f t="shared" si="648"/>
        <v>94480.900000000009</v>
      </c>
    </row>
    <row r="256" spans="1:50" ht="12.75" customHeight="1">
      <c r="A256" s="160"/>
      <c r="B256" s="160"/>
      <c r="C256" s="160"/>
      <c r="D256" s="58" t="s">
        <v>24</v>
      </c>
      <c r="E256" s="59">
        <f t="shared" si="742"/>
        <v>0</v>
      </c>
      <c r="F256" s="59">
        <f t="shared" si="741"/>
        <v>0</v>
      </c>
      <c r="G256" s="42"/>
      <c r="H256" s="76">
        <f t="shared" si="743"/>
        <v>0</v>
      </c>
      <c r="I256" s="76">
        <f t="shared" si="743"/>
        <v>0</v>
      </c>
      <c r="J256" s="42"/>
      <c r="K256" s="76">
        <f t="shared" si="744"/>
        <v>0</v>
      </c>
      <c r="L256" s="76">
        <f t="shared" si="744"/>
        <v>0</v>
      </c>
      <c r="M256" s="42"/>
      <c r="N256" s="76">
        <f t="shared" si="745"/>
        <v>0</v>
      </c>
      <c r="O256" s="76">
        <f t="shared" si="745"/>
        <v>0</v>
      </c>
      <c r="P256" s="42"/>
      <c r="Q256" s="76">
        <f t="shared" si="746"/>
        <v>0</v>
      </c>
      <c r="R256" s="76">
        <f t="shared" si="746"/>
        <v>0</v>
      </c>
      <c r="S256" s="42"/>
      <c r="T256" s="76">
        <f t="shared" si="747"/>
        <v>0</v>
      </c>
      <c r="U256" s="76">
        <f t="shared" si="747"/>
        <v>0</v>
      </c>
      <c r="V256" s="42"/>
      <c r="W256" s="76">
        <f t="shared" si="748"/>
        <v>0</v>
      </c>
      <c r="X256" s="76">
        <f t="shared" si="748"/>
        <v>0</v>
      </c>
      <c r="Y256" s="42"/>
      <c r="Z256" s="76">
        <f t="shared" si="749"/>
        <v>0</v>
      </c>
      <c r="AA256" s="76">
        <f t="shared" si="749"/>
        <v>0</v>
      </c>
      <c r="AB256" s="42"/>
      <c r="AC256" s="76">
        <f t="shared" si="750"/>
        <v>0</v>
      </c>
      <c r="AD256" s="76">
        <f t="shared" si="750"/>
        <v>0</v>
      </c>
      <c r="AE256" s="42"/>
      <c r="AF256" s="76">
        <f t="shared" si="751"/>
        <v>0</v>
      </c>
      <c r="AG256" s="76">
        <f t="shared" si="751"/>
        <v>0</v>
      </c>
      <c r="AH256" s="42"/>
      <c r="AI256" s="76">
        <f t="shared" si="752"/>
        <v>0</v>
      </c>
      <c r="AJ256" s="76">
        <f t="shared" si="752"/>
        <v>0</v>
      </c>
      <c r="AK256" s="42"/>
      <c r="AL256" s="76">
        <f t="shared" si="753"/>
        <v>0</v>
      </c>
      <c r="AM256" s="76">
        <f t="shared" si="753"/>
        <v>0</v>
      </c>
      <c r="AN256" s="42"/>
      <c r="AO256" s="76">
        <f t="shared" si="754"/>
        <v>0</v>
      </c>
      <c r="AP256" s="76">
        <f t="shared" si="754"/>
        <v>0</v>
      </c>
      <c r="AQ256" s="42"/>
      <c r="AR256" s="52"/>
      <c r="AS256" s="52"/>
      <c r="AT256" s="43"/>
      <c r="AU256" s="55">
        <f t="shared" si="645"/>
        <v>0</v>
      </c>
      <c r="AV256" s="55">
        <f t="shared" si="646"/>
        <v>0</v>
      </c>
      <c r="AW256" s="55">
        <f t="shared" si="647"/>
        <v>0</v>
      </c>
      <c r="AX256" s="55">
        <f t="shared" si="648"/>
        <v>0</v>
      </c>
    </row>
    <row r="257" spans="1:75" ht="14.25" customHeight="1">
      <c r="A257" s="160" t="s">
        <v>157</v>
      </c>
      <c r="B257" s="160"/>
      <c r="C257" s="160"/>
      <c r="D257" s="58" t="s">
        <v>3</v>
      </c>
      <c r="E257" s="59">
        <f>H257+K257+N257+Q257+T257+W257+Z257+AC257+AF257+AI257+AL257+AO257</f>
        <v>6396.5</v>
      </c>
      <c r="F257" s="59">
        <f t="shared" ref="F257:F261" si="768">I257+L257+O257+R257+U257+X257+AA257+AD257+AG257+AJ257+AM257+AP257</f>
        <v>24</v>
      </c>
      <c r="G257" s="42">
        <f t="shared" ref="G257:G260" si="769">F257/E257*100</f>
        <v>0.37520519033846639</v>
      </c>
      <c r="H257" s="76">
        <f>H258+H259+H260+H261</f>
        <v>0</v>
      </c>
      <c r="I257" s="76">
        <f>I258+I259+I260+I261</f>
        <v>0</v>
      </c>
      <c r="J257" s="42"/>
      <c r="K257" s="76">
        <f>K258+K259+K260+K261</f>
        <v>0</v>
      </c>
      <c r="L257" s="76">
        <f>L258+L259+L260+L261</f>
        <v>0</v>
      </c>
      <c r="M257" s="42"/>
      <c r="N257" s="76">
        <f>N258+N259+N260+N261</f>
        <v>0</v>
      </c>
      <c r="O257" s="76">
        <f>O258+O259+O260+O261</f>
        <v>0</v>
      </c>
      <c r="P257" s="42"/>
      <c r="Q257" s="76">
        <f>Q258+Q259+Q260+Q261</f>
        <v>0</v>
      </c>
      <c r="R257" s="76">
        <f>R258+R259+R260+R261</f>
        <v>0</v>
      </c>
      <c r="S257" s="42"/>
      <c r="T257" s="76">
        <f>T258+T259+T260+T261</f>
        <v>0</v>
      </c>
      <c r="U257" s="76">
        <f>U258+U259+U260+U261</f>
        <v>0</v>
      </c>
      <c r="V257" s="42"/>
      <c r="W257" s="76">
        <f>W258+W259+W260+W261</f>
        <v>0</v>
      </c>
      <c r="X257" s="76">
        <f>X258+X259+X260+X261</f>
        <v>0</v>
      </c>
      <c r="Y257" s="42"/>
      <c r="Z257" s="76">
        <f>Z258+Z259+Z260+Z261</f>
        <v>0</v>
      </c>
      <c r="AA257" s="76">
        <f>AA258+AA259+AA260+AA261</f>
        <v>0</v>
      </c>
      <c r="AB257" s="42"/>
      <c r="AC257" s="76">
        <f>AC258+AC259+AC260+AC261</f>
        <v>0</v>
      </c>
      <c r="AD257" s="76">
        <f>AD258+AD259+AD260+AD261</f>
        <v>0</v>
      </c>
      <c r="AE257" s="42"/>
      <c r="AF257" s="76">
        <f>AF258+AF259+AF260+AF261</f>
        <v>0</v>
      </c>
      <c r="AG257" s="76">
        <f>AG258+AG259+AG260+AG261</f>
        <v>0</v>
      </c>
      <c r="AH257" s="42"/>
      <c r="AI257" s="76">
        <f>AI258+AI259+AI260+AI261</f>
        <v>0</v>
      </c>
      <c r="AJ257" s="76">
        <f>AJ258+AJ259+AJ260+AJ261</f>
        <v>0</v>
      </c>
      <c r="AK257" s="42"/>
      <c r="AL257" s="76">
        <f>AL258+AL259+AL260+AL261</f>
        <v>0</v>
      </c>
      <c r="AM257" s="76">
        <f>AM258+AM259+AM260+AM261</f>
        <v>0</v>
      </c>
      <c r="AN257" s="42"/>
      <c r="AO257" s="76">
        <f>AO258+AO259+AO260+AO261</f>
        <v>6396.5</v>
      </c>
      <c r="AP257" s="76">
        <f>AP258+AP259+AP260+AP261</f>
        <v>24</v>
      </c>
      <c r="AQ257" s="42">
        <f t="shared" ref="AQ257:AQ260" si="770">AP257/AO257*100</f>
        <v>0.37520519033846639</v>
      </c>
      <c r="AR257" s="52"/>
      <c r="AS257" s="52"/>
      <c r="AT257" s="43"/>
      <c r="AU257" s="55">
        <f t="shared" ref="AU257:AU266" si="771">H257+K257+N257</f>
        <v>0</v>
      </c>
      <c r="AV257" s="55">
        <f t="shared" ref="AV257:AV266" si="772">Q257+T257+W257</f>
        <v>0</v>
      </c>
      <c r="AW257" s="55">
        <f t="shared" ref="AW257:AW266" si="773">Z257+AC257+AF257</f>
        <v>0</v>
      </c>
      <c r="AX257" s="55">
        <f t="shared" ref="AX257:AX266" si="774">AI257+AL257+AO257</f>
        <v>6396.5</v>
      </c>
    </row>
    <row r="258" spans="1:75" ht="14.25" customHeight="1">
      <c r="A258" s="160"/>
      <c r="B258" s="160"/>
      <c r="C258" s="160"/>
      <c r="D258" s="58" t="s">
        <v>23</v>
      </c>
      <c r="E258" s="59">
        <f t="shared" ref="E258:E261" si="775">H258+K258+N258+Q258+T258+W258+Z258+AC258+AF258+AI258+AL258+AO258</f>
        <v>0</v>
      </c>
      <c r="F258" s="59">
        <f t="shared" si="768"/>
        <v>0</v>
      </c>
      <c r="G258" s="42"/>
      <c r="H258" s="76"/>
      <c r="I258" s="76"/>
      <c r="J258" s="42"/>
      <c r="K258" s="76"/>
      <c r="L258" s="76"/>
      <c r="M258" s="42"/>
      <c r="N258" s="76"/>
      <c r="O258" s="76"/>
      <c r="P258" s="42"/>
      <c r="Q258" s="76"/>
      <c r="R258" s="76"/>
      <c r="S258" s="42"/>
      <c r="T258" s="76"/>
      <c r="U258" s="76"/>
      <c r="V258" s="42"/>
      <c r="W258" s="76"/>
      <c r="X258" s="76"/>
      <c r="Y258" s="42"/>
      <c r="Z258" s="76"/>
      <c r="AA258" s="76"/>
      <c r="AB258" s="42"/>
      <c r="AC258" s="76"/>
      <c r="AD258" s="76"/>
      <c r="AE258" s="42"/>
      <c r="AF258" s="76"/>
      <c r="AG258" s="76"/>
      <c r="AH258" s="42"/>
      <c r="AI258" s="76"/>
      <c r="AJ258" s="76"/>
      <c r="AK258" s="42"/>
      <c r="AL258" s="76"/>
      <c r="AM258" s="76"/>
      <c r="AN258" s="42"/>
      <c r="AO258" s="76"/>
      <c r="AP258" s="68"/>
      <c r="AQ258" s="42"/>
      <c r="AR258" s="52"/>
      <c r="AS258" s="52"/>
      <c r="AT258" s="43"/>
      <c r="AU258" s="55">
        <f t="shared" si="771"/>
        <v>0</v>
      </c>
      <c r="AV258" s="55">
        <f t="shared" si="772"/>
        <v>0</v>
      </c>
      <c r="AW258" s="55">
        <f t="shared" si="773"/>
        <v>0</v>
      </c>
      <c r="AX258" s="55">
        <f t="shared" si="774"/>
        <v>0</v>
      </c>
    </row>
    <row r="259" spans="1:75" ht="24">
      <c r="A259" s="160"/>
      <c r="B259" s="160"/>
      <c r="C259" s="160"/>
      <c r="D259" s="58" t="s">
        <v>4</v>
      </c>
      <c r="E259" s="59">
        <f t="shared" si="775"/>
        <v>0</v>
      </c>
      <c r="F259" s="59">
        <f t="shared" si="768"/>
        <v>0</v>
      </c>
      <c r="G259" s="42"/>
      <c r="H259" s="76"/>
      <c r="I259" s="76"/>
      <c r="J259" s="42"/>
      <c r="K259" s="76"/>
      <c r="L259" s="76"/>
      <c r="M259" s="42"/>
      <c r="N259" s="76"/>
      <c r="O259" s="76"/>
      <c r="P259" s="42"/>
      <c r="Q259" s="76"/>
      <c r="R259" s="76"/>
      <c r="S259" s="42"/>
      <c r="T259" s="76"/>
      <c r="U259" s="76"/>
      <c r="V259" s="42"/>
      <c r="W259" s="76"/>
      <c r="X259" s="76"/>
      <c r="Y259" s="42"/>
      <c r="Z259" s="76"/>
      <c r="AA259" s="76"/>
      <c r="AB259" s="42"/>
      <c r="AC259" s="76"/>
      <c r="AD259" s="76"/>
      <c r="AE259" s="42"/>
      <c r="AF259" s="76"/>
      <c r="AG259" s="76"/>
      <c r="AH259" s="42"/>
      <c r="AI259" s="76"/>
      <c r="AJ259" s="76"/>
      <c r="AK259" s="42"/>
      <c r="AL259" s="76"/>
      <c r="AM259" s="76"/>
      <c r="AN259" s="42"/>
      <c r="AO259" s="76"/>
      <c r="AP259" s="68"/>
      <c r="AQ259" s="42"/>
      <c r="AR259" s="52"/>
      <c r="AS259" s="52"/>
      <c r="AT259" s="43"/>
      <c r="AU259" s="55">
        <f t="shared" si="771"/>
        <v>0</v>
      </c>
      <c r="AV259" s="55">
        <f t="shared" si="772"/>
        <v>0</v>
      </c>
      <c r="AW259" s="55">
        <f t="shared" si="773"/>
        <v>0</v>
      </c>
      <c r="AX259" s="55">
        <f t="shared" si="774"/>
        <v>0</v>
      </c>
    </row>
    <row r="260" spans="1:75" ht="12.75" customHeight="1">
      <c r="A260" s="160"/>
      <c r="B260" s="160"/>
      <c r="C260" s="160"/>
      <c r="D260" s="58" t="s">
        <v>70</v>
      </c>
      <c r="E260" s="59">
        <f t="shared" si="775"/>
        <v>6396.5</v>
      </c>
      <c r="F260" s="59">
        <f t="shared" si="768"/>
        <v>24</v>
      </c>
      <c r="G260" s="42">
        <f t="shared" si="769"/>
        <v>0.37520519033846639</v>
      </c>
      <c r="H260" s="76">
        <f>H44+H49+H54</f>
        <v>0</v>
      </c>
      <c r="I260" s="76">
        <f>I44+I49+I54</f>
        <v>0</v>
      </c>
      <c r="J260" s="42"/>
      <c r="K260" s="76">
        <f>K44+K49+K54</f>
        <v>0</v>
      </c>
      <c r="L260" s="76">
        <f>L44+L49+L54</f>
        <v>0</v>
      </c>
      <c r="M260" s="42"/>
      <c r="N260" s="76">
        <f>N44+N49+N54</f>
        <v>0</v>
      </c>
      <c r="O260" s="76">
        <f>O44+O49+O54</f>
        <v>0</v>
      </c>
      <c r="P260" s="42"/>
      <c r="Q260" s="76">
        <f>Q44+Q49+Q54</f>
        <v>0</v>
      </c>
      <c r="R260" s="76">
        <f>R44+R49+R54</f>
        <v>0</v>
      </c>
      <c r="S260" s="42"/>
      <c r="T260" s="76">
        <f>T44+T49+T54</f>
        <v>0</v>
      </c>
      <c r="U260" s="76">
        <f>U44+U49+U54</f>
        <v>0</v>
      </c>
      <c r="V260" s="42"/>
      <c r="W260" s="76">
        <f>W44+W49+W54</f>
        <v>0</v>
      </c>
      <c r="X260" s="76">
        <f>X44+X49+X54</f>
        <v>0</v>
      </c>
      <c r="Y260" s="42"/>
      <c r="Z260" s="76">
        <f>Z44+Z49+Z54</f>
        <v>0</v>
      </c>
      <c r="AA260" s="76">
        <f>AA44+AA49+AA54</f>
        <v>0</v>
      </c>
      <c r="AB260" s="42"/>
      <c r="AC260" s="76">
        <f>AC44+AC49+AC54</f>
        <v>0</v>
      </c>
      <c r="AD260" s="76">
        <f>AD44+AD49+AD54</f>
        <v>0</v>
      </c>
      <c r="AE260" s="42"/>
      <c r="AF260" s="76">
        <f>AF44+AF49+AF54</f>
        <v>0</v>
      </c>
      <c r="AG260" s="76">
        <f>AG44+AG49+AG54</f>
        <v>0</v>
      </c>
      <c r="AH260" s="42"/>
      <c r="AI260" s="76">
        <f>AI44+AI49+AI54</f>
        <v>0</v>
      </c>
      <c r="AJ260" s="76">
        <f>AJ44+AJ49+AJ54</f>
        <v>0</v>
      </c>
      <c r="AK260" s="42"/>
      <c r="AL260" s="76">
        <f>AL44+AL49+AL54</f>
        <v>0</v>
      </c>
      <c r="AM260" s="76">
        <f>AM44+AM49+AM54</f>
        <v>0</v>
      </c>
      <c r="AN260" s="42"/>
      <c r="AO260" s="76">
        <f>AO44+AO49+AO54</f>
        <v>6396.5</v>
      </c>
      <c r="AP260" s="68">
        <v>24</v>
      </c>
      <c r="AQ260" s="42">
        <f t="shared" si="770"/>
        <v>0.37520519033846639</v>
      </c>
      <c r="AR260" s="52"/>
      <c r="AS260" s="52"/>
      <c r="AT260" s="43"/>
      <c r="AU260" s="55">
        <f t="shared" si="771"/>
        <v>0</v>
      </c>
      <c r="AV260" s="55">
        <f t="shared" si="772"/>
        <v>0</v>
      </c>
      <c r="AW260" s="55">
        <f t="shared" si="773"/>
        <v>0</v>
      </c>
      <c r="AX260" s="55">
        <f t="shared" si="774"/>
        <v>6396.5</v>
      </c>
    </row>
    <row r="261" spans="1:75" ht="12.75" customHeight="1">
      <c r="A261" s="160"/>
      <c r="B261" s="160"/>
      <c r="C261" s="160"/>
      <c r="D261" s="58" t="s">
        <v>24</v>
      </c>
      <c r="E261" s="59">
        <f t="shared" si="775"/>
        <v>0</v>
      </c>
      <c r="F261" s="59">
        <f t="shared" si="768"/>
        <v>0</v>
      </c>
      <c r="G261" s="42"/>
      <c r="H261" s="76"/>
      <c r="I261" s="76"/>
      <c r="J261" s="42"/>
      <c r="K261" s="76"/>
      <c r="L261" s="76"/>
      <c r="M261" s="42"/>
      <c r="N261" s="76"/>
      <c r="O261" s="76"/>
      <c r="P261" s="42"/>
      <c r="Q261" s="76"/>
      <c r="R261" s="76"/>
      <c r="S261" s="42"/>
      <c r="T261" s="76"/>
      <c r="U261" s="76"/>
      <c r="V261" s="42"/>
      <c r="W261" s="76"/>
      <c r="X261" s="76"/>
      <c r="Y261" s="42"/>
      <c r="Z261" s="76"/>
      <c r="AA261" s="76"/>
      <c r="AB261" s="42"/>
      <c r="AC261" s="76"/>
      <c r="AD261" s="76"/>
      <c r="AE261" s="42"/>
      <c r="AF261" s="76"/>
      <c r="AG261" s="76"/>
      <c r="AH261" s="42"/>
      <c r="AI261" s="76"/>
      <c r="AJ261" s="76"/>
      <c r="AK261" s="42"/>
      <c r="AL261" s="76"/>
      <c r="AM261" s="76"/>
      <c r="AN261" s="42"/>
      <c r="AO261" s="76"/>
      <c r="AP261" s="68"/>
      <c r="AQ261" s="42"/>
      <c r="AR261" s="52"/>
      <c r="AS261" s="52"/>
      <c r="AT261" s="43"/>
      <c r="AU261" s="55">
        <f t="shared" si="771"/>
        <v>0</v>
      </c>
      <c r="AV261" s="55">
        <f t="shared" si="772"/>
        <v>0</v>
      </c>
      <c r="AW261" s="55">
        <f t="shared" si="773"/>
        <v>0</v>
      </c>
      <c r="AX261" s="55">
        <f t="shared" si="774"/>
        <v>0</v>
      </c>
    </row>
    <row r="262" spans="1:75" ht="12" customHeight="1">
      <c r="A262" s="160" t="s">
        <v>159</v>
      </c>
      <c r="B262" s="160"/>
      <c r="C262" s="160"/>
      <c r="D262" s="58" t="s">
        <v>3</v>
      </c>
      <c r="E262" s="59">
        <f>H262+K262+N262+Q262+T262+W262+Z262+AC262+AF262+AI262+AL262+AO262</f>
        <v>609.1</v>
      </c>
      <c r="F262" s="59">
        <f t="shared" ref="F262:F266" si="776">I262+L262+O262+R262+U262+X262+AA262+AD262+AG262+AJ262+AM262+AP262</f>
        <v>609.1</v>
      </c>
      <c r="G262" s="42">
        <f>F262/E262*100</f>
        <v>100</v>
      </c>
      <c r="H262" s="76">
        <f>H263+H264+H265+H266</f>
        <v>0</v>
      </c>
      <c r="I262" s="76">
        <f>I263+I264+I265+I266</f>
        <v>0</v>
      </c>
      <c r="J262" s="42"/>
      <c r="K262" s="76">
        <f>K263+K264+K265+K266</f>
        <v>0</v>
      </c>
      <c r="L262" s="76">
        <f>L263+L264+L265+L266</f>
        <v>0</v>
      </c>
      <c r="M262" s="42"/>
      <c r="N262" s="76">
        <f>N263+N264+N265+N266</f>
        <v>259.3</v>
      </c>
      <c r="O262" s="76">
        <f>O263+O264+O265+O266</f>
        <v>259.3</v>
      </c>
      <c r="P262" s="42">
        <f>O262/N262*100</f>
        <v>100</v>
      </c>
      <c r="Q262" s="76">
        <f>Q263+Q264+Q265+Q266</f>
        <v>0</v>
      </c>
      <c r="R262" s="76">
        <f>R263+R264+R265+R266</f>
        <v>0</v>
      </c>
      <c r="S262" s="42"/>
      <c r="T262" s="76">
        <f>T263+T264+T265+T266</f>
        <v>0</v>
      </c>
      <c r="U262" s="76">
        <f>U263+U264+U265+U266</f>
        <v>0</v>
      </c>
      <c r="V262" s="42"/>
      <c r="W262" s="76">
        <f>W263+W264+W265+W266</f>
        <v>0</v>
      </c>
      <c r="X262" s="76">
        <f>X263+X264+X265+X266</f>
        <v>0</v>
      </c>
      <c r="Y262" s="42"/>
      <c r="Z262" s="76">
        <f>Z263+Z264+Z265+Z266</f>
        <v>0</v>
      </c>
      <c r="AA262" s="76">
        <f>AA263+AA264+AA265+AA266</f>
        <v>0</v>
      </c>
      <c r="AB262" s="42"/>
      <c r="AC262" s="76">
        <f>AC263+AC264+AC265+AC266</f>
        <v>0</v>
      </c>
      <c r="AD262" s="76">
        <f>AD263+AD264+AD265+AD266</f>
        <v>0</v>
      </c>
      <c r="AE262" s="42"/>
      <c r="AF262" s="76">
        <f>AF263+AF264+AF265+AF266</f>
        <v>0</v>
      </c>
      <c r="AG262" s="76">
        <f>AG263+AG264+AG265+AG266</f>
        <v>0</v>
      </c>
      <c r="AH262" s="42"/>
      <c r="AI262" s="76">
        <f>AI263+AI264+AI265+AI266</f>
        <v>0</v>
      </c>
      <c r="AJ262" s="76">
        <f>AJ263+AJ264+AJ265+AJ266</f>
        <v>0</v>
      </c>
      <c r="AK262" s="42"/>
      <c r="AL262" s="76">
        <f>AL263+AL264+AL265+AL266</f>
        <v>349.8</v>
      </c>
      <c r="AM262" s="76">
        <f>AM263+AM264+AM265+AM266</f>
        <v>122.9</v>
      </c>
      <c r="AN262" s="42">
        <f>AM262/AL262*100</f>
        <v>35.134362492853057</v>
      </c>
      <c r="AO262" s="76">
        <f>AO263+AO264+AO265+AO266</f>
        <v>0</v>
      </c>
      <c r="AP262" s="76">
        <f>AP263+AP264+AP265+AP266</f>
        <v>226.9</v>
      </c>
      <c r="AQ262" s="42"/>
      <c r="AR262" s="52"/>
      <c r="AS262" s="52"/>
      <c r="AT262" s="43">
        <f t="shared" si="529"/>
        <v>0.62748317189295688</v>
      </c>
      <c r="AU262" s="55">
        <f t="shared" si="771"/>
        <v>259.3</v>
      </c>
      <c r="AV262" s="55">
        <f t="shared" si="772"/>
        <v>0</v>
      </c>
      <c r="AW262" s="55">
        <f t="shared" si="773"/>
        <v>0</v>
      </c>
      <c r="AX262" s="55">
        <f t="shared" si="774"/>
        <v>349.8</v>
      </c>
    </row>
    <row r="263" spans="1:75" ht="13.5" customHeight="1">
      <c r="A263" s="160"/>
      <c r="B263" s="160"/>
      <c r="C263" s="160"/>
      <c r="D263" s="58" t="s">
        <v>23</v>
      </c>
      <c r="E263" s="59">
        <f t="shared" ref="E263:E266" si="777">H263+K263+N263+Q263+T263+W263+Z263+AC263+AF263+AI263+AL263+AO263</f>
        <v>0</v>
      </c>
      <c r="F263" s="59">
        <f t="shared" si="776"/>
        <v>0</v>
      </c>
      <c r="G263" s="42"/>
      <c r="H263" s="76"/>
      <c r="I263" s="76"/>
      <c r="J263" s="42"/>
      <c r="K263" s="76"/>
      <c r="L263" s="76"/>
      <c r="M263" s="42"/>
      <c r="N263" s="76"/>
      <c r="O263" s="76"/>
      <c r="P263" s="42"/>
      <c r="Q263" s="76"/>
      <c r="R263" s="76"/>
      <c r="S263" s="42"/>
      <c r="T263" s="76"/>
      <c r="U263" s="76"/>
      <c r="V263" s="42"/>
      <c r="W263" s="76"/>
      <c r="X263" s="76"/>
      <c r="Y263" s="42"/>
      <c r="Z263" s="76"/>
      <c r="AA263" s="76"/>
      <c r="AB263" s="42"/>
      <c r="AC263" s="76"/>
      <c r="AD263" s="76"/>
      <c r="AE263" s="42"/>
      <c r="AF263" s="76"/>
      <c r="AG263" s="76"/>
      <c r="AH263" s="42"/>
      <c r="AI263" s="76"/>
      <c r="AJ263" s="76"/>
      <c r="AK263" s="42"/>
      <c r="AL263" s="76"/>
      <c r="AM263" s="76"/>
      <c r="AN263" s="42"/>
      <c r="AO263" s="76"/>
      <c r="AP263" s="68"/>
      <c r="AQ263" s="42"/>
      <c r="AR263" s="52"/>
      <c r="AS263" s="52"/>
      <c r="AT263" s="43"/>
      <c r="AU263" s="55">
        <f t="shared" si="771"/>
        <v>0</v>
      </c>
      <c r="AV263" s="55">
        <f t="shared" si="772"/>
        <v>0</v>
      </c>
      <c r="AW263" s="55">
        <f t="shared" si="773"/>
        <v>0</v>
      </c>
      <c r="AX263" s="55">
        <f t="shared" si="774"/>
        <v>0</v>
      </c>
    </row>
    <row r="264" spans="1:75" ht="24">
      <c r="A264" s="160"/>
      <c r="B264" s="160"/>
      <c r="C264" s="160"/>
      <c r="D264" s="58" t="s">
        <v>4</v>
      </c>
      <c r="E264" s="59">
        <f t="shared" si="777"/>
        <v>250.4</v>
      </c>
      <c r="F264" s="59">
        <f t="shared" si="776"/>
        <v>250.4</v>
      </c>
      <c r="G264" s="42">
        <f>F264/E264*100</f>
        <v>100</v>
      </c>
      <c r="H264" s="76"/>
      <c r="I264" s="76"/>
      <c r="J264" s="42"/>
      <c r="K264" s="76"/>
      <c r="L264" s="76"/>
      <c r="M264" s="42"/>
      <c r="N264" s="76">
        <v>80.5</v>
      </c>
      <c r="O264" s="76">
        <v>80.5</v>
      </c>
      <c r="P264" s="42">
        <f>O264/N264*100</f>
        <v>100</v>
      </c>
      <c r="Q264" s="76"/>
      <c r="R264" s="76"/>
      <c r="S264" s="42"/>
      <c r="T264" s="76"/>
      <c r="U264" s="76"/>
      <c r="V264" s="42"/>
      <c r="W264" s="76"/>
      <c r="X264" s="76"/>
      <c r="Y264" s="42"/>
      <c r="Z264" s="76"/>
      <c r="AA264" s="76"/>
      <c r="AB264" s="42"/>
      <c r="AC264" s="76"/>
      <c r="AD264" s="76"/>
      <c r="AE264" s="42"/>
      <c r="AF264" s="76"/>
      <c r="AG264" s="76"/>
      <c r="AH264" s="42"/>
      <c r="AI264" s="76"/>
      <c r="AJ264" s="76"/>
      <c r="AK264" s="42"/>
      <c r="AL264" s="76">
        <v>169.9</v>
      </c>
      <c r="AM264" s="76">
        <v>0</v>
      </c>
      <c r="AN264" s="42">
        <f>AM264/AL264*100</f>
        <v>0</v>
      </c>
      <c r="AO264" s="76"/>
      <c r="AP264" s="68">
        <v>169.9</v>
      </c>
      <c r="AQ264" s="42"/>
      <c r="AR264" s="52"/>
      <c r="AS264" s="52"/>
      <c r="AT264" s="43">
        <f t="shared" si="529"/>
        <v>0.32148562300319489</v>
      </c>
      <c r="AU264" s="55">
        <f t="shared" si="771"/>
        <v>80.5</v>
      </c>
      <c r="AV264" s="55">
        <f t="shared" si="772"/>
        <v>0</v>
      </c>
      <c r="AW264" s="55">
        <f t="shared" si="773"/>
        <v>0</v>
      </c>
      <c r="AX264" s="55">
        <f t="shared" si="774"/>
        <v>169.9</v>
      </c>
    </row>
    <row r="265" spans="1:75" ht="12" customHeight="1">
      <c r="A265" s="160"/>
      <c r="B265" s="160"/>
      <c r="C265" s="160"/>
      <c r="D265" s="58" t="s">
        <v>70</v>
      </c>
      <c r="E265" s="59">
        <f t="shared" si="777"/>
        <v>358.70000000000005</v>
      </c>
      <c r="F265" s="59">
        <f t="shared" si="776"/>
        <v>358.70000000000005</v>
      </c>
      <c r="G265" s="42">
        <f t="shared" ref="G265" si="778">F265/E265*100</f>
        <v>100</v>
      </c>
      <c r="H265" s="76"/>
      <c r="I265" s="76"/>
      <c r="J265" s="42"/>
      <c r="K265" s="76"/>
      <c r="L265" s="76"/>
      <c r="M265" s="42"/>
      <c r="N265" s="76">
        <v>178.8</v>
      </c>
      <c r="O265" s="76">
        <v>178.8</v>
      </c>
      <c r="P265" s="42">
        <f t="shared" ref="P265" si="779">O265/N265*100</f>
        <v>100</v>
      </c>
      <c r="Q265" s="76"/>
      <c r="R265" s="76"/>
      <c r="S265" s="42"/>
      <c r="T265" s="76"/>
      <c r="U265" s="76"/>
      <c r="V265" s="42"/>
      <c r="W265" s="76"/>
      <c r="X265" s="76"/>
      <c r="Y265" s="42"/>
      <c r="Z265" s="76"/>
      <c r="AA265" s="76"/>
      <c r="AB265" s="42"/>
      <c r="AC265" s="76"/>
      <c r="AD265" s="76"/>
      <c r="AE265" s="42"/>
      <c r="AF265" s="76"/>
      <c r="AG265" s="76"/>
      <c r="AH265" s="42"/>
      <c r="AI265" s="76"/>
      <c r="AJ265" s="76"/>
      <c r="AK265" s="42"/>
      <c r="AL265" s="76">
        <v>179.9</v>
      </c>
      <c r="AM265" s="76">
        <v>122.9</v>
      </c>
      <c r="AN265" s="42">
        <f t="shared" ref="AN265" si="780">AM265/AL265*100</f>
        <v>68.315730961645357</v>
      </c>
      <c r="AO265" s="76"/>
      <c r="AP265" s="68">
        <v>57</v>
      </c>
      <c r="AQ265" s="42"/>
      <c r="AR265" s="52"/>
      <c r="AS265" s="52"/>
      <c r="AT265" s="43">
        <f t="shared" si="529"/>
        <v>0.84109283523836076</v>
      </c>
      <c r="AU265" s="55">
        <f t="shared" si="771"/>
        <v>178.8</v>
      </c>
      <c r="AV265" s="55">
        <f t="shared" si="772"/>
        <v>0</v>
      </c>
      <c r="AW265" s="55">
        <f t="shared" si="773"/>
        <v>0</v>
      </c>
      <c r="AX265" s="55">
        <f t="shared" si="774"/>
        <v>179.9</v>
      </c>
    </row>
    <row r="266" spans="1:75" ht="12.75" customHeight="1">
      <c r="A266" s="160"/>
      <c r="B266" s="160"/>
      <c r="C266" s="160"/>
      <c r="D266" s="58" t="s">
        <v>24</v>
      </c>
      <c r="E266" s="59">
        <f t="shared" si="777"/>
        <v>0</v>
      </c>
      <c r="F266" s="59">
        <f t="shared" si="776"/>
        <v>0</v>
      </c>
      <c r="G266" s="42"/>
      <c r="H266" s="76"/>
      <c r="I266" s="76"/>
      <c r="J266" s="42"/>
      <c r="K266" s="76"/>
      <c r="L266" s="76"/>
      <c r="M266" s="42"/>
      <c r="N266" s="76"/>
      <c r="O266" s="76"/>
      <c r="P266" s="42"/>
      <c r="Q266" s="76"/>
      <c r="R266" s="76"/>
      <c r="S266" s="42"/>
      <c r="T266" s="76"/>
      <c r="U266" s="76"/>
      <c r="V266" s="42"/>
      <c r="W266" s="76"/>
      <c r="X266" s="76"/>
      <c r="Y266" s="42"/>
      <c r="Z266" s="76"/>
      <c r="AA266" s="76"/>
      <c r="AB266" s="42"/>
      <c r="AC266" s="76"/>
      <c r="AD266" s="76"/>
      <c r="AE266" s="42"/>
      <c r="AF266" s="76"/>
      <c r="AG266" s="76"/>
      <c r="AH266" s="42"/>
      <c r="AI266" s="76"/>
      <c r="AJ266" s="76"/>
      <c r="AK266" s="42"/>
      <c r="AL266" s="76"/>
      <c r="AM266" s="76"/>
      <c r="AN266" s="42"/>
      <c r="AO266" s="76"/>
      <c r="AP266" s="68"/>
      <c r="AQ266" s="42"/>
      <c r="AR266" s="52"/>
      <c r="AS266" s="52"/>
      <c r="AT266" s="43"/>
      <c r="AU266" s="55">
        <f t="shared" si="771"/>
        <v>0</v>
      </c>
      <c r="AV266" s="55">
        <f t="shared" si="772"/>
        <v>0</v>
      </c>
      <c r="AW266" s="55">
        <f t="shared" si="773"/>
        <v>0</v>
      </c>
      <c r="AX266" s="55">
        <f t="shared" si="774"/>
        <v>0</v>
      </c>
    </row>
    <row r="267" spans="1:75" ht="15.75">
      <c r="A267" s="80"/>
    </row>
    <row r="268" spans="1:75" ht="15.75">
      <c r="A268" s="80"/>
      <c r="N268" s="98"/>
    </row>
    <row r="269" spans="1:75" ht="15.75">
      <c r="A269" s="80"/>
      <c r="N269" s="98"/>
    </row>
    <row r="270" spans="1:75" ht="15.75">
      <c r="A270" s="80"/>
    </row>
    <row r="271" spans="1:75" s="10" customFormat="1" ht="68.25" customHeight="1">
      <c r="A271" s="1"/>
      <c r="B271" s="2" t="s">
        <v>187</v>
      </c>
      <c r="C271" s="2"/>
      <c r="D271" s="3"/>
      <c r="E271" s="4"/>
      <c r="F271" s="4"/>
      <c r="G271" s="4"/>
      <c r="H271" s="121"/>
      <c r="I271" s="122"/>
      <c r="J271" s="122"/>
      <c r="K271" s="5" t="s">
        <v>53</v>
      </c>
      <c r="L271" s="5"/>
      <c r="M271" s="5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2"/>
      <c r="AG271" s="2"/>
      <c r="AH271" s="2"/>
      <c r="AI271" s="2"/>
      <c r="AJ271" s="2"/>
      <c r="AK271" s="2"/>
      <c r="AL271" s="7"/>
      <c r="AM271" s="7"/>
      <c r="AN271" s="7"/>
      <c r="AO271" s="7" t="s">
        <v>40</v>
      </c>
      <c r="AP271" s="7"/>
      <c r="AQ271" s="7"/>
      <c r="AR271" s="19"/>
      <c r="AS271" s="19"/>
      <c r="AT271" s="19"/>
      <c r="AU271" s="8"/>
      <c r="AV271" s="8"/>
      <c r="AW271" s="8"/>
      <c r="AX271" s="2"/>
      <c r="AY271" s="32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9"/>
      <c r="BU271" s="9"/>
      <c r="BV271" s="9"/>
      <c r="BW271" s="9"/>
    </row>
    <row r="272" spans="1:75" s="10" customFormat="1" ht="114.75" hidden="1" customHeight="1">
      <c r="A272" s="1"/>
      <c r="B272" s="2" t="s">
        <v>41</v>
      </c>
      <c r="C272" s="2"/>
      <c r="D272" s="11"/>
      <c r="E272" s="12"/>
      <c r="F272" s="12"/>
      <c r="G272" s="12"/>
      <c r="H272" s="13"/>
      <c r="I272" s="37"/>
      <c r="J272" s="37"/>
      <c r="K272" s="14" t="s">
        <v>42</v>
      </c>
      <c r="L272" s="14"/>
      <c r="M272" s="14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2"/>
      <c r="AG272" s="2"/>
      <c r="AH272" s="2"/>
      <c r="AI272" s="2"/>
      <c r="AJ272" s="2"/>
      <c r="AK272" s="2"/>
      <c r="AR272" s="19"/>
      <c r="AS272" s="19"/>
      <c r="AT272" s="19"/>
      <c r="AU272" s="8"/>
      <c r="AV272" s="8"/>
      <c r="AW272" s="8"/>
      <c r="AX272" s="2"/>
      <c r="AZ272" s="8"/>
      <c r="BA272" s="7"/>
      <c r="BB272" s="8"/>
      <c r="BC272" s="8"/>
      <c r="BD272" s="8"/>
      <c r="BE272" s="8"/>
      <c r="BF272" s="8"/>
      <c r="BG272" s="8"/>
      <c r="BH272" s="8"/>
      <c r="BI272" s="8"/>
      <c r="BJ272" s="15"/>
      <c r="BK272" s="15"/>
      <c r="BL272" s="15"/>
      <c r="BM272" s="15"/>
      <c r="BN272" s="15"/>
      <c r="BO272" s="15"/>
      <c r="BP272" s="15"/>
      <c r="BQ272" s="16"/>
      <c r="BR272" s="16"/>
      <c r="BS272" s="16"/>
      <c r="BT272" s="9"/>
      <c r="BU272" s="9"/>
      <c r="BV272" s="9"/>
      <c r="BW272" s="9"/>
    </row>
    <row r="273" spans="1:75" s="20" customFormat="1" ht="80.25" customHeight="1">
      <c r="A273" s="1"/>
      <c r="B273" s="2" t="s">
        <v>188</v>
      </c>
      <c r="C273" s="2"/>
      <c r="D273" s="3"/>
      <c r="E273" s="4"/>
      <c r="F273" s="4"/>
      <c r="G273" s="4"/>
      <c r="H273" s="3"/>
      <c r="I273" s="14"/>
      <c r="J273" s="14"/>
      <c r="K273" s="5" t="s">
        <v>153</v>
      </c>
      <c r="L273" s="5"/>
      <c r="M273" s="5"/>
      <c r="N273" s="10"/>
      <c r="O273" s="10"/>
      <c r="P273" s="10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2"/>
      <c r="AG273" s="2"/>
      <c r="AH273" s="2"/>
      <c r="AI273" s="2"/>
      <c r="AJ273" s="2"/>
      <c r="AK273" s="2"/>
      <c r="AL273" s="17"/>
      <c r="AM273" s="17"/>
      <c r="AN273" s="17"/>
      <c r="AO273" s="18" t="s">
        <v>43</v>
      </c>
      <c r="AP273" s="18"/>
      <c r="AQ273" s="18"/>
      <c r="AR273" s="19"/>
      <c r="AS273" s="19"/>
      <c r="AT273" s="19"/>
      <c r="AU273" s="8"/>
      <c r="AV273" s="96"/>
      <c r="AW273" s="8"/>
      <c r="AX273" s="2"/>
      <c r="AY273" s="33"/>
      <c r="AZ273" s="8"/>
      <c r="BA273" s="18"/>
      <c r="BB273" s="8"/>
      <c r="BC273" s="8"/>
      <c r="BD273" s="8"/>
      <c r="BE273" s="8"/>
      <c r="BF273" s="8"/>
      <c r="BG273" s="8"/>
      <c r="BH273" s="8"/>
      <c r="BI273" s="8"/>
      <c r="BJ273" s="19">
        <f>BJ272+BM272+BP272</f>
        <v>0</v>
      </c>
      <c r="BK273" s="19"/>
      <c r="BL273" s="19"/>
      <c r="BM273" s="8"/>
      <c r="BN273" s="8"/>
      <c r="BO273" s="8"/>
      <c r="BP273" s="16"/>
      <c r="BQ273" s="16"/>
      <c r="BR273" s="16"/>
      <c r="BS273" s="16"/>
      <c r="BT273" s="9"/>
      <c r="BU273" s="9"/>
      <c r="BV273" s="9"/>
    </row>
    <row r="274" spans="1:75" s="20" customFormat="1" ht="45" hidden="1" customHeight="1">
      <c r="A274" s="21"/>
      <c r="B274" s="19" t="s">
        <v>44</v>
      </c>
      <c r="C274" s="19"/>
      <c r="D274" s="22"/>
      <c r="E274" s="23"/>
      <c r="F274" s="23"/>
      <c r="G274" s="23"/>
      <c r="H274" s="22"/>
      <c r="I274" s="22"/>
      <c r="J274" s="22"/>
      <c r="K274" s="24"/>
      <c r="L274" s="16"/>
      <c r="M274" s="16"/>
      <c r="N274" s="25" t="s">
        <v>45</v>
      </c>
      <c r="O274" s="25"/>
      <c r="P274" s="25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9"/>
      <c r="AG274" s="19"/>
      <c r="AH274" s="19"/>
      <c r="AI274" s="19"/>
      <c r="AJ274" s="19"/>
      <c r="AK274" s="19"/>
      <c r="AL274" s="18" t="s">
        <v>43</v>
      </c>
      <c r="AM274" s="18"/>
      <c r="AN274" s="18"/>
      <c r="AO274" s="18" t="s">
        <v>43</v>
      </c>
      <c r="AP274" s="18"/>
      <c r="AQ274" s="18"/>
      <c r="AR274" s="19"/>
      <c r="AS274" s="19"/>
      <c r="AT274" s="19"/>
      <c r="AU274" s="8"/>
      <c r="AV274" s="8"/>
      <c r="AW274" s="8"/>
      <c r="AX274" s="19"/>
      <c r="AZ274" s="8"/>
      <c r="BA274" s="17"/>
      <c r="BB274" s="8"/>
      <c r="BC274" s="8"/>
      <c r="BD274" s="8"/>
      <c r="BE274" s="8"/>
      <c r="BF274" s="8"/>
      <c r="BG274" s="8"/>
      <c r="BH274" s="8"/>
      <c r="BI274" s="8"/>
      <c r="BJ274" s="19"/>
      <c r="BK274" s="19"/>
      <c r="BL274" s="19"/>
      <c r="BM274" s="8"/>
      <c r="BN274" s="8"/>
      <c r="BO274" s="8"/>
      <c r="BP274" s="16"/>
      <c r="BQ274" s="16"/>
      <c r="BR274" s="16"/>
      <c r="BS274" s="16"/>
      <c r="BT274" s="9"/>
      <c r="BU274" s="9"/>
      <c r="BV274" s="9"/>
    </row>
    <row r="275" spans="1:75" s="20" customFormat="1" ht="15.75">
      <c r="A275" s="21"/>
      <c r="B275" s="26"/>
      <c r="C275" s="26"/>
      <c r="D275" s="27"/>
      <c r="E275" s="28"/>
      <c r="F275" s="28"/>
      <c r="G275" s="28"/>
      <c r="H275" s="28"/>
      <c r="I275" s="28"/>
      <c r="J275" s="28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8"/>
      <c r="AM275" s="18"/>
      <c r="AN275" s="18"/>
      <c r="AO275" s="18" t="s">
        <v>46</v>
      </c>
      <c r="AP275" s="18"/>
      <c r="AQ275" s="18"/>
      <c r="AR275" s="19"/>
      <c r="AS275" s="19"/>
      <c r="AT275" s="19"/>
      <c r="AU275" s="8"/>
      <c r="AV275" s="8"/>
      <c r="AW275" s="8"/>
      <c r="AX275" s="19"/>
      <c r="AZ275" s="8"/>
      <c r="BA275" s="18"/>
      <c r="BB275" s="8"/>
      <c r="BC275" s="8"/>
      <c r="BD275" s="8"/>
      <c r="BE275" s="8"/>
      <c r="BF275" s="8"/>
      <c r="BG275" s="8"/>
      <c r="BH275" s="8"/>
      <c r="BI275" s="8"/>
      <c r="BJ275" s="19"/>
      <c r="BK275" s="19"/>
      <c r="BL275" s="19"/>
      <c r="BM275" s="8"/>
      <c r="BN275" s="8"/>
      <c r="BO275" s="8"/>
      <c r="BP275" s="16"/>
      <c r="BQ275" s="16"/>
      <c r="BR275" s="16"/>
      <c r="BS275" s="16"/>
      <c r="BT275" s="9"/>
      <c r="BU275" s="9"/>
      <c r="BV275" s="9"/>
    </row>
    <row r="276" spans="1:75" s="20" customFormat="1" ht="14.25" customHeight="1">
      <c r="A276" s="29" t="s">
        <v>47</v>
      </c>
      <c r="B276" s="29"/>
      <c r="C276" s="114"/>
      <c r="D276" s="27"/>
      <c r="E276" s="30"/>
      <c r="F276" s="30"/>
      <c r="G276" s="30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19"/>
      <c r="AS276" s="19"/>
      <c r="AT276" s="19"/>
      <c r="AU276" s="8"/>
      <c r="AV276" s="8"/>
      <c r="AW276" s="8"/>
      <c r="AX276" s="8"/>
      <c r="AY276" s="8"/>
      <c r="AZ276" s="8"/>
      <c r="BA276" s="18"/>
      <c r="BB276" s="8"/>
      <c r="BC276" s="8"/>
      <c r="BD276" s="8"/>
      <c r="BE276" s="8"/>
      <c r="BF276" s="8"/>
      <c r="BG276" s="8"/>
      <c r="BH276" s="8"/>
      <c r="BI276" s="8"/>
      <c r="BJ276" s="19"/>
      <c r="BK276" s="19"/>
      <c r="BL276" s="19"/>
      <c r="BM276" s="8"/>
      <c r="BN276" s="8"/>
      <c r="BO276" s="8"/>
      <c r="BP276" s="16"/>
      <c r="BQ276" s="16"/>
      <c r="BR276" s="16"/>
      <c r="BS276" s="16"/>
      <c r="BT276" s="9"/>
      <c r="BU276" s="9"/>
      <c r="BV276" s="9"/>
      <c r="BW276" s="31"/>
    </row>
    <row r="277" spans="1:75" s="20" customFormat="1">
      <c r="A277" s="159" t="s">
        <v>189</v>
      </c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  <c r="L277" s="114"/>
      <c r="M277" s="114"/>
      <c r="N277" s="35"/>
      <c r="O277" s="35"/>
      <c r="P277" s="35"/>
      <c r="Q277" s="19"/>
      <c r="R277" s="19"/>
      <c r="S277" s="19"/>
      <c r="T277" s="19"/>
      <c r="U277" s="19"/>
      <c r="V277" s="19"/>
      <c r="W277" s="36"/>
      <c r="X277" s="36"/>
      <c r="Y277" s="36"/>
      <c r="Z277" s="19"/>
      <c r="AA277" s="19"/>
      <c r="AB277" s="19"/>
      <c r="AC277" s="19"/>
      <c r="AD277" s="19"/>
      <c r="AE277" s="19"/>
      <c r="AF277" s="35"/>
      <c r="AG277" s="35"/>
      <c r="AH277" s="35"/>
      <c r="AI277" s="19"/>
      <c r="AJ277" s="19"/>
      <c r="AK277" s="19"/>
      <c r="AL277" s="19"/>
      <c r="AM277" s="19"/>
      <c r="AN277" s="19"/>
      <c r="AO277" s="35"/>
      <c r="AP277" s="35"/>
      <c r="AQ277" s="35"/>
      <c r="AR277" s="19"/>
      <c r="AS277" s="19"/>
      <c r="AT277" s="19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19"/>
      <c r="BK277" s="19"/>
      <c r="BL277" s="19"/>
      <c r="BM277" s="8"/>
      <c r="BN277" s="8"/>
      <c r="BO277" s="8"/>
      <c r="BP277" s="16"/>
      <c r="BQ277" s="16"/>
      <c r="BR277" s="16"/>
      <c r="BS277" s="16"/>
      <c r="BT277" s="9"/>
      <c r="BU277" s="9"/>
      <c r="BV277" s="9"/>
    </row>
  </sheetData>
  <mergeCells count="152">
    <mergeCell ref="AR223:AR224"/>
    <mergeCell ref="A277:K277"/>
    <mergeCell ref="A226:A230"/>
    <mergeCell ref="B226:B230"/>
    <mergeCell ref="C226:C230"/>
    <mergeCell ref="A231:C235"/>
    <mergeCell ref="A236:C240"/>
    <mergeCell ref="A210:C214"/>
    <mergeCell ref="A216:A220"/>
    <mergeCell ref="B216:B220"/>
    <mergeCell ref="C216:C220"/>
    <mergeCell ref="A221:A225"/>
    <mergeCell ref="B221:B225"/>
    <mergeCell ref="C221:C225"/>
    <mergeCell ref="A241:C245"/>
    <mergeCell ref="A246:C250"/>
    <mergeCell ref="A252:C256"/>
    <mergeCell ref="A257:C261"/>
    <mergeCell ref="A251:C251"/>
    <mergeCell ref="A262:C266"/>
    <mergeCell ref="A200:A204"/>
    <mergeCell ref="B200:B204"/>
    <mergeCell ref="C200:C204"/>
    <mergeCell ref="A205:A209"/>
    <mergeCell ref="B205:B209"/>
    <mergeCell ref="C205:C209"/>
    <mergeCell ref="A184:A188"/>
    <mergeCell ref="B184:B188"/>
    <mergeCell ref="C184:C188"/>
    <mergeCell ref="A189:C193"/>
    <mergeCell ref="A195:A199"/>
    <mergeCell ref="B195:B199"/>
    <mergeCell ref="C195:C199"/>
    <mergeCell ref="A179:A183"/>
    <mergeCell ref="B179:B183"/>
    <mergeCell ref="C179:C183"/>
    <mergeCell ref="A158:C162"/>
    <mergeCell ref="A164:A168"/>
    <mergeCell ref="B164:B168"/>
    <mergeCell ref="C164:C168"/>
    <mergeCell ref="A169:A173"/>
    <mergeCell ref="B169:B173"/>
    <mergeCell ref="C169:C173"/>
    <mergeCell ref="A148:A152"/>
    <mergeCell ref="B148:B152"/>
    <mergeCell ref="C148:C152"/>
    <mergeCell ref="A153:A157"/>
    <mergeCell ref="B153:B157"/>
    <mergeCell ref="C153:C157"/>
    <mergeCell ref="A174:A178"/>
    <mergeCell ref="B174:B178"/>
    <mergeCell ref="C174:C178"/>
    <mergeCell ref="A138:A142"/>
    <mergeCell ref="B138:B142"/>
    <mergeCell ref="C138:C142"/>
    <mergeCell ref="A143:A147"/>
    <mergeCell ref="B143:B147"/>
    <mergeCell ref="C143:C147"/>
    <mergeCell ref="A128:A132"/>
    <mergeCell ref="B128:B132"/>
    <mergeCell ref="C128:C132"/>
    <mergeCell ref="A133:A137"/>
    <mergeCell ref="B133:B137"/>
    <mergeCell ref="C133:C137"/>
    <mergeCell ref="A117:A121"/>
    <mergeCell ref="B117:B121"/>
    <mergeCell ref="C117:C121"/>
    <mergeCell ref="A122:C126"/>
    <mergeCell ref="A107:A111"/>
    <mergeCell ref="B107:B111"/>
    <mergeCell ref="C107:C111"/>
    <mergeCell ref="A112:A116"/>
    <mergeCell ref="B112:B116"/>
    <mergeCell ref="C112:C116"/>
    <mergeCell ref="A97:A101"/>
    <mergeCell ref="B97:B101"/>
    <mergeCell ref="C97:C101"/>
    <mergeCell ref="A102:A106"/>
    <mergeCell ref="B102:B106"/>
    <mergeCell ref="C102:C106"/>
    <mergeCell ref="A87:A91"/>
    <mergeCell ref="B87:B91"/>
    <mergeCell ref="C87:C91"/>
    <mergeCell ref="A92:A96"/>
    <mergeCell ref="B92:B96"/>
    <mergeCell ref="C92:C96"/>
    <mergeCell ref="A77:A81"/>
    <mergeCell ref="B77:B81"/>
    <mergeCell ref="C77:C81"/>
    <mergeCell ref="A82:A86"/>
    <mergeCell ref="B82:B86"/>
    <mergeCell ref="C82:C86"/>
    <mergeCell ref="A61:A65"/>
    <mergeCell ref="B61:B65"/>
    <mergeCell ref="C61:C65"/>
    <mergeCell ref="A66:C70"/>
    <mergeCell ref="A72:A76"/>
    <mergeCell ref="B72:B76"/>
    <mergeCell ref="C72:C76"/>
    <mergeCell ref="A56:A60"/>
    <mergeCell ref="B56:B60"/>
    <mergeCell ref="C56:C60"/>
    <mergeCell ref="A41:A45"/>
    <mergeCell ref="B41:B45"/>
    <mergeCell ref="C41:C45"/>
    <mergeCell ref="A46:A50"/>
    <mergeCell ref="B46:B50"/>
    <mergeCell ref="C46:C50"/>
    <mergeCell ref="A25:A29"/>
    <mergeCell ref="B25:B29"/>
    <mergeCell ref="C25:C29"/>
    <mergeCell ref="A30:C34"/>
    <mergeCell ref="A36:A40"/>
    <mergeCell ref="B36:B40"/>
    <mergeCell ref="C36:C40"/>
    <mergeCell ref="A51:A55"/>
    <mergeCell ref="B51:B55"/>
    <mergeCell ref="C51:C55"/>
    <mergeCell ref="A15:A19"/>
    <mergeCell ref="B15:B19"/>
    <mergeCell ref="C15:C19"/>
    <mergeCell ref="A20:A24"/>
    <mergeCell ref="B20:B24"/>
    <mergeCell ref="C20:C24"/>
    <mergeCell ref="AI7:AK7"/>
    <mergeCell ref="A10:A14"/>
    <mergeCell ref="B10:B14"/>
    <mergeCell ref="C10:C14"/>
    <mergeCell ref="AS218:AS219"/>
    <mergeCell ref="AR186:AR187"/>
    <mergeCell ref="AS186:AS187"/>
    <mergeCell ref="A2:AS2"/>
    <mergeCell ref="A4:AS4"/>
    <mergeCell ref="A6:A8"/>
    <mergeCell ref="B6:B8"/>
    <mergeCell ref="C6:C8"/>
    <mergeCell ref="D6:D8"/>
    <mergeCell ref="E6:G7"/>
    <mergeCell ref="H6:AQ6"/>
    <mergeCell ref="AR6:AR8"/>
    <mergeCell ref="AL7:AN7"/>
    <mergeCell ref="AO7:AQ7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AF7:AH7"/>
  </mergeCells>
  <pageMargins left="0.25" right="0.28000000000000003" top="0.46" bottom="0.26" header="0.31496062992125984" footer="0.31496062992125984"/>
  <pageSetup paperSize="9" scale="27" fitToHeight="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90" zoomScaleNormal="90" workbookViewId="0">
      <selection activeCell="G30" sqref="G30"/>
    </sheetView>
  </sheetViews>
  <sheetFormatPr defaultRowHeight="15"/>
  <cols>
    <col min="1" max="1" width="4.7109375" customWidth="1"/>
    <col min="2" max="2" width="70.5703125" customWidth="1"/>
    <col min="3" max="3" width="9.140625" customWidth="1"/>
    <col min="4" max="5" width="10.42578125" customWidth="1"/>
    <col min="6" max="6" width="13.42578125" customWidth="1"/>
    <col min="7" max="7" width="56.5703125" customWidth="1"/>
  </cols>
  <sheetData>
    <row r="1" spans="1:7" ht="15.75">
      <c r="A1" s="165" t="s">
        <v>198</v>
      </c>
      <c r="B1" s="165"/>
      <c r="C1" s="165"/>
      <c r="D1" s="165"/>
      <c r="E1" s="165"/>
      <c r="F1" s="165"/>
      <c r="G1" s="165"/>
    </row>
    <row r="2" spans="1:7" ht="15.75">
      <c r="A2" s="164" t="s">
        <v>199</v>
      </c>
      <c r="B2" s="164"/>
      <c r="C2" s="164"/>
      <c r="D2" s="164"/>
      <c r="E2" s="164"/>
      <c r="F2" s="164"/>
      <c r="G2" s="164"/>
    </row>
    <row r="3" spans="1:7" ht="15.75">
      <c r="A3" s="164" t="s">
        <v>272</v>
      </c>
      <c r="B3" s="164"/>
      <c r="C3" s="164"/>
      <c r="D3" s="164"/>
      <c r="E3" s="164"/>
      <c r="F3" s="164"/>
      <c r="G3" s="164"/>
    </row>
    <row r="4" spans="1:7" ht="15.75">
      <c r="A4" s="123"/>
    </row>
    <row r="5" spans="1:7" ht="62.25" customHeight="1">
      <c r="A5" s="166" t="s">
        <v>200</v>
      </c>
      <c r="B5" s="168" t="s">
        <v>201</v>
      </c>
      <c r="C5" s="168" t="s">
        <v>202</v>
      </c>
      <c r="D5" s="168" t="s">
        <v>203</v>
      </c>
      <c r="E5" s="168"/>
      <c r="F5" s="168" t="s">
        <v>204</v>
      </c>
      <c r="G5" s="166" t="s">
        <v>267</v>
      </c>
    </row>
    <row r="6" spans="1:7" ht="47.25">
      <c r="A6" s="167"/>
      <c r="B6" s="168"/>
      <c r="C6" s="168"/>
      <c r="D6" s="126" t="s">
        <v>268</v>
      </c>
      <c r="E6" s="126" t="s">
        <v>269</v>
      </c>
      <c r="F6" s="168"/>
      <c r="G6" s="167"/>
    </row>
    <row r="7" spans="1:7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</row>
    <row r="8" spans="1:7" ht="66.75" customHeight="1">
      <c r="A8" s="135" t="s">
        <v>205</v>
      </c>
      <c r="B8" s="128" t="s">
        <v>273</v>
      </c>
      <c r="C8" s="126" t="s">
        <v>274</v>
      </c>
      <c r="D8" s="126">
        <v>413</v>
      </c>
      <c r="E8" s="126">
        <v>431</v>
      </c>
      <c r="F8" s="137">
        <f>E8/D8*100</f>
        <v>104.35835351089588</v>
      </c>
      <c r="G8" s="129" t="s">
        <v>207</v>
      </c>
    </row>
    <row r="9" spans="1:7" ht="50.25" customHeight="1">
      <c r="A9" s="135" t="s">
        <v>208</v>
      </c>
      <c r="B9" s="130" t="s">
        <v>209</v>
      </c>
      <c r="C9" s="131" t="s">
        <v>206</v>
      </c>
      <c r="D9" s="131">
        <v>20.7</v>
      </c>
      <c r="E9" s="131">
        <v>0</v>
      </c>
      <c r="F9" s="138">
        <v>100</v>
      </c>
      <c r="G9" s="130" t="s">
        <v>210</v>
      </c>
    </row>
    <row r="10" spans="1:7" ht="64.5" customHeight="1">
      <c r="A10" s="136" t="s">
        <v>211</v>
      </c>
      <c r="B10" s="129" t="s">
        <v>212</v>
      </c>
      <c r="C10" s="126" t="s">
        <v>206</v>
      </c>
      <c r="D10" s="126">
        <v>65.900000000000006</v>
      </c>
      <c r="E10" s="126">
        <v>72.099999999999994</v>
      </c>
      <c r="F10" s="137">
        <f>E10/D10*100</f>
        <v>109.4081942336874</v>
      </c>
      <c r="G10" s="129" t="s">
        <v>207</v>
      </c>
    </row>
    <row r="11" spans="1:7" ht="48.75" customHeight="1">
      <c r="A11" s="136" t="s">
        <v>213</v>
      </c>
      <c r="B11" s="128" t="s">
        <v>214</v>
      </c>
      <c r="C11" s="126" t="s">
        <v>206</v>
      </c>
      <c r="D11" s="126">
        <v>17.100000000000001</v>
      </c>
      <c r="E11" s="126">
        <v>0</v>
      </c>
      <c r="F11" s="137">
        <v>100</v>
      </c>
      <c r="G11" s="128" t="s">
        <v>210</v>
      </c>
    </row>
    <row r="12" spans="1:7" ht="30.75" customHeight="1">
      <c r="A12" s="136" t="s">
        <v>215</v>
      </c>
      <c r="B12" s="128" t="s">
        <v>275</v>
      </c>
      <c r="C12" s="126" t="s">
        <v>206</v>
      </c>
      <c r="D12" s="126">
        <v>100</v>
      </c>
      <c r="E12" s="126">
        <v>100</v>
      </c>
      <c r="F12" s="137">
        <f>E12/D12*100</f>
        <v>100</v>
      </c>
      <c r="G12" s="129"/>
    </row>
    <row r="13" spans="1:7" ht="48.75" customHeight="1">
      <c r="A13" s="136" t="s">
        <v>216</v>
      </c>
      <c r="B13" s="128" t="s">
        <v>217</v>
      </c>
      <c r="C13" s="126" t="s">
        <v>206</v>
      </c>
      <c r="D13" s="126">
        <v>92.7</v>
      </c>
      <c r="E13" s="126">
        <v>96.9</v>
      </c>
      <c r="F13" s="137">
        <f>E13/D13*100</f>
        <v>104.5307443365696</v>
      </c>
      <c r="G13" s="129" t="s">
        <v>218</v>
      </c>
    </row>
    <row r="14" spans="1:7" ht="65.25" customHeight="1">
      <c r="A14" s="136" t="s">
        <v>219</v>
      </c>
      <c r="B14" s="128" t="s">
        <v>220</v>
      </c>
      <c r="C14" s="126" t="s">
        <v>206</v>
      </c>
      <c r="D14" s="126">
        <v>20.100000000000001</v>
      </c>
      <c r="E14" s="126">
        <v>19.7</v>
      </c>
      <c r="F14" s="137">
        <v>102</v>
      </c>
      <c r="G14" s="129" t="s">
        <v>221</v>
      </c>
    </row>
    <row r="15" spans="1:7" ht="48.75" customHeight="1">
      <c r="A15" s="136" t="s">
        <v>222</v>
      </c>
      <c r="B15" s="128" t="s">
        <v>223</v>
      </c>
      <c r="C15" s="126" t="s">
        <v>206</v>
      </c>
      <c r="D15" s="126">
        <v>100</v>
      </c>
      <c r="E15" s="126">
        <v>100</v>
      </c>
      <c r="F15" s="137">
        <f>E15/D15*100</f>
        <v>100</v>
      </c>
      <c r="G15" s="129"/>
    </row>
    <row r="16" spans="1:7" ht="48.75" customHeight="1">
      <c r="A16" s="136" t="s">
        <v>224</v>
      </c>
      <c r="B16" s="129" t="s">
        <v>225</v>
      </c>
      <c r="C16" s="126" t="s">
        <v>206</v>
      </c>
      <c r="D16" s="126">
        <v>66.7</v>
      </c>
      <c r="E16" s="126">
        <v>0</v>
      </c>
      <c r="F16" s="137">
        <v>100</v>
      </c>
      <c r="G16" s="129" t="s">
        <v>226</v>
      </c>
    </row>
    <row r="17" spans="1:7" ht="64.5" customHeight="1">
      <c r="A17" s="136" t="s">
        <v>227</v>
      </c>
      <c r="B17" s="129" t="s">
        <v>228</v>
      </c>
      <c r="C17" s="126" t="s">
        <v>206</v>
      </c>
      <c r="D17" s="126">
        <v>37.5</v>
      </c>
      <c r="E17" s="126">
        <v>0</v>
      </c>
      <c r="F17" s="137">
        <v>100</v>
      </c>
      <c r="G17" s="129" t="s">
        <v>229</v>
      </c>
    </row>
    <row r="18" spans="1:7" ht="48.75" customHeight="1">
      <c r="A18" s="136" t="s">
        <v>230</v>
      </c>
      <c r="B18" s="128" t="s">
        <v>231</v>
      </c>
      <c r="C18" s="126" t="s">
        <v>206</v>
      </c>
      <c r="D18" s="126">
        <v>9.5</v>
      </c>
      <c r="E18" s="126">
        <v>10</v>
      </c>
      <c r="F18" s="137">
        <v>105.3</v>
      </c>
      <c r="G18" s="129" t="s">
        <v>232</v>
      </c>
    </row>
    <row r="19" spans="1:7" ht="51" customHeight="1">
      <c r="A19" s="136" t="s">
        <v>233</v>
      </c>
      <c r="B19" s="128" t="s">
        <v>234</v>
      </c>
      <c r="C19" s="126" t="s">
        <v>206</v>
      </c>
      <c r="D19" s="126">
        <v>13.9</v>
      </c>
      <c r="E19" s="126">
        <v>7.3</v>
      </c>
      <c r="F19" s="137">
        <v>52.5</v>
      </c>
      <c r="G19" s="128" t="s">
        <v>287</v>
      </c>
    </row>
    <row r="20" spans="1:7" ht="46.5" customHeight="1">
      <c r="A20" s="136" t="s">
        <v>235</v>
      </c>
      <c r="B20" s="128" t="s">
        <v>236</v>
      </c>
      <c r="C20" s="126" t="s">
        <v>206</v>
      </c>
      <c r="D20" s="126">
        <v>61.1</v>
      </c>
      <c r="E20" s="126">
        <v>61.4</v>
      </c>
      <c r="F20" s="137">
        <f t="shared" ref="F20" si="0">E20/D20*100</f>
        <v>100.49099836333879</v>
      </c>
      <c r="G20" s="129" t="s">
        <v>237</v>
      </c>
    </row>
    <row r="21" spans="1:7" ht="49.5" customHeight="1">
      <c r="A21" s="136" t="s">
        <v>238</v>
      </c>
      <c r="B21" s="128" t="s">
        <v>239</v>
      </c>
      <c r="C21" s="126" t="s">
        <v>206</v>
      </c>
      <c r="D21" s="126">
        <v>14.3</v>
      </c>
      <c r="E21" s="126">
        <v>14.3</v>
      </c>
      <c r="F21" s="137">
        <f t="shared" ref="F21:F22" si="1">E21/D21*100</f>
        <v>100</v>
      </c>
      <c r="G21" s="129"/>
    </row>
    <row r="22" spans="1:7" ht="78.75" customHeight="1">
      <c r="A22" s="136" t="s">
        <v>240</v>
      </c>
      <c r="B22" s="128" t="s">
        <v>241</v>
      </c>
      <c r="C22" s="126" t="s">
        <v>206</v>
      </c>
      <c r="D22" s="126">
        <v>100</v>
      </c>
      <c r="E22" s="126">
        <v>100</v>
      </c>
      <c r="F22" s="137">
        <f t="shared" si="1"/>
        <v>100</v>
      </c>
      <c r="G22" s="129"/>
    </row>
    <row r="23" spans="1:7" ht="63">
      <c r="A23" s="136" t="s">
        <v>242</v>
      </c>
      <c r="B23" s="128" t="s">
        <v>243</v>
      </c>
      <c r="C23" s="126" t="s">
        <v>206</v>
      </c>
      <c r="D23" s="126">
        <v>44</v>
      </c>
      <c r="E23" s="126">
        <v>70.7</v>
      </c>
      <c r="F23" s="137">
        <f>E23/D23*100</f>
        <v>160.68181818181819</v>
      </c>
      <c r="G23" s="129" t="s">
        <v>244</v>
      </c>
    </row>
    <row r="24" spans="1:7" ht="64.5" customHeight="1">
      <c r="A24" s="141" t="s">
        <v>245</v>
      </c>
      <c r="B24" s="129" t="s">
        <v>246</v>
      </c>
      <c r="C24" s="126" t="s">
        <v>206</v>
      </c>
      <c r="D24" s="126">
        <v>65.5</v>
      </c>
      <c r="E24" s="126">
        <v>48.4</v>
      </c>
      <c r="F24" s="137">
        <f>E24/D24*100</f>
        <v>73.89312977099236</v>
      </c>
      <c r="G24" s="140" t="s">
        <v>287</v>
      </c>
    </row>
    <row r="25" spans="1:7" ht="46.5" customHeight="1">
      <c r="A25" s="136" t="s">
        <v>247</v>
      </c>
      <c r="B25" s="129" t="s">
        <v>248</v>
      </c>
      <c r="C25" s="126" t="s">
        <v>249</v>
      </c>
      <c r="D25" s="126">
        <v>134.5</v>
      </c>
      <c r="E25" s="126">
        <v>134.5</v>
      </c>
      <c r="F25" s="137">
        <f>E25/D25*100</f>
        <v>100</v>
      </c>
      <c r="G25" s="129"/>
    </row>
    <row r="26" spans="1:7" ht="50.25" customHeight="1">
      <c r="A26" s="136" t="s">
        <v>250</v>
      </c>
      <c r="B26" s="128" t="s">
        <v>276</v>
      </c>
      <c r="C26" s="126" t="s">
        <v>277</v>
      </c>
      <c r="D26" s="126">
        <v>3.4650000000000002E-3</v>
      </c>
      <c r="E26" s="126">
        <v>4.9610000000000001E-3</v>
      </c>
      <c r="F26" s="137">
        <f>E26/D26*100</f>
        <v>143.17460317460316</v>
      </c>
      <c r="G26" s="129" t="s">
        <v>278</v>
      </c>
    </row>
    <row r="27" spans="1:7" ht="50.25" customHeight="1">
      <c r="A27" s="136" t="s">
        <v>253</v>
      </c>
      <c r="B27" s="128" t="s">
        <v>251</v>
      </c>
      <c r="C27" s="126" t="s">
        <v>206</v>
      </c>
      <c r="D27" s="126">
        <v>10</v>
      </c>
      <c r="E27" s="126">
        <v>16.899999999999999</v>
      </c>
      <c r="F27" s="137">
        <f>E27/D27*100</f>
        <v>169</v>
      </c>
      <c r="G27" s="129" t="s">
        <v>252</v>
      </c>
    </row>
    <row r="28" spans="1:7" ht="50.25" customHeight="1">
      <c r="A28" s="136" t="s">
        <v>256</v>
      </c>
      <c r="B28" s="128" t="s">
        <v>254</v>
      </c>
      <c r="C28" s="126" t="s">
        <v>206</v>
      </c>
      <c r="D28" s="126">
        <v>55.3</v>
      </c>
      <c r="E28" s="126">
        <v>73.900000000000006</v>
      </c>
      <c r="F28" s="137">
        <f t="shared" ref="F28:F34" si="2">E28/D28*100</f>
        <v>133.63471971066909</v>
      </c>
      <c r="G28" s="129" t="s">
        <v>255</v>
      </c>
    </row>
    <row r="29" spans="1:7" ht="63.75" customHeight="1">
      <c r="A29" s="139" t="s">
        <v>279</v>
      </c>
      <c r="B29" s="129" t="s">
        <v>257</v>
      </c>
      <c r="C29" s="126" t="s">
        <v>206</v>
      </c>
      <c r="D29" s="126">
        <v>3.2</v>
      </c>
      <c r="E29" s="126">
        <v>6</v>
      </c>
      <c r="F29" s="137">
        <v>187.5</v>
      </c>
      <c r="G29" s="129" t="s">
        <v>289</v>
      </c>
    </row>
    <row r="30" spans="1:7" ht="81" customHeight="1">
      <c r="A30" s="136" t="s">
        <v>280</v>
      </c>
      <c r="B30" s="128" t="s">
        <v>258</v>
      </c>
      <c r="C30" s="126" t="s">
        <v>206</v>
      </c>
      <c r="D30" s="126">
        <v>87.5</v>
      </c>
      <c r="E30" s="126">
        <v>88</v>
      </c>
      <c r="F30" s="137">
        <f t="shared" si="2"/>
        <v>100.57142857142858</v>
      </c>
      <c r="G30" s="128" t="s">
        <v>271</v>
      </c>
    </row>
    <row r="31" spans="1:7" ht="63" customHeight="1">
      <c r="A31" s="136" t="s">
        <v>281</v>
      </c>
      <c r="B31" s="128" t="s">
        <v>259</v>
      </c>
      <c r="C31" s="126" t="s">
        <v>206</v>
      </c>
      <c r="D31" s="126">
        <v>30</v>
      </c>
      <c r="E31" s="126">
        <v>31</v>
      </c>
      <c r="F31" s="137">
        <f t="shared" si="2"/>
        <v>103.33333333333334</v>
      </c>
      <c r="G31" s="129" t="s">
        <v>260</v>
      </c>
    </row>
    <row r="32" spans="1:7" ht="48.75" customHeight="1">
      <c r="A32" s="136" t="s">
        <v>282</v>
      </c>
      <c r="B32" s="128" t="s">
        <v>261</v>
      </c>
      <c r="C32" s="126" t="s">
        <v>206</v>
      </c>
      <c r="D32" s="126">
        <v>46.5</v>
      </c>
      <c r="E32" s="126">
        <v>47.3</v>
      </c>
      <c r="F32" s="137">
        <f t="shared" si="2"/>
        <v>101.72043010752687</v>
      </c>
      <c r="G32" s="129" t="s">
        <v>262</v>
      </c>
    </row>
    <row r="33" spans="1:7" ht="33.75" customHeight="1">
      <c r="A33" s="136" t="s">
        <v>283</v>
      </c>
      <c r="B33" s="128" t="s">
        <v>285</v>
      </c>
      <c r="C33" s="126" t="s">
        <v>206</v>
      </c>
      <c r="D33" s="126">
        <v>14</v>
      </c>
      <c r="E33" s="126">
        <v>14.2</v>
      </c>
      <c r="F33" s="137">
        <f t="shared" si="2"/>
        <v>101.42857142857142</v>
      </c>
      <c r="G33" s="129" t="s">
        <v>286</v>
      </c>
    </row>
    <row r="34" spans="1:7" ht="48.75" customHeight="1">
      <c r="A34" s="141" t="s">
        <v>284</v>
      </c>
      <c r="B34" s="128" t="s">
        <v>263</v>
      </c>
      <c r="C34" s="126" t="s">
        <v>206</v>
      </c>
      <c r="D34" s="126">
        <v>46.7</v>
      </c>
      <c r="E34" s="126">
        <v>40.5</v>
      </c>
      <c r="F34" s="137">
        <f t="shared" si="2"/>
        <v>86.723768736616705</v>
      </c>
      <c r="G34" s="140" t="s">
        <v>288</v>
      </c>
    </row>
    <row r="35" spans="1:7" ht="15.75">
      <c r="A35" s="124"/>
    </row>
    <row r="36" spans="1:7" ht="15.75">
      <c r="A36" s="124"/>
    </row>
    <row r="37" spans="1:7" ht="15.75">
      <c r="A37" s="124"/>
    </row>
    <row r="38" spans="1:7" ht="15.75">
      <c r="A38" s="124"/>
    </row>
    <row r="39" spans="1:7" ht="15.75">
      <c r="A39" s="132" t="s">
        <v>270</v>
      </c>
    </row>
    <row r="40" spans="1:7" ht="15.75">
      <c r="A40" s="124"/>
    </row>
    <row r="41" spans="1:7" ht="15.75">
      <c r="A41" s="133" t="s">
        <v>264</v>
      </c>
    </row>
    <row r="42" spans="1:7">
      <c r="A42" s="125"/>
    </row>
    <row r="43" spans="1:7">
      <c r="A43" s="134" t="s">
        <v>265</v>
      </c>
    </row>
    <row r="44" spans="1:7">
      <c r="A44" s="134" t="s">
        <v>266</v>
      </c>
    </row>
  </sheetData>
  <mergeCells count="9">
    <mergeCell ref="A2:G2"/>
    <mergeCell ref="A1:G1"/>
    <mergeCell ref="A3:G3"/>
    <mergeCell ref="G5:G6"/>
    <mergeCell ref="A5:A6"/>
    <mergeCell ref="B5:B6"/>
    <mergeCell ref="C5:C6"/>
    <mergeCell ref="D5:E5"/>
    <mergeCell ref="F5:F6"/>
  </mergeCells>
  <pageMargins left="0.70866141732283472" right="0.23" top="0.32" bottom="0.33" header="0.31496062992125984" footer="0.31496062992125984"/>
  <pageSetup paperSize="9" scale="53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Таблица 2</vt:lpstr>
      <vt:lpstr>'Таблица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Невская Светлана Евгеньевна</dc:creator>
  <cp:lastModifiedBy>LENOVO</cp:lastModifiedBy>
  <cp:lastPrinted>2020-02-07T09:47:51Z</cp:lastPrinted>
  <dcterms:created xsi:type="dcterms:W3CDTF">2006-09-28T05:33:00Z</dcterms:created>
  <dcterms:modified xsi:type="dcterms:W3CDTF">2020-04-17T09:07:26Z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