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6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01.2018" sheetId="34" r:id="rId4"/>
    <sheet name="на 01.02.2018" sheetId="35" r:id="rId5"/>
    <sheet name="на 01.04.2018" sheetId="37" r:id="rId6"/>
    <sheet name="на 01.01.2019" sheetId="43" r:id="rId7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'на 01.01.2018'!$5:$6</definedName>
    <definedName name="_xlnm.Print_Titles" localSheetId="6">'на 01.01.2019'!$5:$6</definedName>
    <definedName name="_xlnm.Print_Area" localSheetId="2">'Выполнение работ'!$A$1:$Q$81</definedName>
    <definedName name="_xlnm.Print_Area" localSheetId="6">'на 01.01.2019'!$A$1:$AT$92</definedName>
  </definedNames>
  <calcPr calcId="125725" refMode="R1C1"/>
</workbook>
</file>

<file path=xl/calcChain.xml><?xml version="1.0" encoding="utf-8"?>
<calcChain xmlns="http://schemas.openxmlformats.org/spreadsheetml/2006/main">
  <c r="AP26" i="43"/>
  <c r="AP14"/>
  <c r="AA14"/>
  <c r="AG14"/>
  <c r="L44"/>
  <c r="O44"/>
  <c r="O35"/>
  <c r="AP58"/>
  <c r="R15" l="1"/>
  <c r="AA15"/>
  <c r="AQ10"/>
  <c r="AL15"/>
  <c r="AO15"/>
  <c r="AR15"/>
  <c r="AD14"/>
  <c r="AR14"/>
  <c r="AO14"/>
  <c r="AL14"/>
  <c r="X16"/>
  <c r="AG16"/>
  <c r="AD16"/>
  <c r="AA16"/>
  <c r="AL16"/>
  <c r="AO16"/>
  <c r="AR16"/>
  <c r="AQ64"/>
  <c r="Z44"/>
  <c r="AR43"/>
  <c r="AO43"/>
  <c r="AO42" s="1"/>
  <c r="AI44"/>
  <c r="AI35" s="1"/>
  <c r="AA26"/>
  <c r="AL18"/>
  <c r="AO18"/>
  <c r="AR18"/>
  <c r="AR19"/>
  <c r="AO19"/>
  <c r="AL19"/>
  <c r="AL24"/>
  <c r="AO24"/>
  <c r="AR24"/>
  <c r="AD27"/>
  <c r="AR27"/>
  <c r="AL26"/>
  <c r="AO26"/>
  <c r="AR26"/>
  <c r="O31"/>
  <c r="AJ43"/>
  <c r="AL43" s="1"/>
  <c r="AR44"/>
  <c r="AQ42"/>
  <c r="AQ56" l="1"/>
  <c r="AL58"/>
  <c r="AO58"/>
  <c r="AR58"/>
  <c r="AR56" s="1"/>
  <c r="AN65"/>
  <c r="AP65"/>
  <c r="AQ65"/>
  <c r="AK65"/>
  <c r="AP80"/>
  <c r="AP64" s="1"/>
  <c r="AR64" s="1"/>
  <c r="AO80"/>
  <c r="AO78" s="1"/>
  <c r="AN78"/>
  <c r="AP78"/>
  <c r="AQ78"/>
  <c r="AK78"/>
  <c r="AL80"/>
  <c r="AL78" s="1"/>
  <c r="AQ74"/>
  <c r="AR74"/>
  <c r="AO76"/>
  <c r="AM71"/>
  <c r="AO71" s="1"/>
  <c r="AQ69"/>
  <c r="AR71"/>
  <c r="AR69" s="1"/>
  <c r="AL71"/>
  <c r="M86"/>
  <c r="H86"/>
  <c r="I86"/>
  <c r="J86"/>
  <c r="K86"/>
  <c r="L86"/>
  <c r="N86"/>
  <c r="O86"/>
  <c r="P86"/>
  <c r="Q86"/>
  <c r="AR80" l="1"/>
  <c r="AR78" s="1"/>
  <c r="F86"/>
  <c r="G81"/>
  <c r="F81"/>
  <c r="G73"/>
  <c r="F73"/>
  <c r="G86" l="1"/>
  <c r="AJ50"/>
  <c r="AH18"/>
  <c r="AG18"/>
  <c r="AH65"/>
  <c r="AE65"/>
  <c r="X15"/>
  <c r="X14"/>
  <c r="O14"/>
  <c r="AG19"/>
  <c r="X19"/>
  <c r="L19"/>
  <c r="AD26"/>
  <c r="AG27"/>
  <c r="AG43"/>
  <c r="AG58"/>
  <c r="AG80"/>
  <c r="X80"/>
  <c r="AH78"/>
  <c r="AG71"/>
  <c r="AI24"/>
  <c r="AI19"/>
  <c r="AG34" l="1"/>
  <c r="AI43"/>
  <c r="AI34" s="1"/>
  <c r="AI18"/>
  <c r="AI14"/>
  <c r="AI16"/>
  <c r="AJ64"/>
  <c r="AI80"/>
  <c r="AD80"/>
  <c r="AF80" s="1"/>
  <c r="AA80"/>
  <c r="AC80" s="1"/>
  <c r="Z80"/>
  <c r="U80"/>
  <c r="W80" s="1"/>
  <c r="R80"/>
  <c r="T80" s="1"/>
  <c r="O80"/>
  <c r="Q80" s="1"/>
  <c r="L80"/>
  <c r="L78" s="1"/>
  <c r="G80"/>
  <c r="G79"/>
  <c r="F79"/>
  <c r="AM78"/>
  <c r="AJ78"/>
  <c r="AG78"/>
  <c r="AI78" s="1"/>
  <c r="AE78"/>
  <c r="AB78"/>
  <c r="AA78"/>
  <c r="Y78"/>
  <c r="X78"/>
  <c r="V78"/>
  <c r="U78"/>
  <c r="S78"/>
  <c r="P78"/>
  <c r="O78"/>
  <c r="M78"/>
  <c r="J78"/>
  <c r="I78"/>
  <c r="G77"/>
  <c r="F77"/>
  <c r="G76"/>
  <c r="F76"/>
  <c r="G75"/>
  <c r="F75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S74"/>
  <c r="R74"/>
  <c r="P74"/>
  <c r="O74"/>
  <c r="M74"/>
  <c r="L74"/>
  <c r="J74"/>
  <c r="I74"/>
  <c r="G74"/>
  <c r="G72"/>
  <c r="F72"/>
  <c r="AM64"/>
  <c r="AI71"/>
  <c r="AF71"/>
  <c r="AA71"/>
  <c r="AC71" s="1"/>
  <c r="X71"/>
  <c r="Z71" s="1"/>
  <c r="W71"/>
  <c r="R71"/>
  <c r="T71" s="1"/>
  <c r="O71"/>
  <c r="O64" s="1"/>
  <c r="L71"/>
  <c r="L69" s="1"/>
  <c r="G71"/>
  <c r="G70"/>
  <c r="F70"/>
  <c r="AO69"/>
  <c r="AN69"/>
  <c r="AM69"/>
  <c r="AL69"/>
  <c r="AK69"/>
  <c r="AJ69"/>
  <c r="AH69"/>
  <c r="AE69"/>
  <c r="AD69"/>
  <c r="AB69"/>
  <c r="Y69"/>
  <c r="V69"/>
  <c r="U69"/>
  <c r="S69"/>
  <c r="R69"/>
  <c r="P69"/>
  <c r="M69"/>
  <c r="J69"/>
  <c r="I69"/>
  <c r="AM65"/>
  <c r="AJ65"/>
  <c r="AG65"/>
  <c r="AD65"/>
  <c r="AB65"/>
  <c r="AA65"/>
  <c r="Y65"/>
  <c r="X65"/>
  <c r="V65"/>
  <c r="U65"/>
  <c r="S65"/>
  <c r="R65"/>
  <c r="P65"/>
  <c r="O65"/>
  <c r="M65"/>
  <c r="L65"/>
  <c r="J65"/>
  <c r="I65"/>
  <c r="AN64"/>
  <c r="AK64"/>
  <c r="AH64"/>
  <c r="AG64"/>
  <c r="AE64"/>
  <c r="AB64"/>
  <c r="Y64"/>
  <c r="V64"/>
  <c r="U64"/>
  <c r="S64"/>
  <c r="P64"/>
  <c r="M64"/>
  <c r="J64"/>
  <c r="I64"/>
  <c r="AQ63"/>
  <c r="AQ62" s="1"/>
  <c r="AP63"/>
  <c r="AP62" s="1"/>
  <c r="AN63"/>
  <c r="AM63"/>
  <c r="AK63"/>
  <c r="AK62" s="1"/>
  <c r="AJ63"/>
  <c r="AH63"/>
  <c r="AG63"/>
  <c r="AE63"/>
  <c r="AD63"/>
  <c r="AB63"/>
  <c r="AB62" s="1"/>
  <c r="AA63"/>
  <c r="Y63"/>
  <c r="X63"/>
  <c r="V63"/>
  <c r="V62" s="1"/>
  <c r="U63"/>
  <c r="S63"/>
  <c r="R63"/>
  <c r="P63"/>
  <c r="P62" s="1"/>
  <c r="O63"/>
  <c r="N63"/>
  <c r="M63"/>
  <c r="L63"/>
  <c r="J63"/>
  <c r="I63"/>
  <c r="I62" s="1"/>
  <c r="G59"/>
  <c r="G51" s="1"/>
  <c r="F59"/>
  <c r="F51" s="1"/>
  <c r="AI58"/>
  <c r="AI50" s="1"/>
  <c r="AF58"/>
  <c r="AF50" s="1"/>
  <c r="X58"/>
  <c r="Z58" s="1"/>
  <c r="U58"/>
  <c r="U56" s="1"/>
  <c r="R58"/>
  <c r="T58" s="1"/>
  <c r="T50" s="1"/>
  <c r="O58"/>
  <c r="O56" s="1"/>
  <c r="G58"/>
  <c r="G57"/>
  <c r="F57"/>
  <c r="AP56"/>
  <c r="AO56"/>
  <c r="AN56"/>
  <c r="AM56"/>
  <c r="AL56"/>
  <c r="AK56"/>
  <c r="AJ56"/>
  <c r="AH56"/>
  <c r="AE56"/>
  <c r="AD56"/>
  <c r="AC56"/>
  <c r="AB56"/>
  <c r="AA56"/>
  <c r="Y56"/>
  <c r="V56"/>
  <c r="S56"/>
  <c r="P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H50"/>
  <c r="AG50"/>
  <c r="AE50"/>
  <c r="AD50"/>
  <c r="AC50"/>
  <c r="AB50"/>
  <c r="AA50"/>
  <c r="Y50"/>
  <c r="X50"/>
  <c r="V50"/>
  <c r="U50"/>
  <c r="S50"/>
  <c r="R50"/>
  <c r="P50"/>
  <c r="M50"/>
  <c r="L50"/>
  <c r="J50"/>
  <c r="I50"/>
  <c r="G50"/>
  <c r="AR49"/>
  <c r="AQ49"/>
  <c r="AP49"/>
  <c r="AO49"/>
  <c r="AN49"/>
  <c r="AM49"/>
  <c r="AL49"/>
  <c r="AK49"/>
  <c r="AK48" s="1"/>
  <c r="AJ49"/>
  <c r="AI49"/>
  <c r="AH49"/>
  <c r="AG49"/>
  <c r="AF49"/>
  <c r="AE49"/>
  <c r="AE48" s="1"/>
  <c r="AD49"/>
  <c r="AC49"/>
  <c r="AC48" s="1"/>
  <c r="AB49"/>
  <c r="AA49"/>
  <c r="AA48" s="1"/>
  <c r="Z49"/>
  <c r="Y49"/>
  <c r="Y48" s="1"/>
  <c r="X49"/>
  <c r="W49"/>
  <c r="V49"/>
  <c r="U49"/>
  <c r="U48" s="1"/>
  <c r="T49"/>
  <c r="S49"/>
  <c r="S48" s="1"/>
  <c r="R49"/>
  <c r="P49"/>
  <c r="O49"/>
  <c r="M49"/>
  <c r="M48" s="1"/>
  <c r="L49"/>
  <c r="J49"/>
  <c r="I49"/>
  <c r="AR48"/>
  <c r="G45"/>
  <c r="G36" s="1"/>
  <c r="F45"/>
  <c r="F36" s="1"/>
  <c r="AF44"/>
  <c r="AC44"/>
  <c r="AC35" s="1"/>
  <c r="Z35"/>
  <c r="W44"/>
  <c r="T44"/>
  <c r="Q44"/>
  <c r="N44"/>
  <c r="K44"/>
  <c r="G44"/>
  <c r="F44"/>
  <c r="F35" s="1"/>
  <c r="AP42"/>
  <c r="AR42" s="1"/>
  <c r="AD43"/>
  <c r="AD42" s="1"/>
  <c r="AA43"/>
  <c r="AC43" s="1"/>
  <c r="AC34" s="1"/>
  <c r="X43"/>
  <c r="U43"/>
  <c r="W43" s="1"/>
  <c r="W34" s="1"/>
  <c r="R43"/>
  <c r="R34" s="1"/>
  <c r="Q43"/>
  <c r="N43"/>
  <c r="G43"/>
  <c r="AN42"/>
  <c r="AM42"/>
  <c r="AL42"/>
  <c r="AK42"/>
  <c r="AJ42"/>
  <c r="AH42"/>
  <c r="AG42"/>
  <c r="AE42"/>
  <c r="AB42"/>
  <c r="Y42"/>
  <c r="X42"/>
  <c r="V42"/>
  <c r="U42"/>
  <c r="S42"/>
  <c r="P42"/>
  <c r="O42"/>
  <c r="M42"/>
  <c r="L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AR35"/>
  <c r="AQ35"/>
  <c r="AP35"/>
  <c r="AO35"/>
  <c r="AN35"/>
  <c r="AM35"/>
  <c r="AL35"/>
  <c r="AK35"/>
  <c r="AJ35"/>
  <c r="AH35"/>
  <c r="AG35"/>
  <c r="AE35"/>
  <c r="AD35"/>
  <c r="AB35"/>
  <c r="AA35"/>
  <c r="Y35"/>
  <c r="X35"/>
  <c r="W35"/>
  <c r="V35"/>
  <c r="U35"/>
  <c r="S35"/>
  <c r="R35"/>
  <c r="P35"/>
  <c r="M35"/>
  <c r="L35"/>
  <c r="J35"/>
  <c r="I35"/>
  <c r="G35"/>
  <c r="AR34"/>
  <c r="AQ34"/>
  <c r="AQ83" s="1"/>
  <c r="AP34"/>
  <c r="AO34"/>
  <c r="AN34"/>
  <c r="AM34"/>
  <c r="AL34"/>
  <c r="AK34"/>
  <c r="AK33" s="1"/>
  <c r="AJ34"/>
  <c r="AH34"/>
  <c r="AG33"/>
  <c r="AE34"/>
  <c r="AB34"/>
  <c r="AA34"/>
  <c r="Y34"/>
  <c r="V34"/>
  <c r="S34"/>
  <c r="P34"/>
  <c r="P33" s="1"/>
  <c r="O34"/>
  <c r="M34"/>
  <c r="L34"/>
  <c r="J34"/>
  <c r="I34"/>
  <c r="AJ33"/>
  <c r="G31"/>
  <c r="F31"/>
  <c r="G30"/>
  <c r="G29" s="1"/>
  <c r="F30"/>
  <c r="AR29"/>
  <c r="AQ29"/>
  <c r="AP29"/>
  <c r="AO29"/>
  <c r="AN29"/>
  <c r="AM29"/>
  <c r="AL29"/>
  <c r="AK29"/>
  <c r="AJ29"/>
  <c r="AH29"/>
  <c r="AG29"/>
  <c r="AE29"/>
  <c r="AD29"/>
  <c r="AB29"/>
  <c r="AA29"/>
  <c r="Y29"/>
  <c r="X29"/>
  <c r="W29"/>
  <c r="V29"/>
  <c r="U29"/>
  <c r="S29"/>
  <c r="R29"/>
  <c r="P29"/>
  <c r="O29"/>
  <c r="M29"/>
  <c r="L29"/>
  <c r="K29"/>
  <c r="J29"/>
  <c r="I29"/>
  <c r="G28"/>
  <c r="F28"/>
  <c r="AD25"/>
  <c r="AA27"/>
  <c r="AC27" s="1"/>
  <c r="X27"/>
  <c r="Z27" s="1"/>
  <c r="U27"/>
  <c r="W27" s="1"/>
  <c r="R27"/>
  <c r="T27" s="1"/>
  <c r="Q27"/>
  <c r="N27"/>
  <c r="K27"/>
  <c r="G27"/>
  <c r="AP25"/>
  <c r="AM25"/>
  <c r="AG26"/>
  <c r="AI26" s="1"/>
  <c r="AF26"/>
  <c r="AC26"/>
  <c r="X26"/>
  <c r="Z26" s="1"/>
  <c r="U26"/>
  <c r="W26" s="1"/>
  <c r="R26"/>
  <c r="T26" s="1"/>
  <c r="O26"/>
  <c r="N26"/>
  <c r="G26"/>
  <c r="AQ25"/>
  <c r="AN25"/>
  <c r="AK25"/>
  <c r="AH25"/>
  <c r="AG25"/>
  <c r="AE25"/>
  <c r="AB25"/>
  <c r="Y25"/>
  <c r="X25"/>
  <c r="V25"/>
  <c r="U25"/>
  <c r="S25"/>
  <c r="P25"/>
  <c r="M25"/>
  <c r="L25"/>
  <c r="J25"/>
  <c r="I25"/>
  <c r="AD24"/>
  <c r="AD22" s="1"/>
  <c r="AA24"/>
  <c r="AA22" s="1"/>
  <c r="Z24"/>
  <c r="Z22" s="1"/>
  <c r="W24"/>
  <c r="T24"/>
  <c r="Q24"/>
  <c r="N24"/>
  <c r="K24"/>
  <c r="G24"/>
  <c r="G23"/>
  <c r="F23"/>
  <c r="AR22"/>
  <c r="AQ22"/>
  <c r="AP22"/>
  <c r="AO22"/>
  <c r="AN22"/>
  <c r="AM22"/>
  <c r="AL22"/>
  <c r="AK22"/>
  <c r="AJ22"/>
  <c r="AH22"/>
  <c r="AG22"/>
  <c r="AE22"/>
  <c r="AB22"/>
  <c r="Y22"/>
  <c r="X22"/>
  <c r="V22"/>
  <c r="U22"/>
  <c r="S22"/>
  <c r="R22"/>
  <c r="P22"/>
  <c r="O22"/>
  <c r="M22"/>
  <c r="L22"/>
  <c r="J22"/>
  <c r="I22"/>
  <c r="G20"/>
  <c r="F20"/>
  <c r="AF19"/>
  <c r="AC19"/>
  <c r="Z19"/>
  <c r="W19"/>
  <c r="T19"/>
  <c r="O19"/>
  <c r="Q19" s="1"/>
  <c r="N19"/>
  <c r="K19"/>
  <c r="G19"/>
  <c r="F18"/>
  <c r="AF18"/>
  <c r="G18"/>
  <c r="AQ17"/>
  <c r="AP17"/>
  <c r="AN17"/>
  <c r="AM17"/>
  <c r="AK17"/>
  <c r="AJ17"/>
  <c r="AH17"/>
  <c r="AG17"/>
  <c r="AE17"/>
  <c r="AD17"/>
  <c r="AB17"/>
  <c r="AA17"/>
  <c r="Y17"/>
  <c r="V17"/>
  <c r="U17"/>
  <c r="S17"/>
  <c r="R17"/>
  <c r="P17"/>
  <c r="M17"/>
  <c r="L17"/>
  <c r="J17"/>
  <c r="I17"/>
  <c r="AP12"/>
  <c r="AF16"/>
  <c r="AA12"/>
  <c r="Z16"/>
  <c r="U16"/>
  <c r="W16" s="1"/>
  <c r="R16"/>
  <c r="T16" s="1"/>
  <c r="O16"/>
  <c r="N16"/>
  <c r="K16"/>
  <c r="G16"/>
  <c r="AM11"/>
  <c r="AG15"/>
  <c r="AI15" s="1"/>
  <c r="AF15"/>
  <c r="AC15"/>
  <c r="Z15"/>
  <c r="U15"/>
  <c r="U11" s="1"/>
  <c r="T15"/>
  <c r="O15"/>
  <c r="O11" s="1"/>
  <c r="L15"/>
  <c r="N15" s="1"/>
  <c r="I15"/>
  <c r="G15"/>
  <c r="AJ13"/>
  <c r="AG10"/>
  <c r="AF14"/>
  <c r="AC14"/>
  <c r="Z14"/>
  <c r="U14"/>
  <c r="W14" s="1"/>
  <c r="R14"/>
  <c r="T14" s="1"/>
  <c r="Q14"/>
  <c r="L14"/>
  <c r="L10" s="1"/>
  <c r="I14"/>
  <c r="I10" s="1"/>
  <c r="I83" s="1"/>
  <c r="G14"/>
  <c r="AR13"/>
  <c r="AQ13"/>
  <c r="AP13"/>
  <c r="AO13"/>
  <c r="AN13"/>
  <c r="AM13"/>
  <c r="AL13"/>
  <c r="AK13"/>
  <c r="AH13"/>
  <c r="AE13"/>
  <c r="AD13"/>
  <c r="AB13"/>
  <c r="Y13"/>
  <c r="V13"/>
  <c r="S13"/>
  <c r="P13"/>
  <c r="M13"/>
  <c r="J13"/>
  <c r="AQ12"/>
  <c r="AQ85" s="1"/>
  <c r="AN12"/>
  <c r="AM12"/>
  <c r="AM85" s="1"/>
  <c r="AK12"/>
  <c r="AJ12"/>
  <c r="AJ85" s="1"/>
  <c r="AH12"/>
  <c r="AG12"/>
  <c r="AG85" s="1"/>
  <c r="AE12"/>
  <c r="AD12"/>
  <c r="AD85" s="1"/>
  <c r="AB12"/>
  <c r="Y12"/>
  <c r="X12"/>
  <c r="V12"/>
  <c r="S12"/>
  <c r="R12"/>
  <c r="P12"/>
  <c r="M12"/>
  <c r="L12"/>
  <c r="J12"/>
  <c r="I12"/>
  <c r="AQ11"/>
  <c r="AQ84" s="1"/>
  <c r="AP11"/>
  <c r="AN11"/>
  <c r="AK11"/>
  <c r="AJ11"/>
  <c r="AJ84" s="1"/>
  <c r="AH11"/>
  <c r="AG11"/>
  <c r="AE11"/>
  <c r="AB11"/>
  <c r="Y11"/>
  <c r="V11"/>
  <c r="S11"/>
  <c r="P11"/>
  <c r="M11"/>
  <c r="L11"/>
  <c r="J11"/>
  <c r="J84" s="1"/>
  <c r="AN10"/>
  <c r="AM10"/>
  <c r="AK10"/>
  <c r="AJ10"/>
  <c r="AJ83" s="1"/>
  <c r="AH10"/>
  <c r="AE10"/>
  <c r="AD10"/>
  <c r="AB10"/>
  <c r="AA10"/>
  <c r="Y10"/>
  <c r="V10"/>
  <c r="S10"/>
  <c r="R10"/>
  <c r="P10"/>
  <c r="O10"/>
  <c r="M10"/>
  <c r="J10"/>
  <c r="J83" s="1"/>
  <c r="V9"/>
  <c r="AM83" l="1"/>
  <c r="X11"/>
  <c r="AA11"/>
  <c r="I85"/>
  <c r="X85"/>
  <c r="X10"/>
  <c r="X9" s="1"/>
  <c r="AG83"/>
  <c r="AM84"/>
  <c r="AM82" s="1"/>
  <c r="AA85"/>
  <c r="AB48"/>
  <c r="AJ48"/>
  <c r="AM48"/>
  <c r="AO48"/>
  <c r="AQ48"/>
  <c r="AN48"/>
  <c r="G65"/>
  <c r="AR25"/>
  <c r="AI10"/>
  <c r="AA83"/>
  <c r="K12"/>
  <c r="N12"/>
  <c r="T12"/>
  <c r="U12"/>
  <c r="F15"/>
  <c r="H15" s="1"/>
  <c r="O13"/>
  <c r="O17"/>
  <c r="Q17" s="1"/>
  <c r="AO25"/>
  <c r="F26"/>
  <c r="H26" s="1"/>
  <c r="AL64"/>
  <c r="O69"/>
  <c r="Q69" s="1"/>
  <c r="AL17"/>
  <c r="AO17"/>
  <c r="AR17"/>
  <c r="W22"/>
  <c r="AD34"/>
  <c r="AD33" s="1"/>
  <c r="AN33"/>
  <c r="AP33"/>
  <c r="AF42"/>
  <c r="AI42"/>
  <c r="V48"/>
  <c r="AD48"/>
  <c r="X56"/>
  <c r="AA64"/>
  <c r="AA84" s="1"/>
  <c r="AA69"/>
  <c r="AC69" s="1"/>
  <c r="G63"/>
  <c r="Q78"/>
  <c r="W78"/>
  <c r="G78"/>
  <c r="AD83"/>
  <c r="AK84"/>
  <c r="AL84" s="1"/>
  <c r="AL11"/>
  <c r="AP85"/>
  <c r="AR12"/>
  <c r="X34"/>
  <c r="X83" s="1"/>
  <c r="Z43"/>
  <c r="L83"/>
  <c r="O83"/>
  <c r="R83"/>
  <c r="U84"/>
  <c r="Y84"/>
  <c r="AE84"/>
  <c r="AH84"/>
  <c r="L85"/>
  <c r="S85"/>
  <c r="V85"/>
  <c r="AB85"/>
  <c r="AC85" s="1"/>
  <c r="AH85"/>
  <c r="AI85" s="1"/>
  <c r="W64"/>
  <c r="Q71"/>
  <c r="AK83"/>
  <c r="AL10"/>
  <c r="AN83"/>
  <c r="AO10"/>
  <c r="AN84"/>
  <c r="AO84" s="1"/>
  <c r="AO11"/>
  <c r="AK85"/>
  <c r="AL85" s="1"/>
  <c r="AL12"/>
  <c r="AN85"/>
  <c r="AO85" s="1"/>
  <c r="AO12"/>
  <c r="I13"/>
  <c r="P83"/>
  <c r="Y83"/>
  <c r="AB83"/>
  <c r="AE83"/>
  <c r="AH83"/>
  <c r="M84"/>
  <c r="P84"/>
  <c r="S84"/>
  <c r="V84"/>
  <c r="AG84"/>
  <c r="M85"/>
  <c r="N85" s="1"/>
  <c r="P85"/>
  <c r="R85"/>
  <c r="U85"/>
  <c r="Y85"/>
  <c r="AE85"/>
  <c r="AF85" s="1"/>
  <c r="V33"/>
  <c r="V83"/>
  <c r="N35"/>
  <c r="AB33"/>
  <c r="AB84"/>
  <c r="N42"/>
  <c r="Q42"/>
  <c r="AH48"/>
  <c r="AL48"/>
  <c r="L48"/>
  <c r="AF48"/>
  <c r="S62"/>
  <c r="AR62"/>
  <c r="AC64"/>
  <c r="F65"/>
  <c r="M33"/>
  <c r="M83"/>
  <c r="Q83"/>
  <c r="T34"/>
  <c r="S83"/>
  <c r="AH62"/>
  <c r="AI64"/>
  <c r="AN62"/>
  <c r="AO64"/>
  <c r="AL33"/>
  <c r="R48"/>
  <c r="X48"/>
  <c r="AP84"/>
  <c r="AR11"/>
  <c r="AR84"/>
  <c r="G11"/>
  <c r="AO83"/>
  <c r="AJ82"/>
  <c r="AL83"/>
  <c r="AG82"/>
  <c r="AI12"/>
  <c r="AR85"/>
  <c r="AQ82"/>
  <c r="AN82"/>
  <c r="AK82"/>
  <c r="AQ9"/>
  <c r="AP48"/>
  <c r="K14"/>
  <c r="K17"/>
  <c r="AC24"/>
  <c r="K25"/>
  <c r="Q26"/>
  <c r="I33"/>
  <c r="K35"/>
  <c r="R42"/>
  <c r="T42" s="1"/>
  <c r="I48"/>
  <c r="W12"/>
  <c r="R13"/>
  <c r="T13" s="1"/>
  <c r="U13"/>
  <c r="W13" s="1"/>
  <c r="N14"/>
  <c r="Q15"/>
  <c r="G12"/>
  <c r="AC16"/>
  <c r="N17"/>
  <c r="W17"/>
  <c r="AC17"/>
  <c r="N22"/>
  <c r="Q22"/>
  <c r="T22"/>
  <c r="AC22"/>
  <c r="F24"/>
  <c r="F22" s="1"/>
  <c r="AF24"/>
  <c r="N25"/>
  <c r="AI25"/>
  <c r="Z25"/>
  <c r="L33"/>
  <c r="Q34"/>
  <c r="R33"/>
  <c r="U34"/>
  <c r="Y33"/>
  <c r="AF34"/>
  <c r="AH33"/>
  <c r="AI33" s="1"/>
  <c r="Q35"/>
  <c r="T35"/>
  <c r="W42"/>
  <c r="AF56"/>
  <c r="M62"/>
  <c r="AA62"/>
  <c r="AC62" s="1"/>
  <c r="AE62"/>
  <c r="F63"/>
  <c r="H76"/>
  <c r="Z78"/>
  <c r="AC78"/>
  <c r="K13"/>
  <c r="I11"/>
  <c r="F16"/>
  <c r="H16" s="1"/>
  <c r="K22"/>
  <c r="F27"/>
  <c r="K42"/>
  <c r="J48"/>
  <c r="F58"/>
  <c r="H58" s="1"/>
  <c r="N71"/>
  <c r="N80"/>
  <c r="W25"/>
  <c r="N69"/>
  <c r="N78"/>
  <c r="W69"/>
  <c r="J9"/>
  <c r="K10"/>
  <c r="N11"/>
  <c r="Q11"/>
  <c r="Z13"/>
  <c r="AF25"/>
  <c r="N34"/>
  <c r="O33"/>
  <c r="Z42"/>
  <c r="Z34"/>
  <c r="W56"/>
  <c r="AI48"/>
  <c r="U62"/>
  <c r="W62" s="1"/>
  <c r="J62"/>
  <c r="Q10"/>
  <c r="T10"/>
  <c r="AC10"/>
  <c r="AI11"/>
  <c r="AF12"/>
  <c r="AF13"/>
  <c r="K15"/>
  <c r="Q13"/>
  <c r="W15"/>
  <c r="AA13"/>
  <c r="AC13" s="1"/>
  <c r="Q16"/>
  <c r="T17"/>
  <c r="AI22"/>
  <c r="AF22"/>
  <c r="AJ25"/>
  <c r="AL25" s="1"/>
  <c r="F29"/>
  <c r="Q33"/>
  <c r="J33"/>
  <c r="AA33"/>
  <c r="AF35"/>
  <c r="AQ33"/>
  <c r="AR33" s="1"/>
  <c r="T43"/>
  <c r="X33"/>
  <c r="AF43"/>
  <c r="H44"/>
  <c r="W58"/>
  <c r="W50" s="1"/>
  <c r="W48" s="1"/>
  <c r="AG62"/>
  <c r="T69"/>
  <c r="AF69"/>
  <c r="G69"/>
  <c r="F74"/>
  <c r="H74" s="1"/>
  <c r="J85"/>
  <c r="Z12"/>
  <c r="Z11"/>
  <c r="AF10"/>
  <c r="AM9"/>
  <c r="H31"/>
  <c r="H29"/>
  <c r="AM62"/>
  <c r="G64"/>
  <c r="G62" s="1"/>
  <c r="AG48"/>
  <c r="G56"/>
  <c r="AM33"/>
  <c r="G84"/>
  <c r="G42"/>
  <c r="H27"/>
  <c r="G10"/>
  <c r="G25"/>
  <c r="G22"/>
  <c r="AI17"/>
  <c r="AF17"/>
  <c r="AA9"/>
  <c r="AC11"/>
  <c r="G17"/>
  <c r="G13"/>
  <c r="AH9"/>
  <c r="K83"/>
  <c r="J82"/>
  <c r="L9"/>
  <c r="N10"/>
  <c r="K11"/>
  <c r="I9"/>
  <c r="I84"/>
  <c r="G85"/>
  <c r="AC12"/>
  <c r="K9"/>
  <c r="H35"/>
  <c r="AJ62"/>
  <c r="AL62" s="1"/>
  <c r="F56"/>
  <c r="Z10"/>
  <c r="AG9"/>
  <c r="W11"/>
  <c r="F50"/>
  <c r="H50" s="1"/>
  <c r="Z50"/>
  <c r="Z48" s="1"/>
  <c r="Z56"/>
  <c r="O62"/>
  <c r="Q62" s="1"/>
  <c r="Q64"/>
  <c r="Y9"/>
  <c r="AK9"/>
  <c r="AP10"/>
  <c r="AG13"/>
  <c r="AI13" s="1"/>
  <c r="S33"/>
  <c r="Y62"/>
  <c r="L64"/>
  <c r="P9"/>
  <c r="AB9"/>
  <c r="AJ9"/>
  <c r="AN9"/>
  <c r="U10"/>
  <c r="R11"/>
  <c r="AD11"/>
  <c r="O12"/>
  <c r="O85" s="1"/>
  <c r="L13"/>
  <c r="N13" s="1"/>
  <c r="X13"/>
  <c r="F14"/>
  <c r="F10" s="1"/>
  <c r="X17"/>
  <c r="Z17" s="1"/>
  <c r="O25"/>
  <c r="Q25" s="1"/>
  <c r="AA25"/>
  <c r="AC25" s="1"/>
  <c r="G34"/>
  <c r="AA42"/>
  <c r="AC42" s="1"/>
  <c r="F43"/>
  <c r="P48"/>
  <c r="G49"/>
  <c r="G48" s="1"/>
  <c r="R56"/>
  <c r="T56" s="1"/>
  <c r="T48" s="1"/>
  <c r="AG69"/>
  <c r="AI69" s="1"/>
  <c r="F71"/>
  <c r="R78"/>
  <c r="T78" s="1"/>
  <c r="AD78"/>
  <c r="AF78" s="1"/>
  <c r="M9"/>
  <c r="AE33"/>
  <c r="AF33" s="1"/>
  <c r="O50"/>
  <c r="O48" s="1"/>
  <c r="X64"/>
  <c r="Z64" s="1"/>
  <c r="AP69"/>
  <c r="S9"/>
  <c r="AE9"/>
  <c r="F19"/>
  <c r="H19" s="1"/>
  <c r="R25"/>
  <c r="T25" s="1"/>
  <c r="F49"/>
  <c r="AG56"/>
  <c r="AI56" s="1"/>
  <c r="R64"/>
  <c r="T64" s="1"/>
  <c r="AD64"/>
  <c r="AF64" s="1"/>
  <c r="X69"/>
  <c r="Z69" s="1"/>
  <c r="F80"/>
  <c r="AO9" l="1"/>
  <c r="T33"/>
  <c r="AO33"/>
  <c r="Z83"/>
  <c r="W85"/>
  <c r="F25"/>
  <c r="H56"/>
  <c r="K85"/>
  <c r="F12"/>
  <c r="F85" s="1"/>
  <c r="H22"/>
  <c r="Y82"/>
  <c r="W84"/>
  <c r="AH82"/>
  <c r="AI82" s="1"/>
  <c r="P82"/>
  <c r="AI84"/>
  <c r="AA82"/>
  <c r="Z85"/>
  <c r="F11"/>
  <c r="L62"/>
  <c r="AC84"/>
  <c r="T85"/>
  <c r="AC83"/>
  <c r="AL9"/>
  <c r="Q85"/>
  <c r="AE82"/>
  <c r="AF83"/>
  <c r="AP83"/>
  <c r="AR10"/>
  <c r="AI83"/>
  <c r="U33"/>
  <c r="U83"/>
  <c r="U82" s="1"/>
  <c r="R84"/>
  <c r="T84" s="1"/>
  <c r="AD84"/>
  <c r="AB82"/>
  <c r="AC82" s="1"/>
  <c r="AO62"/>
  <c r="AI62"/>
  <c r="N33"/>
  <c r="O84"/>
  <c r="AC33"/>
  <c r="W33"/>
  <c r="S82"/>
  <c r="T83"/>
  <c r="N83"/>
  <c r="M82"/>
  <c r="V82"/>
  <c r="W82" s="1"/>
  <c r="Z33"/>
  <c r="X84"/>
  <c r="L84"/>
  <c r="AP82"/>
  <c r="AR82" s="1"/>
  <c r="AO82"/>
  <c r="AL82"/>
  <c r="G9"/>
  <c r="H24"/>
  <c r="K33"/>
  <c r="G83"/>
  <c r="G82" s="1"/>
  <c r="I82"/>
  <c r="K82" s="1"/>
  <c r="K84"/>
  <c r="H12"/>
  <c r="AI9"/>
  <c r="H25"/>
  <c r="AC9"/>
  <c r="F48"/>
  <c r="H48" s="1"/>
  <c r="F17"/>
  <c r="H17" s="1"/>
  <c r="N9"/>
  <c r="H85"/>
  <c r="H80"/>
  <c r="F78"/>
  <c r="H78" s="1"/>
  <c r="Q12"/>
  <c r="AP9"/>
  <c r="AR9" s="1"/>
  <c r="R62"/>
  <c r="T62" s="1"/>
  <c r="F42"/>
  <c r="H42" s="1"/>
  <c r="F34"/>
  <c r="F33" s="1"/>
  <c r="H43"/>
  <c r="U9"/>
  <c r="W9" s="1"/>
  <c r="W10"/>
  <c r="AD62"/>
  <c r="AF62" s="1"/>
  <c r="F69"/>
  <c r="H69" s="1"/>
  <c r="F64"/>
  <c r="H71"/>
  <c r="R9"/>
  <c r="T9" s="1"/>
  <c r="T11"/>
  <c r="N64"/>
  <c r="N62" s="1"/>
  <c r="Z9"/>
  <c r="X62"/>
  <c r="Z62" s="1"/>
  <c r="G33"/>
  <c r="F13"/>
  <c r="H13" s="1"/>
  <c r="H14"/>
  <c r="AF11"/>
  <c r="AD9"/>
  <c r="AF9" s="1"/>
  <c r="O9"/>
  <c r="Q9" s="1"/>
  <c r="R82" l="1"/>
  <c r="AR83"/>
  <c r="T82"/>
  <c r="L82"/>
  <c r="N82" s="1"/>
  <c r="N84"/>
  <c r="Q84"/>
  <c r="O82"/>
  <c r="Q82" s="1"/>
  <c r="Z84"/>
  <c r="X82"/>
  <c r="Z82" s="1"/>
  <c r="AF84"/>
  <c r="AD82"/>
  <c r="AF82" s="1"/>
  <c r="W83"/>
  <c r="F83"/>
  <c r="F84"/>
  <c r="H84" s="1"/>
  <c r="H11"/>
  <c r="H64"/>
  <c r="F62"/>
  <c r="H62" s="1"/>
  <c r="F9"/>
  <c r="H9" s="1"/>
  <c r="H10"/>
  <c r="H34"/>
  <c r="H33"/>
  <c r="F82" l="1"/>
  <c r="H82" s="1"/>
  <c r="H83"/>
  <c r="AG15" i="37"/>
  <c r="O15"/>
  <c r="AG14"/>
  <c r="X14"/>
  <c r="X15"/>
  <c r="AP15"/>
  <c r="AP14"/>
  <c r="AD14"/>
  <c r="U14"/>
  <c r="AP16"/>
  <c r="AA16"/>
  <c r="X16"/>
  <c r="O16"/>
  <c r="U79" l="1"/>
  <c r="O79"/>
  <c r="L79"/>
  <c r="L71"/>
  <c r="O71"/>
  <c r="AM71"/>
  <c r="Q24" l="1"/>
  <c r="N24"/>
  <c r="N26" l="1"/>
  <c r="AM26"/>
  <c r="AJ26"/>
  <c r="AG26"/>
  <c r="AD26"/>
  <c r="AA26"/>
  <c r="X26"/>
  <c r="U26"/>
  <c r="R26"/>
  <c r="O26"/>
  <c r="Q26" s="1"/>
  <c r="L15" l="1"/>
  <c r="AM16"/>
  <c r="Q16"/>
  <c r="N16"/>
  <c r="O14"/>
  <c r="Q14" s="1"/>
  <c r="Q15" l="1"/>
  <c r="R15"/>
  <c r="T15" s="1"/>
  <c r="AP11"/>
  <c r="AP71"/>
  <c r="F71" s="1"/>
  <c r="O58"/>
  <c r="Q58" s="1"/>
  <c r="R79"/>
  <c r="R77" s="1"/>
  <c r="N79"/>
  <c r="R79" i="35"/>
  <c r="T79" s="1"/>
  <c r="O79"/>
  <c r="L79"/>
  <c r="L64" s="1"/>
  <c r="G80" i="37"/>
  <c r="F80"/>
  <c r="AP79"/>
  <c r="AM79"/>
  <c r="AM77" s="1"/>
  <c r="AJ79"/>
  <c r="AI79"/>
  <c r="AG79"/>
  <c r="AG77" s="1"/>
  <c r="AF79"/>
  <c r="AD79"/>
  <c r="AC79"/>
  <c r="AA79"/>
  <c r="Z79"/>
  <c r="Z77" s="1"/>
  <c r="X79"/>
  <c r="W79"/>
  <c r="U77"/>
  <c r="Q79"/>
  <c r="G79"/>
  <c r="G78"/>
  <c r="F78"/>
  <c r="AP77"/>
  <c r="AO77"/>
  <c r="AN77"/>
  <c r="AL77"/>
  <c r="AK77"/>
  <c r="AJ77"/>
  <c r="AH77"/>
  <c r="AE77"/>
  <c r="AD77"/>
  <c r="AB77"/>
  <c r="AA77"/>
  <c r="Y77"/>
  <c r="X77"/>
  <c r="V77"/>
  <c r="S77"/>
  <c r="P77"/>
  <c r="O77"/>
  <c r="M77"/>
  <c r="L77"/>
  <c r="J77"/>
  <c r="I77"/>
  <c r="G76"/>
  <c r="F76"/>
  <c r="G75"/>
  <c r="F75"/>
  <c r="G74"/>
  <c r="F74"/>
  <c r="F73" s="1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G65" s="1"/>
  <c r="F72"/>
  <c r="AI71"/>
  <c r="AF71"/>
  <c r="AC71"/>
  <c r="AC64" s="1"/>
  <c r="Z71"/>
  <c r="W71"/>
  <c r="T71"/>
  <c r="Q71"/>
  <c r="N71"/>
  <c r="G71"/>
  <c r="G69" s="1"/>
  <c r="G70"/>
  <c r="F70"/>
  <c r="AO69"/>
  <c r="AN69"/>
  <c r="AM69"/>
  <c r="AL69"/>
  <c r="AK69"/>
  <c r="AJ69"/>
  <c r="AH69"/>
  <c r="AG69"/>
  <c r="AE69"/>
  <c r="AD69"/>
  <c r="AB69"/>
  <c r="AA69"/>
  <c r="Y69"/>
  <c r="X69"/>
  <c r="V69"/>
  <c r="U69"/>
  <c r="S69"/>
  <c r="R69"/>
  <c r="P69"/>
  <c r="O69"/>
  <c r="M69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O64"/>
  <c r="AN64"/>
  <c r="AM64"/>
  <c r="AL64"/>
  <c r="AK64"/>
  <c r="AJ64"/>
  <c r="AI64"/>
  <c r="AH64"/>
  <c r="AE64"/>
  <c r="AF64" s="1"/>
  <c r="AD64"/>
  <c r="AB64"/>
  <c r="AA64"/>
  <c r="Z64"/>
  <c r="Y64"/>
  <c r="X64"/>
  <c r="V64"/>
  <c r="S64"/>
  <c r="P64"/>
  <c r="O64"/>
  <c r="M64"/>
  <c r="L64"/>
  <c r="J64"/>
  <c r="I64"/>
  <c r="AR63"/>
  <c r="AQ63"/>
  <c r="AP63"/>
  <c r="AO63"/>
  <c r="AO62" s="1"/>
  <c r="AN63"/>
  <c r="AM63"/>
  <c r="AL63"/>
  <c r="AK63"/>
  <c r="AJ63"/>
  <c r="AI63"/>
  <c r="AH63"/>
  <c r="AG63"/>
  <c r="AF63"/>
  <c r="AE63"/>
  <c r="AD63"/>
  <c r="AC63"/>
  <c r="AC62" s="1"/>
  <c r="AB63"/>
  <c r="AA63"/>
  <c r="Z63"/>
  <c r="Y63"/>
  <c r="X63"/>
  <c r="W63"/>
  <c r="V63"/>
  <c r="U63"/>
  <c r="S63"/>
  <c r="R63"/>
  <c r="P63"/>
  <c r="O63"/>
  <c r="N63"/>
  <c r="M63"/>
  <c r="L63"/>
  <c r="J63"/>
  <c r="J62" s="1"/>
  <c r="I63"/>
  <c r="G63"/>
  <c r="AR62"/>
  <c r="AQ62"/>
  <c r="AJ62"/>
  <c r="X62"/>
  <c r="L62"/>
  <c r="G59"/>
  <c r="F59"/>
  <c r="F51" s="1"/>
  <c r="AI58"/>
  <c r="Z58"/>
  <c r="G58"/>
  <c r="G50" s="1"/>
  <c r="F58"/>
  <c r="F50" s="1"/>
  <c r="G57"/>
  <c r="F57"/>
  <c r="F49" s="1"/>
  <c r="AP56"/>
  <c r="AO56"/>
  <c r="AN56"/>
  <c r="AM56"/>
  <c r="AL56"/>
  <c r="AK56"/>
  <c r="AJ56"/>
  <c r="AH56"/>
  <c r="AG56"/>
  <c r="AF56"/>
  <c r="AE56"/>
  <c r="AD56"/>
  <c r="AC56"/>
  <c r="AB56"/>
  <c r="AA56"/>
  <c r="Z56"/>
  <c r="Y56"/>
  <c r="X56"/>
  <c r="V56"/>
  <c r="U56"/>
  <c r="T56"/>
  <c r="S56"/>
  <c r="R56"/>
  <c r="P56"/>
  <c r="O56"/>
  <c r="M56"/>
  <c r="L56"/>
  <c r="J56"/>
  <c r="I56"/>
  <c r="G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G51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M50"/>
  <c r="L50"/>
  <c r="J50"/>
  <c r="I50"/>
  <c r="AR49"/>
  <c r="AQ49"/>
  <c r="AP49"/>
  <c r="AO49"/>
  <c r="AN49"/>
  <c r="AM49"/>
  <c r="AM48" s="1"/>
  <c r="AL49"/>
  <c r="AK49"/>
  <c r="AJ49"/>
  <c r="AI49"/>
  <c r="AI48" s="1"/>
  <c r="AH49"/>
  <c r="AG49"/>
  <c r="AF49"/>
  <c r="AE49"/>
  <c r="AE48" s="1"/>
  <c r="AD49"/>
  <c r="AC49"/>
  <c r="AB49"/>
  <c r="AA49"/>
  <c r="Z49"/>
  <c r="Y49"/>
  <c r="X49"/>
  <c r="W49"/>
  <c r="W48" s="1"/>
  <c r="V49"/>
  <c r="U49"/>
  <c r="T49"/>
  <c r="S49"/>
  <c r="S48" s="1"/>
  <c r="R49"/>
  <c r="P49"/>
  <c r="P48" s="1"/>
  <c r="O49"/>
  <c r="M49"/>
  <c r="M48" s="1"/>
  <c r="L49"/>
  <c r="J49"/>
  <c r="J48" s="1"/>
  <c r="I49"/>
  <c r="G49"/>
  <c r="AQ48"/>
  <c r="AA48"/>
  <c r="G45"/>
  <c r="G36" s="1"/>
  <c r="F45"/>
  <c r="AI44"/>
  <c r="AI35" s="1"/>
  <c r="AF44"/>
  <c r="AC44"/>
  <c r="Z44"/>
  <c r="Z35" s="1"/>
  <c r="W44"/>
  <c r="W35" s="1"/>
  <c r="T44"/>
  <c r="Q44"/>
  <c r="N44"/>
  <c r="K44"/>
  <c r="G44"/>
  <c r="G35" s="1"/>
  <c r="F44"/>
  <c r="AI43"/>
  <c r="AF43"/>
  <c r="AC43"/>
  <c r="Z43"/>
  <c r="Z34" s="1"/>
  <c r="W43"/>
  <c r="T43"/>
  <c r="Q43"/>
  <c r="N43"/>
  <c r="G43"/>
  <c r="F43"/>
  <c r="F34" s="1"/>
  <c r="AP42"/>
  <c r="AO42"/>
  <c r="AN42"/>
  <c r="AM42"/>
  <c r="AL42"/>
  <c r="AK42"/>
  <c r="AJ42"/>
  <c r="AH42"/>
  <c r="AI42" s="1"/>
  <c r="AG42"/>
  <c r="AE42"/>
  <c r="AF42" s="1"/>
  <c r="AD42"/>
  <c r="AB42"/>
  <c r="AC42" s="1"/>
  <c r="AA42"/>
  <c r="Y42"/>
  <c r="X42"/>
  <c r="V42"/>
  <c r="W42" s="1"/>
  <c r="U42"/>
  <c r="S42"/>
  <c r="T42" s="1"/>
  <c r="R42"/>
  <c r="P42"/>
  <c r="Q42" s="1"/>
  <c r="O42"/>
  <c r="M42"/>
  <c r="N42" s="1"/>
  <c r="L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H35"/>
  <c r="AG35"/>
  <c r="AE35"/>
  <c r="AD35"/>
  <c r="AC35"/>
  <c r="AB35"/>
  <c r="AA35"/>
  <c r="Y35"/>
  <c r="X35"/>
  <c r="V35"/>
  <c r="U35"/>
  <c r="S35"/>
  <c r="R35"/>
  <c r="P35"/>
  <c r="O35"/>
  <c r="M35"/>
  <c r="L35"/>
  <c r="J35"/>
  <c r="I35"/>
  <c r="AR34"/>
  <c r="AQ34"/>
  <c r="AP34"/>
  <c r="AO34"/>
  <c r="AN34"/>
  <c r="AM34"/>
  <c r="AL34"/>
  <c r="AK34"/>
  <c r="AJ34"/>
  <c r="AI34"/>
  <c r="AH34"/>
  <c r="AG34"/>
  <c r="AE34"/>
  <c r="AD34"/>
  <c r="AC34"/>
  <c r="AB34"/>
  <c r="AA34"/>
  <c r="Y34"/>
  <c r="X34"/>
  <c r="W34"/>
  <c r="V34"/>
  <c r="U34"/>
  <c r="S34"/>
  <c r="R34"/>
  <c r="P34"/>
  <c r="O34"/>
  <c r="M34"/>
  <c r="L34"/>
  <c r="J34"/>
  <c r="I34"/>
  <c r="G34"/>
  <c r="AQ33"/>
  <c r="AA33"/>
  <c r="O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I26"/>
  <c r="AI10" s="1"/>
  <c r="AI82" s="1"/>
  <c r="AF26"/>
  <c r="AC26"/>
  <c r="AC25" s="1"/>
  <c r="Z26"/>
  <c r="K26"/>
  <c r="G26"/>
  <c r="F26"/>
  <c r="AR25"/>
  <c r="AQ25"/>
  <c r="AP25"/>
  <c r="AO25"/>
  <c r="AN25"/>
  <c r="AM25"/>
  <c r="AL25"/>
  <c r="AK25"/>
  <c r="AJ25"/>
  <c r="AH25"/>
  <c r="AI25" s="1"/>
  <c r="AG25"/>
  <c r="AE25"/>
  <c r="AD25"/>
  <c r="AB25"/>
  <c r="AA25"/>
  <c r="Z25"/>
  <c r="Y25"/>
  <c r="X25"/>
  <c r="W25"/>
  <c r="V25"/>
  <c r="U25"/>
  <c r="S25"/>
  <c r="R25"/>
  <c r="P25"/>
  <c r="Q25" s="1"/>
  <c r="O25"/>
  <c r="M25"/>
  <c r="N25" s="1"/>
  <c r="L25"/>
  <c r="J25"/>
  <c r="K25" s="1"/>
  <c r="I25"/>
  <c r="K24"/>
  <c r="G24"/>
  <c r="F24"/>
  <c r="G23"/>
  <c r="F23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W22" s="1"/>
  <c r="S22"/>
  <c r="R22"/>
  <c r="P22"/>
  <c r="O22"/>
  <c r="M22"/>
  <c r="L22"/>
  <c r="J22"/>
  <c r="I22"/>
  <c r="K22" s="1"/>
  <c r="G20"/>
  <c r="F20"/>
  <c r="K19"/>
  <c r="G19"/>
  <c r="F19"/>
  <c r="G18"/>
  <c r="F18"/>
  <c r="AR17"/>
  <c r="AQ17"/>
  <c r="AP17"/>
  <c r="AO17"/>
  <c r="AN17"/>
  <c r="AM17"/>
  <c r="AL17"/>
  <c r="AK17"/>
  <c r="AJ17"/>
  <c r="AI17"/>
  <c r="AH17"/>
  <c r="AG17"/>
  <c r="AE17"/>
  <c r="AF17" s="1"/>
  <c r="AD17"/>
  <c r="AC17"/>
  <c r="AB17"/>
  <c r="AA17"/>
  <c r="Y17"/>
  <c r="X17"/>
  <c r="V17"/>
  <c r="U17"/>
  <c r="S17"/>
  <c r="R17"/>
  <c r="P17"/>
  <c r="O17"/>
  <c r="M17"/>
  <c r="L17"/>
  <c r="J17"/>
  <c r="I17"/>
  <c r="AD16"/>
  <c r="AD12" s="1"/>
  <c r="K16"/>
  <c r="G16"/>
  <c r="AM15"/>
  <c r="AM13" s="1"/>
  <c r="AJ15"/>
  <c r="AG11"/>
  <c r="AD15"/>
  <c r="AF15" s="1"/>
  <c r="AA15"/>
  <c r="AA11" s="1"/>
  <c r="AA83" s="1"/>
  <c r="Z15"/>
  <c r="Z11" s="1"/>
  <c r="U15"/>
  <c r="U13" s="1"/>
  <c r="N15"/>
  <c r="K15"/>
  <c r="G15"/>
  <c r="AP10"/>
  <c r="AM14"/>
  <c r="AJ14"/>
  <c r="AJ13" s="1"/>
  <c r="AD10"/>
  <c r="AA14"/>
  <c r="AA13" s="1"/>
  <c r="R14"/>
  <c r="R10" s="1"/>
  <c r="L14"/>
  <c r="N14" s="1"/>
  <c r="I14"/>
  <c r="G14"/>
  <c r="AR13"/>
  <c r="AQ13"/>
  <c r="AO13"/>
  <c r="AN13"/>
  <c r="AL13"/>
  <c r="AK13"/>
  <c r="AH13"/>
  <c r="AE13"/>
  <c r="AD13"/>
  <c r="AB13"/>
  <c r="Z13"/>
  <c r="Y13"/>
  <c r="X13"/>
  <c r="V13"/>
  <c r="S13"/>
  <c r="P13"/>
  <c r="M13"/>
  <c r="J13"/>
  <c r="AR12"/>
  <c r="AQ12"/>
  <c r="AQ84" s="1"/>
  <c r="AP12"/>
  <c r="AO12"/>
  <c r="AO84" s="1"/>
  <c r="AN12"/>
  <c r="AM12"/>
  <c r="AM84" s="1"/>
  <c r="AL12"/>
  <c r="AK12"/>
  <c r="AK84" s="1"/>
  <c r="AJ12"/>
  <c r="AI12"/>
  <c r="AI84" s="1"/>
  <c r="AH12"/>
  <c r="AG12"/>
  <c r="AG84" s="1"/>
  <c r="AE12"/>
  <c r="AC12"/>
  <c r="AC84" s="1"/>
  <c r="AB12"/>
  <c r="AA12"/>
  <c r="AA84" s="1"/>
  <c r="Z12"/>
  <c r="Y12"/>
  <c r="Y84" s="1"/>
  <c r="X12"/>
  <c r="V12"/>
  <c r="W12" s="1"/>
  <c r="W84" s="1"/>
  <c r="U12"/>
  <c r="S12"/>
  <c r="R12"/>
  <c r="P12"/>
  <c r="P84" s="1"/>
  <c r="O12"/>
  <c r="M12"/>
  <c r="M84" s="1"/>
  <c r="L12"/>
  <c r="J12"/>
  <c r="I12"/>
  <c r="AR11"/>
  <c r="AR83" s="1"/>
  <c r="AQ11"/>
  <c r="AO11"/>
  <c r="AN11"/>
  <c r="AM11"/>
  <c r="AM83" s="1"/>
  <c r="AL11"/>
  <c r="AK11"/>
  <c r="AJ11"/>
  <c r="AI11"/>
  <c r="AH11"/>
  <c r="AE11"/>
  <c r="AE83" s="1"/>
  <c r="AD11"/>
  <c r="AB11"/>
  <c r="AB83" s="1"/>
  <c r="Y11"/>
  <c r="X11"/>
  <c r="X83" s="1"/>
  <c r="V11"/>
  <c r="S11"/>
  <c r="S83" s="1"/>
  <c r="P11"/>
  <c r="P83" s="1"/>
  <c r="M11"/>
  <c r="L11"/>
  <c r="J11"/>
  <c r="AR10"/>
  <c r="AQ10"/>
  <c r="AQ82" s="1"/>
  <c r="AO10"/>
  <c r="AN10"/>
  <c r="AM10"/>
  <c r="AL10"/>
  <c r="AL82" s="1"/>
  <c r="AK10"/>
  <c r="AJ10"/>
  <c r="AH10"/>
  <c r="AH82" s="1"/>
  <c r="AG10"/>
  <c r="AE10"/>
  <c r="AB10"/>
  <c r="Z10"/>
  <c r="Z82" s="1"/>
  <c r="Y10"/>
  <c r="X10"/>
  <c r="V10"/>
  <c r="V82" s="1"/>
  <c r="U10"/>
  <c r="S10"/>
  <c r="P10"/>
  <c r="O10"/>
  <c r="M10"/>
  <c r="M82" s="1"/>
  <c r="J10"/>
  <c r="J82" s="1"/>
  <c r="AR9"/>
  <c r="AQ9"/>
  <c r="AH9"/>
  <c r="O26" i="35"/>
  <c r="I14"/>
  <c r="K14" s="1"/>
  <c r="O14"/>
  <c r="K26"/>
  <c r="K24"/>
  <c r="K19"/>
  <c r="K16"/>
  <c r="X15"/>
  <c r="X11" s="1"/>
  <c r="AP15"/>
  <c r="I15"/>
  <c r="K15" s="1"/>
  <c r="AP14"/>
  <c r="G80"/>
  <c r="F80"/>
  <c r="AP79"/>
  <c r="AP77" s="1"/>
  <c r="AM79"/>
  <c r="AM77" s="1"/>
  <c r="AJ79"/>
  <c r="AJ64" s="1"/>
  <c r="AG79"/>
  <c r="AG64" s="1"/>
  <c r="AD79"/>
  <c r="AF79" s="1"/>
  <c r="AA79"/>
  <c r="AA77" s="1"/>
  <c r="X79"/>
  <c r="Z79" s="1"/>
  <c r="U79"/>
  <c r="U64" s="1"/>
  <c r="O77"/>
  <c r="N79"/>
  <c r="G79"/>
  <c r="G78"/>
  <c r="F78"/>
  <c r="AO77"/>
  <c r="AN77"/>
  <c r="AL77"/>
  <c r="AK77"/>
  <c r="AJ77"/>
  <c r="AH77"/>
  <c r="AG77"/>
  <c r="AE77"/>
  <c r="AB77"/>
  <c r="Y77"/>
  <c r="X77"/>
  <c r="V77"/>
  <c r="U77"/>
  <c r="S77"/>
  <c r="P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I71"/>
  <c r="AF71"/>
  <c r="AC71"/>
  <c r="Z71"/>
  <c r="W71"/>
  <c r="T71"/>
  <c r="Q71"/>
  <c r="N71"/>
  <c r="G71"/>
  <c r="F71"/>
  <c r="H71" s="1"/>
  <c r="G70"/>
  <c r="F70"/>
  <c r="F63" s="1"/>
  <c r="AP69"/>
  <c r="AO69"/>
  <c r="AN69"/>
  <c r="AM69"/>
  <c r="AL69"/>
  <c r="AK69"/>
  <c r="AJ69"/>
  <c r="AH69"/>
  <c r="AI69" s="1"/>
  <c r="AG69"/>
  <c r="AE69"/>
  <c r="AF69" s="1"/>
  <c r="AD69"/>
  <c r="AB69"/>
  <c r="AA69"/>
  <c r="Y69"/>
  <c r="Z69" s="1"/>
  <c r="X69"/>
  <c r="V69"/>
  <c r="W69" s="1"/>
  <c r="U69"/>
  <c r="S69"/>
  <c r="T69" s="1"/>
  <c r="R69"/>
  <c r="P69"/>
  <c r="O69"/>
  <c r="M69"/>
  <c r="N69" s="1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L64"/>
  <c r="AK64"/>
  <c r="AH64"/>
  <c r="AE64"/>
  <c r="AD64"/>
  <c r="AB64"/>
  <c r="Y64"/>
  <c r="X64"/>
  <c r="V64"/>
  <c r="S64"/>
  <c r="P64"/>
  <c r="M64"/>
  <c r="J64"/>
  <c r="I64"/>
  <c r="AR63"/>
  <c r="AQ63"/>
  <c r="AP63"/>
  <c r="AP62" s="1"/>
  <c r="AO63"/>
  <c r="AN63"/>
  <c r="AN62" s="1"/>
  <c r="AM63"/>
  <c r="AL63"/>
  <c r="AL62" s="1"/>
  <c r="AK63"/>
  <c r="AJ63"/>
  <c r="AI63"/>
  <c r="AH63"/>
  <c r="AH62" s="1"/>
  <c r="AG63"/>
  <c r="AF63"/>
  <c r="AE63"/>
  <c r="AE62" s="1"/>
  <c r="AD63"/>
  <c r="AD62" s="1"/>
  <c r="AC63"/>
  <c r="AB63"/>
  <c r="AB62" s="1"/>
  <c r="AA63"/>
  <c r="Z63"/>
  <c r="Y63"/>
  <c r="X63"/>
  <c r="X62" s="1"/>
  <c r="W63"/>
  <c r="V63"/>
  <c r="V62" s="1"/>
  <c r="U63"/>
  <c r="S63"/>
  <c r="S62" s="1"/>
  <c r="R63"/>
  <c r="P63"/>
  <c r="P62" s="1"/>
  <c r="O63"/>
  <c r="N63"/>
  <c r="M63"/>
  <c r="L63"/>
  <c r="J63"/>
  <c r="I63"/>
  <c r="I62" s="1"/>
  <c r="AR62"/>
  <c r="AQ62"/>
  <c r="AO62"/>
  <c r="AK62"/>
  <c r="Y62"/>
  <c r="J62"/>
  <c r="G59"/>
  <c r="G51" s="1"/>
  <c r="F59"/>
  <c r="F51" s="1"/>
  <c r="AI58"/>
  <c r="AI50" s="1"/>
  <c r="Z58"/>
  <c r="Z56" s="1"/>
  <c r="Q58"/>
  <c r="G58"/>
  <c r="H58" s="1"/>
  <c r="F58"/>
  <c r="G57"/>
  <c r="G56" s="1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Q50" s="1"/>
  <c r="M50"/>
  <c r="L50"/>
  <c r="J50"/>
  <c r="I50"/>
  <c r="F50"/>
  <c r="AR49"/>
  <c r="AQ49"/>
  <c r="AP49"/>
  <c r="AO49"/>
  <c r="AN49"/>
  <c r="AM49"/>
  <c r="AL49"/>
  <c r="AK49"/>
  <c r="AJ49"/>
  <c r="AI49"/>
  <c r="AH49"/>
  <c r="AG49"/>
  <c r="AF49"/>
  <c r="AF48" s="1"/>
  <c r="AE49"/>
  <c r="AD49"/>
  <c r="AC49"/>
  <c r="AB49"/>
  <c r="AA49"/>
  <c r="Z49"/>
  <c r="Y49"/>
  <c r="X49"/>
  <c r="W49"/>
  <c r="V49"/>
  <c r="U49"/>
  <c r="T49"/>
  <c r="S49"/>
  <c r="R49"/>
  <c r="P49"/>
  <c r="P48" s="1"/>
  <c r="O49"/>
  <c r="M49"/>
  <c r="M48" s="1"/>
  <c r="L49"/>
  <c r="J49"/>
  <c r="I49"/>
  <c r="G49"/>
  <c r="AN48"/>
  <c r="X48"/>
  <c r="J48"/>
  <c r="G45"/>
  <c r="G36" s="1"/>
  <c r="F45"/>
  <c r="AI44"/>
  <c r="AF44"/>
  <c r="AC44"/>
  <c r="AC35" s="1"/>
  <c r="Z44"/>
  <c r="Z35" s="1"/>
  <c r="W44"/>
  <c r="T44"/>
  <c r="Q44"/>
  <c r="N44"/>
  <c r="K44"/>
  <c r="G44"/>
  <c r="F44"/>
  <c r="AI43"/>
  <c r="AI34" s="1"/>
  <c r="AF43"/>
  <c r="AC43"/>
  <c r="AC34" s="1"/>
  <c r="Z43"/>
  <c r="Z34" s="1"/>
  <c r="W43"/>
  <c r="W34" s="1"/>
  <c r="T43"/>
  <c r="Q43"/>
  <c r="N43"/>
  <c r="K43"/>
  <c r="G43"/>
  <c r="F43"/>
  <c r="F34" s="1"/>
  <c r="AP42"/>
  <c r="AO42"/>
  <c r="AN42"/>
  <c r="AM42"/>
  <c r="AL42"/>
  <c r="AK42"/>
  <c r="AJ42"/>
  <c r="AH42"/>
  <c r="AG42"/>
  <c r="AE42"/>
  <c r="AF42" s="1"/>
  <c r="AD42"/>
  <c r="AB42"/>
  <c r="AA42"/>
  <c r="Y42"/>
  <c r="Z42" s="1"/>
  <c r="X42"/>
  <c r="V42"/>
  <c r="W42" s="1"/>
  <c r="U42"/>
  <c r="S42"/>
  <c r="T42" s="1"/>
  <c r="R42"/>
  <c r="P42"/>
  <c r="O42"/>
  <c r="M42"/>
  <c r="N42" s="1"/>
  <c r="L42"/>
  <c r="J42"/>
  <c r="I42"/>
  <c r="F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I35"/>
  <c r="AH35"/>
  <c r="AG35"/>
  <c r="AE35"/>
  <c r="AD35"/>
  <c r="AB35"/>
  <c r="AA35"/>
  <c r="Y35"/>
  <c r="X35"/>
  <c r="W35"/>
  <c r="V35"/>
  <c r="U35"/>
  <c r="S35"/>
  <c r="R35"/>
  <c r="P35"/>
  <c r="O35"/>
  <c r="M35"/>
  <c r="L35"/>
  <c r="J35"/>
  <c r="I35"/>
  <c r="F35"/>
  <c r="AR34"/>
  <c r="AR33" s="1"/>
  <c r="AQ34"/>
  <c r="AP34"/>
  <c r="AP33" s="1"/>
  <c r="AO34"/>
  <c r="AN34"/>
  <c r="AN33" s="1"/>
  <c r="AM34"/>
  <c r="AL34"/>
  <c r="AL33" s="1"/>
  <c r="AK34"/>
  <c r="AJ34"/>
  <c r="AJ33" s="1"/>
  <c r="AH34"/>
  <c r="AG34"/>
  <c r="AE34"/>
  <c r="AD34"/>
  <c r="AF34" s="1"/>
  <c r="AB34"/>
  <c r="AB33" s="1"/>
  <c r="AA34"/>
  <c r="Y34"/>
  <c r="Y33" s="1"/>
  <c r="X34"/>
  <c r="X33" s="1"/>
  <c r="V34"/>
  <c r="U34"/>
  <c r="S34"/>
  <c r="S33" s="1"/>
  <c r="R34"/>
  <c r="P34"/>
  <c r="P33" s="1"/>
  <c r="O34"/>
  <c r="M34"/>
  <c r="M33" s="1"/>
  <c r="L34"/>
  <c r="J34"/>
  <c r="I34"/>
  <c r="AQ33"/>
  <c r="AM33"/>
  <c r="AH33"/>
  <c r="V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G26"/>
  <c r="AG25" s="1"/>
  <c r="AF26"/>
  <c r="AC26"/>
  <c r="AC25" s="1"/>
  <c r="Z26"/>
  <c r="G26"/>
  <c r="AR25"/>
  <c r="AQ25"/>
  <c r="AP25"/>
  <c r="AO25"/>
  <c r="AN25"/>
  <c r="AM25"/>
  <c r="AL25"/>
  <c r="AK25"/>
  <c r="AJ25"/>
  <c r="AH25"/>
  <c r="AE25"/>
  <c r="AD25"/>
  <c r="AB25"/>
  <c r="AA25"/>
  <c r="Z25"/>
  <c r="Y25"/>
  <c r="X25"/>
  <c r="W25"/>
  <c r="V25"/>
  <c r="U25"/>
  <c r="S25"/>
  <c r="R25"/>
  <c r="P25"/>
  <c r="M25"/>
  <c r="L25"/>
  <c r="J25"/>
  <c r="I25"/>
  <c r="G24"/>
  <c r="F24"/>
  <c r="G23"/>
  <c r="F23"/>
  <c r="F22" s="1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S22"/>
  <c r="R22"/>
  <c r="T22" s="1"/>
  <c r="P22"/>
  <c r="O22"/>
  <c r="M22"/>
  <c r="L22"/>
  <c r="J22"/>
  <c r="I22"/>
  <c r="G20"/>
  <c r="F20"/>
  <c r="G19"/>
  <c r="F19"/>
  <c r="G18"/>
  <c r="G17" s="1"/>
  <c r="F18"/>
  <c r="F17" s="1"/>
  <c r="AR17"/>
  <c r="AQ17"/>
  <c r="AP17"/>
  <c r="AO17"/>
  <c r="AN17"/>
  <c r="AM17"/>
  <c r="AL17"/>
  <c r="AK17"/>
  <c r="AJ17"/>
  <c r="AI17"/>
  <c r="AH17"/>
  <c r="AG17"/>
  <c r="AE17"/>
  <c r="AD17"/>
  <c r="AF17" s="1"/>
  <c r="AC17"/>
  <c r="AB17"/>
  <c r="AA17"/>
  <c r="Y17"/>
  <c r="Z17" s="1"/>
  <c r="X17"/>
  <c r="V17"/>
  <c r="W17" s="1"/>
  <c r="U17"/>
  <c r="S17"/>
  <c r="R17"/>
  <c r="P17"/>
  <c r="Q17" s="1"/>
  <c r="O17"/>
  <c r="M17"/>
  <c r="N17" s="1"/>
  <c r="L17"/>
  <c r="J17"/>
  <c r="I17"/>
  <c r="AD16"/>
  <c r="F16" s="1"/>
  <c r="F12" s="1"/>
  <c r="G16"/>
  <c r="AM15"/>
  <c r="AJ15"/>
  <c r="AG15"/>
  <c r="AD15"/>
  <c r="AF15" s="1"/>
  <c r="AC15"/>
  <c r="AC13" s="1"/>
  <c r="AA15"/>
  <c r="Z15"/>
  <c r="U15"/>
  <c r="W15" s="1"/>
  <c r="R15"/>
  <c r="T15" s="1"/>
  <c r="O15"/>
  <c r="O13" s="1"/>
  <c r="L15"/>
  <c r="N15" s="1"/>
  <c r="G15"/>
  <c r="AM14"/>
  <c r="AJ14"/>
  <c r="AJ13" s="1"/>
  <c r="AG14"/>
  <c r="AD14"/>
  <c r="AA14"/>
  <c r="X14"/>
  <c r="U14"/>
  <c r="U13" s="1"/>
  <c r="R14"/>
  <c r="R13" s="1"/>
  <c r="L14"/>
  <c r="L13" s="1"/>
  <c r="G14"/>
  <c r="G13" s="1"/>
  <c r="AR13"/>
  <c r="AQ13"/>
  <c r="AO13"/>
  <c r="AN13"/>
  <c r="AL13"/>
  <c r="AK13"/>
  <c r="AH13"/>
  <c r="AE13"/>
  <c r="AB13"/>
  <c r="Y13"/>
  <c r="X13"/>
  <c r="V13"/>
  <c r="S13"/>
  <c r="P13"/>
  <c r="M13"/>
  <c r="J13"/>
  <c r="AR12"/>
  <c r="AR84" s="1"/>
  <c r="AQ12"/>
  <c r="AP12"/>
  <c r="AP84" s="1"/>
  <c r="AO12"/>
  <c r="AN12"/>
  <c r="AN84" s="1"/>
  <c r="AM12"/>
  <c r="AL12"/>
  <c r="AL84" s="1"/>
  <c r="AK12"/>
  <c r="AJ12"/>
  <c r="AJ84" s="1"/>
  <c r="AI12"/>
  <c r="AH12"/>
  <c r="AH84" s="1"/>
  <c r="AG12"/>
  <c r="AE12"/>
  <c r="AE84" s="1"/>
  <c r="AC12"/>
  <c r="AC84" s="1"/>
  <c r="AB12"/>
  <c r="AA12"/>
  <c r="AA84" s="1"/>
  <c r="Z12"/>
  <c r="Y12"/>
  <c r="Y84" s="1"/>
  <c r="X12"/>
  <c r="V12"/>
  <c r="V84" s="1"/>
  <c r="U12"/>
  <c r="S12"/>
  <c r="S84" s="1"/>
  <c r="R12"/>
  <c r="P12"/>
  <c r="P84" s="1"/>
  <c r="O12"/>
  <c r="O84" s="1"/>
  <c r="M12"/>
  <c r="M84" s="1"/>
  <c r="L12"/>
  <c r="J12"/>
  <c r="J84" s="1"/>
  <c r="I12"/>
  <c r="G12"/>
  <c r="AR11"/>
  <c r="AQ11"/>
  <c r="AQ83" s="1"/>
  <c r="AP11"/>
  <c r="AO11"/>
  <c r="AO83" s="1"/>
  <c r="AN11"/>
  <c r="AM11"/>
  <c r="AL11"/>
  <c r="AL83" s="1"/>
  <c r="AK11"/>
  <c r="AK83" s="1"/>
  <c r="AJ11"/>
  <c r="AI11"/>
  <c r="AH11"/>
  <c r="AG11"/>
  <c r="AE11"/>
  <c r="AE83" s="1"/>
  <c r="AD11"/>
  <c r="AD83" s="1"/>
  <c r="AB11"/>
  <c r="AB83" s="1"/>
  <c r="AA11"/>
  <c r="Y11"/>
  <c r="Y83" s="1"/>
  <c r="V11"/>
  <c r="U11"/>
  <c r="U83" s="1"/>
  <c r="S11"/>
  <c r="R11"/>
  <c r="P11"/>
  <c r="P83" s="1"/>
  <c r="O11"/>
  <c r="M11"/>
  <c r="L11"/>
  <c r="J11"/>
  <c r="AR10"/>
  <c r="AR82" s="1"/>
  <c r="AR81" s="1"/>
  <c r="AQ10"/>
  <c r="AP10"/>
  <c r="AP82" s="1"/>
  <c r="AO10"/>
  <c r="AN10"/>
  <c r="AN82" s="1"/>
  <c r="AM10"/>
  <c r="AL10"/>
  <c r="AL82" s="1"/>
  <c r="AK10"/>
  <c r="AJ10"/>
  <c r="AJ82" s="1"/>
  <c r="AH10"/>
  <c r="AG10"/>
  <c r="AG82" s="1"/>
  <c r="AE10"/>
  <c r="AD10"/>
  <c r="AD82" s="1"/>
  <c r="AC10"/>
  <c r="AB10"/>
  <c r="AB82" s="1"/>
  <c r="AA10"/>
  <c r="Z10"/>
  <c r="Z82" s="1"/>
  <c r="Y10"/>
  <c r="X10"/>
  <c r="X82" s="1"/>
  <c r="V10"/>
  <c r="U10"/>
  <c r="U82" s="1"/>
  <c r="S10"/>
  <c r="R10"/>
  <c r="R82" s="1"/>
  <c r="P10"/>
  <c r="O10"/>
  <c r="O82" s="1"/>
  <c r="M10"/>
  <c r="L10"/>
  <c r="L82" s="1"/>
  <c r="J10"/>
  <c r="G10"/>
  <c r="AR9"/>
  <c r="AQ9"/>
  <c r="AH9"/>
  <c r="V9"/>
  <c r="AP79" i="34"/>
  <c r="AJ15"/>
  <c r="AG15"/>
  <c r="X15"/>
  <c r="O15"/>
  <c r="AP14"/>
  <c r="AG14"/>
  <c r="X14"/>
  <c r="O14"/>
  <c r="AJ14"/>
  <c r="AD14"/>
  <c r="AA14"/>
  <c r="U14"/>
  <c r="R14"/>
  <c r="L14"/>
  <c r="AM14"/>
  <c r="I14"/>
  <c r="Z77" i="35" l="1"/>
  <c r="Z64"/>
  <c r="AG13"/>
  <c r="AM13"/>
  <c r="K25"/>
  <c r="O33"/>
  <c r="AB48"/>
  <c r="AJ48"/>
  <c r="AR48"/>
  <c r="Z62"/>
  <c r="S33" i="37"/>
  <c r="L48"/>
  <c r="R48"/>
  <c r="Z62"/>
  <c r="AB62"/>
  <c r="Q84" i="35"/>
  <c r="K34"/>
  <c r="AA33"/>
  <c r="R33"/>
  <c r="AE33"/>
  <c r="AI42"/>
  <c r="H44"/>
  <c r="M62"/>
  <c r="G65"/>
  <c r="W10" i="37"/>
  <c r="W82" s="1"/>
  <c r="K34"/>
  <c r="AF34"/>
  <c r="T35"/>
  <c r="AE33"/>
  <c r="AI56"/>
  <c r="P62"/>
  <c r="AN62"/>
  <c r="W69"/>
  <c r="Z69"/>
  <c r="AI69"/>
  <c r="G10"/>
  <c r="AJ62" i="35"/>
  <c r="AK33" i="37"/>
  <c r="AM33"/>
  <c r="AO33"/>
  <c r="R9" i="35"/>
  <c r="AL9"/>
  <c r="J82"/>
  <c r="M82"/>
  <c r="P82"/>
  <c r="S82"/>
  <c r="V82"/>
  <c r="Y82"/>
  <c r="Y81" s="1"/>
  <c r="AA82"/>
  <c r="AC82"/>
  <c r="AE82"/>
  <c r="AH82"/>
  <c r="AK82"/>
  <c r="AM82"/>
  <c r="AO82"/>
  <c r="AQ82"/>
  <c r="M83"/>
  <c r="S83"/>
  <c r="V83"/>
  <c r="AC11"/>
  <c r="AF83"/>
  <c r="AH83"/>
  <c r="AJ83"/>
  <c r="AN83"/>
  <c r="AP83"/>
  <c r="AR83"/>
  <c r="I84"/>
  <c r="L84"/>
  <c r="R84"/>
  <c r="U84"/>
  <c r="X84"/>
  <c r="Z84"/>
  <c r="AB84"/>
  <c r="AD12"/>
  <c r="AD84" s="1"/>
  <c r="AD81" s="1"/>
  <c r="AG84"/>
  <c r="AI84"/>
  <c r="AK84"/>
  <c r="AM84"/>
  <c r="AO84"/>
  <c r="AQ84"/>
  <c r="Q15"/>
  <c r="T17"/>
  <c r="K22"/>
  <c r="N22"/>
  <c r="Q22"/>
  <c r="W22"/>
  <c r="AF22"/>
  <c r="H29"/>
  <c r="AD33"/>
  <c r="AF33" s="1"/>
  <c r="I33"/>
  <c r="L33"/>
  <c r="N33" s="1"/>
  <c r="T34"/>
  <c r="AK33"/>
  <c r="AO33"/>
  <c r="N35"/>
  <c r="Q42"/>
  <c r="AC42"/>
  <c r="L48"/>
  <c r="O48"/>
  <c r="R48"/>
  <c r="V48"/>
  <c r="Z48"/>
  <c r="AD48"/>
  <c r="AH48"/>
  <c r="AL48"/>
  <c r="AP48"/>
  <c r="G50"/>
  <c r="H50" s="1"/>
  <c r="U48"/>
  <c r="Y48"/>
  <c r="AC48"/>
  <c r="AG48"/>
  <c r="AK48"/>
  <c r="AO48"/>
  <c r="Q56"/>
  <c r="F56"/>
  <c r="H56" s="1"/>
  <c r="Q69"/>
  <c r="AC69"/>
  <c r="H75"/>
  <c r="V9" i="37"/>
  <c r="AL9"/>
  <c r="L10"/>
  <c r="N10" s="1"/>
  <c r="O82"/>
  <c r="S82"/>
  <c r="AA10"/>
  <c r="AA82" s="1"/>
  <c r="AE82"/>
  <c r="AM82"/>
  <c r="V83"/>
  <c r="AD83"/>
  <c r="AH83"/>
  <c r="AJ83"/>
  <c r="AL83"/>
  <c r="AN83"/>
  <c r="AQ83"/>
  <c r="I84"/>
  <c r="L84"/>
  <c r="O84"/>
  <c r="T12"/>
  <c r="U84"/>
  <c r="X84"/>
  <c r="AB84"/>
  <c r="AE84"/>
  <c r="AJ84"/>
  <c r="AN84"/>
  <c r="AR84"/>
  <c r="L13"/>
  <c r="F14"/>
  <c r="H14" s="1"/>
  <c r="K17"/>
  <c r="Q17"/>
  <c r="T17"/>
  <c r="W17"/>
  <c r="Z17"/>
  <c r="Q22"/>
  <c r="T22"/>
  <c r="AF22"/>
  <c r="H26"/>
  <c r="N34"/>
  <c r="T34"/>
  <c r="AN33"/>
  <c r="K35"/>
  <c r="Q35"/>
  <c r="AF35"/>
  <c r="K42"/>
  <c r="Z42"/>
  <c r="H43"/>
  <c r="AC69"/>
  <c r="AP69"/>
  <c r="N77"/>
  <c r="AF77"/>
  <c r="AJ81" i="35"/>
  <c r="AN81"/>
  <c r="K84"/>
  <c r="H19" i="37"/>
  <c r="N10" i="35"/>
  <c r="T11"/>
  <c r="AF11"/>
  <c r="Q12"/>
  <c r="T84"/>
  <c r="AF12"/>
  <c r="T13"/>
  <c r="AD13"/>
  <c r="AF13" s="1"/>
  <c r="Q13"/>
  <c r="AA13"/>
  <c r="AF25"/>
  <c r="T33"/>
  <c r="Q34"/>
  <c r="U33"/>
  <c r="AG33"/>
  <c r="Q35"/>
  <c r="T35"/>
  <c r="AF35"/>
  <c r="H43"/>
  <c r="Z33"/>
  <c r="S48"/>
  <c r="W48"/>
  <c r="AA48"/>
  <c r="AE48"/>
  <c r="AM48"/>
  <c r="AQ48"/>
  <c r="I48"/>
  <c r="AI56"/>
  <c r="AF62"/>
  <c r="L62"/>
  <c r="AF64"/>
  <c r="G69"/>
  <c r="G64"/>
  <c r="F65"/>
  <c r="F73"/>
  <c r="W77"/>
  <c r="AD77"/>
  <c r="AF77" s="1"/>
  <c r="AI77"/>
  <c r="G77"/>
  <c r="Q77"/>
  <c r="AC77"/>
  <c r="X83"/>
  <c r="AF11" i="37"/>
  <c r="K12"/>
  <c r="W13"/>
  <c r="AF13"/>
  <c r="F16"/>
  <c r="F12" s="1"/>
  <c r="F17"/>
  <c r="N22"/>
  <c r="G22"/>
  <c r="G12"/>
  <c r="J33"/>
  <c r="R33"/>
  <c r="L33"/>
  <c r="X33"/>
  <c r="I33"/>
  <c r="K33" s="1"/>
  <c r="U33"/>
  <c r="AC33"/>
  <c r="AG33"/>
  <c r="J84"/>
  <c r="G42"/>
  <c r="W33"/>
  <c r="AI33"/>
  <c r="I48"/>
  <c r="X48"/>
  <c r="AB48"/>
  <c r="AF48"/>
  <c r="AJ48"/>
  <c r="AN48"/>
  <c r="AR48"/>
  <c r="R84"/>
  <c r="V48"/>
  <c r="Z48"/>
  <c r="AD48"/>
  <c r="AH48"/>
  <c r="AL48"/>
  <c r="AP48"/>
  <c r="Q56"/>
  <c r="I62"/>
  <c r="J83"/>
  <c r="V62"/>
  <c r="AA62"/>
  <c r="AD62"/>
  <c r="AH62"/>
  <c r="AL62"/>
  <c r="N69"/>
  <c r="T69"/>
  <c r="AF69"/>
  <c r="H75"/>
  <c r="AC77"/>
  <c r="F63"/>
  <c r="G77"/>
  <c r="W77"/>
  <c r="AI77"/>
  <c r="W10" i="35"/>
  <c r="W11"/>
  <c r="T12"/>
  <c r="W13"/>
  <c r="AI25"/>
  <c r="Q33"/>
  <c r="F33"/>
  <c r="W33"/>
  <c r="AI33"/>
  <c r="Q48"/>
  <c r="H73"/>
  <c r="N64"/>
  <c r="N62" s="1"/>
  <c r="U62"/>
  <c r="AG62"/>
  <c r="AQ81" i="37"/>
  <c r="AF83"/>
  <c r="F22"/>
  <c r="H29"/>
  <c r="T33"/>
  <c r="AB82"/>
  <c r="AJ82"/>
  <c r="AR82"/>
  <c r="AR81" s="1"/>
  <c r="Y33"/>
  <c r="V84"/>
  <c r="V81" s="1"/>
  <c r="Z84"/>
  <c r="AD33"/>
  <c r="AH84"/>
  <c r="AL84"/>
  <c r="AP33"/>
  <c r="U48"/>
  <c r="Y48"/>
  <c r="AC48"/>
  <c r="AG48"/>
  <c r="AK48"/>
  <c r="AO48"/>
  <c r="F48"/>
  <c r="Y82"/>
  <c r="AK82"/>
  <c r="AI62"/>
  <c r="AM62"/>
  <c r="S84"/>
  <c r="W64"/>
  <c r="W62" s="1"/>
  <c r="F65"/>
  <c r="F69"/>
  <c r="H69" s="1"/>
  <c r="M62"/>
  <c r="Q77"/>
  <c r="Q64"/>
  <c r="L83"/>
  <c r="Q69"/>
  <c r="N64"/>
  <c r="N62" s="1"/>
  <c r="M33"/>
  <c r="N33" s="1"/>
  <c r="G33"/>
  <c r="H44"/>
  <c r="G82"/>
  <c r="AF25"/>
  <c r="G25"/>
  <c r="F25"/>
  <c r="J9"/>
  <c r="N17"/>
  <c r="G17"/>
  <c r="H17" s="1"/>
  <c r="N11"/>
  <c r="N13"/>
  <c r="AM81"/>
  <c r="Q84"/>
  <c r="P82"/>
  <c r="P81" s="1"/>
  <c r="Q12"/>
  <c r="Q10"/>
  <c r="G13"/>
  <c r="O13"/>
  <c r="Q13" s="1"/>
  <c r="R11"/>
  <c r="T11" s="1"/>
  <c r="R13"/>
  <c r="T13" s="1"/>
  <c r="O62"/>
  <c r="Q62" s="1"/>
  <c r="AP64"/>
  <c r="AP62" s="1"/>
  <c r="O48"/>
  <c r="Q48" s="1"/>
  <c r="Q50"/>
  <c r="F56"/>
  <c r="H56" s="1"/>
  <c r="R64"/>
  <c r="T79"/>
  <c r="F79"/>
  <c r="F77" s="1"/>
  <c r="H77" s="1"/>
  <c r="T77"/>
  <c r="T64"/>
  <c r="R64" i="35"/>
  <c r="R62" s="1"/>
  <c r="T62" s="1"/>
  <c r="L83"/>
  <c r="L81" s="1"/>
  <c r="R77"/>
  <c r="T77" s="1"/>
  <c r="J81" i="37"/>
  <c r="AE81"/>
  <c r="Z9"/>
  <c r="Z83"/>
  <c r="Z81" s="1"/>
  <c r="AG9"/>
  <c r="G84"/>
  <c r="S81"/>
  <c r="F10"/>
  <c r="H10" s="1"/>
  <c r="AD84"/>
  <c r="AF12"/>
  <c r="H34"/>
  <c r="AF33"/>
  <c r="AB81"/>
  <c r="AJ81"/>
  <c r="K84"/>
  <c r="T84"/>
  <c r="AI83"/>
  <c r="AI81" s="1"/>
  <c r="N84"/>
  <c r="R82"/>
  <c r="AD82"/>
  <c r="AF82" s="1"/>
  <c r="AD9"/>
  <c r="AP82"/>
  <c r="AP9"/>
  <c r="H50"/>
  <c r="G48"/>
  <c r="H48" s="1"/>
  <c r="AA81"/>
  <c r="AH81"/>
  <c r="AL81"/>
  <c r="Z33"/>
  <c r="AF84"/>
  <c r="U82"/>
  <c r="AG82"/>
  <c r="AO82"/>
  <c r="AK9"/>
  <c r="G11"/>
  <c r="G9" s="1"/>
  <c r="O11"/>
  <c r="O83" s="1"/>
  <c r="Q83" s="1"/>
  <c r="I13"/>
  <c r="K13" s="1"/>
  <c r="AG13"/>
  <c r="AP13"/>
  <c r="V33"/>
  <c r="AH33"/>
  <c r="S62"/>
  <c r="AE62"/>
  <c r="AF62" s="1"/>
  <c r="L82"/>
  <c r="X82"/>
  <c r="X81" s="1"/>
  <c r="AN82"/>
  <c r="AN81" s="1"/>
  <c r="M83"/>
  <c r="N83" s="1"/>
  <c r="AO83"/>
  <c r="AP84"/>
  <c r="S9"/>
  <c r="AA9"/>
  <c r="AE9"/>
  <c r="AI9"/>
  <c r="AM9"/>
  <c r="T10"/>
  <c r="AF10"/>
  <c r="I11"/>
  <c r="U11"/>
  <c r="N12"/>
  <c r="K14"/>
  <c r="F15"/>
  <c r="F13" s="1"/>
  <c r="W15"/>
  <c r="AC15"/>
  <c r="P33"/>
  <c r="Q33" s="1"/>
  <c r="AB33"/>
  <c r="AJ33"/>
  <c r="AR33"/>
  <c r="Q34"/>
  <c r="F35"/>
  <c r="H35" s="1"/>
  <c r="N35"/>
  <c r="H58"/>
  <c r="Y62"/>
  <c r="AK62"/>
  <c r="G64"/>
  <c r="H71"/>
  <c r="G73"/>
  <c r="H73" s="1"/>
  <c r="M9"/>
  <c r="Y9"/>
  <c r="AO9"/>
  <c r="AL33"/>
  <c r="F42"/>
  <c r="H42" s="1"/>
  <c r="Y83"/>
  <c r="Y81" s="1"/>
  <c r="AK83"/>
  <c r="AK81" s="1"/>
  <c r="L9"/>
  <c r="P9"/>
  <c r="X9"/>
  <c r="AB9"/>
  <c r="AJ9"/>
  <c r="AN9"/>
  <c r="I10"/>
  <c r="AC10"/>
  <c r="U64"/>
  <c r="U62" s="1"/>
  <c r="AG64"/>
  <c r="AG83" s="1"/>
  <c r="I10" i="35"/>
  <c r="I82" s="1"/>
  <c r="F14"/>
  <c r="G35"/>
  <c r="H35" s="1"/>
  <c r="J83"/>
  <c r="K35"/>
  <c r="J33"/>
  <c r="G25"/>
  <c r="G22"/>
  <c r="H22" s="1"/>
  <c r="G11"/>
  <c r="G83" s="1"/>
  <c r="J9"/>
  <c r="X81"/>
  <c r="I11"/>
  <c r="F15"/>
  <c r="F11" s="1"/>
  <c r="I13"/>
  <c r="K13" s="1"/>
  <c r="AP9"/>
  <c r="AP13"/>
  <c r="Q82"/>
  <c r="P81"/>
  <c r="F84"/>
  <c r="H12"/>
  <c r="K82"/>
  <c r="J81"/>
  <c r="T82"/>
  <c r="S81"/>
  <c r="N82"/>
  <c r="M81"/>
  <c r="AF82"/>
  <c r="AE81"/>
  <c r="Z13"/>
  <c r="Z11"/>
  <c r="AH81"/>
  <c r="AB81"/>
  <c r="AL81"/>
  <c r="W82"/>
  <c r="AK81"/>
  <c r="AO81"/>
  <c r="AG83"/>
  <c r="AG81" s="1"/>
  <c r="G84"/>
  <c r="N84"/>
  <c r="AF84"/>
  <c r="H17"/>
  <c r="AC33"/>
  <c r="G48"/>
  <c r="AI48"/>
  <c r="K33"/>
  <c r="F13"/>
  <c r="H13" s="1"/>
  <c r="U81"/>
  <c r="AP81"/>
  <c r="U9"/>
  <c r="W9" s="1"/>
  <c r="Y9"/>
  <c r="AG9"/>
  <c r="AO9"/>
  <c r="L9"/>
  <c r="P9"/>
  <c r="X9"/>
  <c r="AB9"/>
  <c r="AJ9"/>
  <c r="AN9"/>
  <c r="Q10"/>
  <c r="N11"/>
  <c r="K12"/>
  <c r="W12"/>
  <c r="W84" s="1"/>
  <c r="O9"/>
  <c r="S9"/>
  <c r="T9" s="1"/>
  <c r="AA9"/>
  <c r="AE9"/>
  <c r="AM9"/>
  <c r="T10"/>
  <c r="AF10"/>
  <c r="Q11"/>
  <c r="N12"/>
  <c r="K17"/>
  <c r="F26"/>
  <c r="AI26"/>
  <c r="AI10" s="1"/>
  <c r="N34"/>
  <c r="G42"/>
  <c r="H42" s="1"/>
  <c r="K42"/>
  <c r="O64"/>
  <c r="AA64"/>
  <c r="AA83" s="1"/>
  <c r="AA81" s="1"/>
  <c r="AM64"/>
  <c r="AM83" s="1"/>
  <c r="AM81" s="1"/>
  <c r="F69"/>
  <c r="H69" s="1"/>
  <c r="N77"/>
  <c r="Q79"/>
  <c r="W79"/>
  <c r="W64" s="1"/>
  <c r="AC79"/>
  <c r="AC64" s="1"/>
  <c r="AC62" s="1"/>
  <c r="AI79"/>
  <c r="AI64" s="1"/>
  <c r="N13"/>
  <c r="M9"/>
  <c r="AC9"/>
  <c r="AK9"/>
  <c r="F49"/>
  <c r="F48" s="1"/>
  <c r="G63"/>
  <c r="G62" s="1"/>
  <c r="F79"/>
  <c r="F64" s="1"/>
  <c r="H64" s="1"/>
  <c r="O25"/>
  <c r="G34"/>
  <c r="AD16" i="34"/>
  <c r="AD12" s="1"/>
  <c r="AQ12"/>
  <c r="AP12"/>
  <c r="AN12"/>
  <c r="AM12"/>
  <c r="AK12"/>
  <c r="AJ12"/>
  <c r="AH12"/>
  <c r="AG12"/>
  <c r="AE12"/>
  <c r="AB12"/>
  <c r="AA12"/>
  <c r="Y12"/>
  <c r="X12"/>
  <c r="V12"/>
  <c r="U12"/>
  <c r="S12"/>
  <c r="R12"/>
  <c r="P12"/>
  <c r="O12"/>
  <c r="M12"/>
  <c r="L12"/>
  <c r="J12"/>
  <c r="I12"/>
  <c r="AQ11"/>
  <c r="AN11"/>
  <c r="AK11"/>
  <c r="AH11"/>
  <c r="AE11"/>
  <c r="AB11"/>
  <c r="Y11"/>
  <c r="V11"/>
  <c r="S11"/>
  <c r="P11"/>
  <c r="M11"/>
  <c r="J11"/>
  <c r="AQ10"/>
  <c r="AN10"/>
  <c r="AK10"/>
  <c r="AH10"/>
  <c r="AE10"/>
  <c r="AB10"/>
  <c r="Y10"/>
  <c r="V10"/>
  <c r="S10"/>
  <c r="P10"/>
  <c r="M10"/>
  <c r="J10"/>
  <c r="AP10"/>
  <c r="AM10"/>
  <c r="AJ10"/>
  <c r="AD10"/>
  <c r="AA10"/>
  <c r="X10"/>
  <c r="U10"/>
  <c r="R10"/>
  <c r="I10"/>
  <c r="H79" i="37" l="1"/>
  <c r="G82" i="35"/>
  <c r="H12" i="37"/>
  <c r="AQ81" i="35"/>
  <c r="AF81"/>
  <c r="AP83" i="37"/>
  <c r="H16"/>
  <c r="V81" i="35"/>
  <c r="AD9"/>
  <c r="AF9" s="1"/>
  <c r="AF9" i="37"/>
  <c r="AI83" i="35"/>
  <c r="AI62"/>
  <c r="AC83"/>
  <c r="AC81" s="1"/>
  <c r="AA62"/>
  <c r="R83"/>
  <c r="T83" s="1"/>
  <c r="N83"/>
  <c r="H25" i="37"/>
  <c r="F84"/>
  <c r="H84" s="1"/>
  <c r="H22"/>
  <c r="L81"/>
  <c r="Q82"/>
  <c r="O9"/>
  <c r="Q9" s="1"/>
  <c r="N9"/>
  <c r="H13"/>
  <c r="R9"/>
  <c r="T9" s="1"/>
  <c r="AP81"/>
  <c r="L86" s="1"/>
  <c r="R62"/>
  <c r="T62" s="1"/>
  <c r="R83"/>
  <c r="T83" s="1"/>
  <c r="F64"/>
  <c r="F62" s="1"/>
  <c r="O81"/>
  <c r="T64" i="35"/>
  <c r="N81"/>
  <c r="G62" i="37"/>
  <c r="U83"/>
  <c r="U81" s="1"/>
  <c r="W11"/>
  <c r="W83" s="1"/>
  <c r="W81" s="1"/>
  <c r="U9"/>
  <c r="W9" s="1"/>
  <c r="I82"/>
  <c r="K10"/>
  <c r="I9"/>
  <c r="K9" s="1"/>
  <c r="AC13"/>
  <c r="AC11"/>
  <c r="AC83" s="1"/>
  <c r="G83"/>
  <c r="AC82"/>
  <c r="I83"/>
  <c r="K83" s="1"/>
  <c r="K11"/>
  <c r="F11"/>
  <c r="H15"/>
  <c r="F82"/>
  <c r="AG62"/>
  <c r="AG81"/>
  <c r="AD81"/>
  <c r="AF81" s="1"/>
  <c r="T82"/>
  <c r="M81"/>
  <c r="N81" s="1"/>
  <c r="Q11"/>
  <c r="AO81"/>
  <c r="N82"/>
  <c r="F33"/>
  <c r="H33" s="1"/>
  <c r="K10" i="35"/>
  <c r="H11"/>
  <c r="G9"/>
  <c r="H15"/>
  <c r="I83"/>
  <c r="K11"/>
  <c r="I9"/>
  <c r="K9" s="1"/>
  <c r="W83"/>
  <c r="W62"/>
  <c r="F25"/>
  <c r="H25" s="1"/>
  <c r="H26"/>
  <c r="Z83"/>
  <c r="Z81" s="1"/>
  <c r="Z9"/>
  <c r="AI82"/>
  <c r="AI81" s="1"/>
  <c r="AI9"/>
  <c r="G81"/>
  <c r="H34"/>
  <c r="G33"/>
  <c r="H33" s="1"/>
  <c r="Q64"/>
  <c r="O62"/>
  <c r="F77"/>
  <c r="H77" s="1"/>
  <c r="AM62"/>
  <c r="F83"/>
  <c r="H83" s="1"/>
  <c r="W81"/>
  <c r="F62"/>
  <c r="H62" s="1"/>
  <c r="Q9"/>
  <c r="H84"/>
  <c r="N9"/>
  <c r="H79"/>
  <c r="F10"/>
  <c r="H48"/>
  <c r="O83"/>
  <c r="O11" i="34"/>
  <c r="U15"/>
  <c r="U11" s="1"/>
  <c r="K86" i="37" l="1"/>
  <c r="Q81"/>
  <c r="AC9"/>
  <c r="R81" i="35"/>
  <c r="T81" s="1"/>
  <c r="H62" i="37"/>
  <c r="F83"/>
  <c r="H83" s="1"/>
  <c r="H64"/>
  <c r="F9"/>
  <c r="H9" s="1"/>
  <c r="H11"/>
  <c r="R81"/>
  <c r="T81" s="1"/>
  <c r="I81"/>
  <c r="K81" s="1"/>
  <c r="K82"/>
  <c r="G81"/>
  <c r="H82"/>
  <c r="AC81"/>
  <c r="K83" i="35"/>
  <c r="I81"/>
  <c r="K81" s="1"/>
  <c r="F9"/>
  <c r="H9" s="1"/>
  <c r="F82"/>
  <c r="H10"/>
  <c r="Q62"/>
  <c r="Q83"/>
  <c r="O81"/>
  <c r="Q81" s="1"/>
  <c r="AP15" i="34"/>
  <c r="AP11" s="1"/>
  <c r="AM15"/>
  <c r="AM11" s="1"/>
  <c r="AJ11"/>
  <c r="AG11"/>
  <c r="AD15"/>
  <c r="AD11" s="1"/>
  <c r="AA15"/>
  <c r="AA11" s="1"/>
  <c r="X11"/>
  <c r="R15"/>
  <c r="R11" s="1"/>
  <c r="L15"/>
  <c r="L11" s="1"/>
  <c r="I15"/>
  <c r="I11" s="1"/>
  <c r="L10"/>
  <c r="AG26"/>
  <c r="AG10" s="1"/>
  <c r="O26"/>
  <c r="J86" i="37" l="1"/>
  <c r="I86"/>
  <c r="F81"/>
  <c r="H81" s="1"/>
  <c r="F81" i="35"/>
  <c r="H81" s="1"/>
  <c r="H82"/>
  <c r="O10" i="34"/>
  <c r="I25"/>
  <c r="L25"/>
  <c r="O25"/>
  <c r="R25"/>
  <c r="U25"/>
  <c r="X25"/>
  <c r="Y25"/>
  <c r="AA25"/>
  <c r="AD25"/>
  <c r="AE25"/>
  <c r="AG25"/>
  <c r="AH25"/>
  <c r="AJ25"/>
  <c r="AM25"/>
  <c r="AP25"/>
  <c r="AG79" l="1"/>
  <c r="X79"/>
  <c r="Z79" s="1"/>
  <c r="O79"/>
  <c r="AM79"/>
  <c r="AJ79"/>
  <c r="AD79"/>
  <c r="AA79"/>
  <c r="U79"/>
  <c r="R79"/>
  <c r="L79"/>
  <c r="AV21"/>
  <c r="AU21"/>
  <c r="AW21" l="1"/>
  <c r="AI26"/>
  <c r="AP22"/>
  <c r="AI22"/>
  <c r="AG17"/>
  <c r="AP13"/>
  <c r="AG13"/>
  <c r="AV79"/>
  <c r="AV71"/>
  <c r="AV58"/>
  <c r="AV43"/>
  <c r="AV26"/>
  <c r="AV23"/>
  <c r="AV20"/>
  <c r="AU58"/>
  <c r="AI79"/>
  <c r="AI71"/>
  <c r="AI58"/>
  <c r="AI50" s="1"/>
  <c r="AI44"/>
  <c r="AI35" s="1"/>
  <c r="AI43"/>
  <c r="AI34" s="1"/>
  <c r="AG42"/>
  <c r="G80"/>
  <c r="F80"/>
  <c r="AU79"/>
  <c r="AC79"/>
  <c r="Z77"/>
  <c r="W79"/>
  <c r="T79"/>
  <c r="Q79"/>
  <c r="N79"/>
  <c r="G79"/>
  <c r="G78"/>
  <c r="F78"/>
  <c r="AO77"/>
  <c r="AN77"/>
  <c r="AM77"/>
  <c r="AL77"/>
  <c r="AK77"/>
  <c r="AJ77"/>
  <c r="AH77"/>
  <c r="AG77"/>
  <c r="AE77"/>
  <c r="AB77"/>
  <c r="AA77"/>
  <c r="Y77"/>
  <c r="X77"/>
  <c r="V77"/>
  <c r="U77"/>
  <c r="S77"/>
  <c r="R77"/>
  <c r="P77"/>
  <c r="O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F71"/>
  <c r="AC71"/>
  <c r="Z71"/>
  <c r="W71"/>
  <c r="T71"/>
  <c r="Q71"/>
  <c r="N71"/>
  <c r="G71"/>
  <c r="G70"/>
  <c r="F70"/>
  <c r="AP69"/>
  <c r="AO69"/>
  <c r="AN69"/>
  <c r="AM69"/>
  <c r="AL69"/>
  <c r="AK69"/>
  <c r="AH69"/>
  <c r="AG69"/>
  <c r="AE69"/>
  <c r="AD69"/>
  <c r="AB69"/>
  <c r="AA69"/>
  <c r="Y69"/>
  <c r="X69"/>
  <c r="V69"/>
  <c r="U69"/>
  <c r="S69"/>
  <c r="R69"/>
  <c r="P69"/>
  <c r="O69"/>
  <c r="M69"/>
  <c r="L69"/>
  <c r="J69"/>
  <c r="AV69" s="1"/>
  <c r="I69"/>
  <c r="AU69" s="1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M64"/>
  <c r="AL64"/>
  <c r="AK64"/>
  <c r="AH64"/>
  <c r="AG64"/>
  <c r="AE64"/>
  <c r="AB64"/>
  <c r="AA64"/>
  <c r="Y64"/>
  <c r="X64"/>
  <c r="V64"/>
  <c r="U64"/>
  <c r="S64"/>
  <c r="R64"/>
  <c r="P64"/>
  <c r="O64"/>
  <c r="M64"/>
  <c r="J64"/>
  <c r="I64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S63"/>
  <c r="R63"/>
  <c r="P63"/>
  <c r="O63"/>
  <c r="N63"/>
  <c r="M63"/>
  <c r="L63"/>
  <c r="J63"/>
  <c r="I63"/>
  <c r="AR62"/>
  <c r="AQ62"/>
  <c r="G59"/>
  <c r="G51" s="1"/>
  <c r="F59"/>
  <c r="F51" s="1"/>
  <c r="Z58"/>
  <c r="Z50" s="1"/>
  <c r="W50"/>
  <c r="Q58"/>
  <c r="G58"/>
  <c r="F58"/>
  <c r="F50" s="1"/>
  <c r="G57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Y50"/>
  <c r="X50"/>
  <c r="V50"/>
  <c r="U50"/>
  <c r="T50"/>
  <c r="S50"/>
  <c r="R50"/>
  <c r="P50"/>
  <c r="O50"/>
  <c r="M50"/>
  <c r="L50"/>
  <c r="J50"/>
  <c r="I50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P49"/>
  <c r="O49"/>
  <c r="M49"/>
  <c r="L49"/>
  <c r="J49"/>
  <c r="I49"/>
  <c r="G49"/>
  <c r="G45"/>
  <c r="G36" s="1"/>
  <c r="F45"/>
  <c r="F36" s="1"/>
  <c r="AF44"/>
  <c r="AC44"/>
  <c r="AC35" s="1"/>
  <c r="Z44"/>
  <c r="Z35" s="1"/>
  <c r="W44"/>
  <c r="W35" s="1"/>
  <c r="AV44"/>
  <c r="Q44"/>
  <c r="N44"/>
  <c r="K44"/>
  <c r="AF43"/>
  <c r="AC43"/>
  <c r="AC34" s="1"/>
  <c r="Z43"/>
  <c r="Z34" s="1"/>
  <c r="W43"/>
  <c r="W34" s="1"/>
  <c r="T43"/>
  <c r="O42"/>
  <c r="N43"/>
  <c r="K43"/>
  <c r="G43"/>
  <c r="G34" s="1"/>
  <c r="AP42"/>
  <c r="AO42"/>
  <c r="AN42"/>
  <c r="AM42"/>
  <c r="AL42"/>
  <c r="AK42"/>
  <c r="AJ42"/>
  <c r="AH42"/>
  <c r="AE42"/>
  <c r="AD42"/>
  <c r="AB42"/>
  <c r="AA42"/>
  <c r="Y42"/>
  <c r="V42"/>
  <c r="U42"/>
  <c r="P42"/>
  <c r="M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AR35"/>
  <c r="AQ35"/>
  <c r="AP35"/>
  <c r="AO35"/>
  <c r="AN35"/>
  <c r="AM35"/>
  <c r="AL35"/>
  <c r="AK35"/>
  <c r="AJ35"/>
  <c r="AH35"/>
  <c r="AG35"/>
  <c r="AE35"/>
  <c r="AD35"/>
  <c r="AB35"/>
  <c r="AA35"/>
  <c r="Y35"/>
  <c r="V35"/>
  <c r="U35"/>
  <c r="P35"/>
  <c r="M35"/>
  <c r="J35"/>
  <c r="I35"/>
  <c r="AR34"/>
  <c r="AQ34"/>
  <c r="AP34"/>
  <c r="AO34"/>
  <c r="AN34"/>
  <c r="AM34"/>
  <c r="AL34"/>
  <c r="AK34"/>
  <c r="AJ34"/>
  <c r="AH34"/>
  <c r="AG34"/>
  <c r="AE34"/>
  <c r="AD34"/>
  <c r="AB34"/>
  <c r="AA34"/>
  <c r="Y34"/>
  <c r="V34"/>
  <c r="U34"/>
  <c r="S34"/>
  <c r="R34"/>
  <c r="P34"/>
  <c r="M34"/>
  <c r="L34"/>
  <c r="J34"/>
  <c r="I34"/>
  <c r="AO12"/>
  <c r="AL12"/>
  <c r="AR11"/>
  <c r="AR10"/>
  <c r="AO10"/>
  <c r="AL10"/>
  <c r="G31"/>
  <c r="F31"/>
  <c r="G30"/>
  <c r="G29" s="1"/>
  <c r="F30"/>
  <c r="AR29"/>
  <c r="AQ29"/>
  <c r="AP29"/>
  <c r="AO29"/>
  <c r="AN29"/>
  <c r="AM29"/>
  <c r="AL29"/>
  <c r="AK29"/>
  <c r="AJ29"/>
  <c r="AH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F26"/>
  <c r="AC26"/>
  <c r="AC25" s="1"/>
  <c r="Z26"/>
  <c r="Z25" s="1"/>
  <c r="G26"/>
  <c r="AR25"/>
  <c r="AQ25"/>
  <c r="AO25"/>
  <c r="AN25"/>
  <c r="AL25"/>
  <c r="AK25"/>
  <c r="AB25"/>
  <c r="W25"/>
  <c r="V25"/>
  <c r="S25"/>
  <c r="P25"/>
  <c r="M25"/>
  <c r="K25"/>
  <c r="J25"/>
  <c r="G24"/>
  <c r="F24"/>
  <c r="AM22"/>
  <c r="AJ22"/>
  <c r="Z22"/>
  <c r="U22"/>
  <c r="G23"/>
  <c r="AR22"/>
  <c r="AQ22"/>
  <c r="AO22"/>
  <c r="AN22"/>
  <c r="AL22"/>
  <c r="AK22"/>
  <c r="AH22"/>
  <c r="AE22"/>
  <c r="AB22"/>
  <c r="Y22"/>
  <c r="V22"/>
  <c r="S22"/>
  <c r="P22"/>
  <c r="M22"/>
  <c r="J22"/>
  <c r="G20"/>
  <c r="G19"/>
  <c r="F19"/>
  <c r="AM17"/>
  <c r="AV18"/>
  <c r="R17"/>
  <c r="AR17"/>
  <c r="AQ17"/>
  <c r="AO17"/>
  <c r="AN17"/>
  <c r="AL17"/>
  <c r="AK17"/>
  <c r="AH17"/>
  <c r="AE17"/>
  <c r="AB17"/>
  <c r="Y17"/>
  <c r="S17"/>
  <c r="P17"/>
  <c r="M17"/>
  <c r="J17"/>
  <c r="I17"/>
  <c r="G16"/>
  <c r="F16"/>
  <c r="AM13"/>
  <c r="AJ13"/>
  <c r="AF15"/>
  <c r="AA13"/>
  <c r="Z15"/>
  <c r="Z13" s="1"/>
  <c r="T15"/>
  <c r="O13"/>
  <c r="M13"/>
  <c r="L13"/>
  <c r="J13"/>
  <c r="I13"/>
  <c r="G14"/>
  <c r="F14"/>
  <c r="AR13"/>
  <c r="AQ13"/>
  <c r="AO13"/>
  <c r="AN13"/>
  <c r="AL13"/>
  <c r="AK13"/>
  <c r="AH13"/>
  <c r="AE13"/>
  <c r="AB13"/>
  <c r="Y13"/>
  <c r="V13"/>
  <c r="S13"/>
  <c r="P13"/>
  <c r="AR12"/>
  <c r="AO11"/>
  <c r="AL11"/>
  <c r="H75" l="1"/>
  <c r="G12"/>
  <c r="F29"/>
  <c r="H29" s="1"/>
  <c r="G65"/>
  <c r="F73"/>
  <c r="G25"/>
  <c r="J82"/>
  <c r="V33"/>
  <c r="AN62"/>
  <c r="M83"/>
  <c r="G63"/>
  <c r="U17"/>
  <c r="AG22"/>
  <c r="AI25"/>
  <c r="X34"/>
  <c r="X82" s="1"/>
  <c r="L35"/>
  <c r="N35" s="1"/>
  <c r="L17"/>
  <c r="N17" s="1"/>
  <c r="AQ82"/>
  <c r="K17"/>
  <c r="W33"/>
  <c r="I84"/>
  <c r="AA22"/>
  <c r="Y82"/>
  <c r="AO82"/>
  <c r="AG84"/>
  <c r="O34"/>
  <c r="AU34" s="1"/>
  <c r="AL33"/>
  <c r="AE48"/>
  <c r="AK9"/>
  <c r="AW58"/>
  <c r="J83"/>
  <c r="U84"/>
  <c r="AD13"/>
  <c r="AF13" s="1"/>
  <c r="U83"/>
  <c r="O22"/>
  <c r="Q22" s="1"/>
  <c r="AG82"/>
  <c r="AR82"/>
  <c r="P84"/>
  <c r="S84"/>
  <c r="AH84"/>
  <c r="AL84"/>
  <c r="AA33"/>
  <c r="AM33"/>
  <c r="AQ33"/>
  <c r="W42"/>
  <c r="AC42"/>
  <c r="AF42"/>
  <c r="J48"/>
  <c r="S48"/>
  <c r="U48"/>
  <c r="AC48"/>
  <c r="AG48"/>
  <c r="AU50"/>
  <c r="AB62"/>
  <c r="AD64"/>
  <c r="AF64" s="1"/>
  <c r="Q69"/>
  <c r="AC69"/>
  <c r="N64"/>
  <c r="N62" s="1"/>
  <c r="Z64"/>
  <c r="Z62" s="1"/>
  <c r="AV77"/>
  <c r="Q77"/>
  <c r="AC77"/>
  <c r="W64"/>
  <c r="W62" s="1"/>
  <c r="AJ17"/>
  <c r="M48"/>
  <c r="S82"/>
  <c r="AB82"/>
  <c r="K11"/>
  <c r="AL83"/>
  <c r="AQ83"/>
  <c r="O84"/>
  <c r="N13"/>
  <c r="AU20"/>
  <c r="AW20" s="1"/>
  <c r="AV29"/>
  <c r="AR9"/>
  <c r="AK82"/>
  <c r="AN83"/>
  <c r="AP83"/>
  <c r="J33"/>
  <c r="AU43"/>
  <c r="AW43" s="1"/>
  <c r="G44"/>
  <c r="G42" s="1"/>
  <c r="I48"/>
  <c r="R48"/>
  <c r="Z48"/>
  <c r="AD48"/>
  <c r="AU56"/>
  <c r="AI56"/>
  <c r="F56"/>
  <c r="AC64"/>
  <c r="AC62" s="1"/>
  <c r="AI77"/>
  <c r="AW79"/>
  <c r="W22"/>
  <c r="AP33"/>
  <c r="R13"/>
  <c r="T13" s="1"/>
  <c r="X17"/>
  <c r="Z17" s="1"/>
  <c r="AV22"/>
  <c r="AF25"/>
  <c r="AV34"/>
  <c r="AD33"/>
  <c r="O35"/>
  <c r="AF35"/>
  <c r="F43"/>
  <c r="F34" s="1"/>
  <c r="H34" s="1"/>
  <c r="F49"/>
  <c r="F48" s="1"/>
  <c r="P48"/>
  <c r="Y48"/>
  <c r="AK48"/>
  <c r="AM48"/>
  <c r="AO48"/>
  <c r="Q50"/>
  <c r="X48"/>
  <c r="AV56"/>
  <c r="Q56"/>
  <c r="J62"/>
  <c r="I62"/>
  <c r="AV64"/>
  <c r="S62"/>
  <c r="X62"/>
  <c r="Z69"/>
  <c r="F65"/>
  <c r="T77"/>
  <c r="AD77"/>
  <c r="AU77" s="1"/>
  <c r="AF79"/>
  <c r="AI17"/>
  <c r="AW69"/>
  <c r="Q13"/>
  <c r="AM83"/>
  <c r="Z12"/>
  <c r="Z84" s="1"/>
  <c r="AD84"/>
  <c r="U33"/>
  <c r="AC33"/>
  <c r="AA48"/>
  <c r="H58"/>
  <c r="V83"/>
  <c r="P62"/>
  <c r="F63"/>
  <c r="AI12"/>
  <c r="AI84" s="1"/>
  <c r="AI42"/>
  <c r="AI48"/>
  <c r="AV13"/>
  <c r="AU18"/>
  <c r="AW18" s="1"/>
  <c r="AU23"/>
  <c r="AW23" s="1"/>
  <c r="AU44"/>
  <c r="AW44" s="1"/>
  <c r="AU71"/>
  <c r="AW71" s="1"/>
  <c r="AV25"/>
  <c r="L82"/>
  <c r="V82"/>
  <c r="AA82"/>
  <c r="AM82"/>
  <c r="AO9"/>
  <c r="X13"/>
  <c r="G15"/>
  <c r="K15"/>
  <c r="K13" s="1"/>
  <c r="V17"/>
  <c r="AV17" s="1"/>
  <c r="G18"/>
  <c r="G10" s="1"/>
  <c r="T17"/>
  <c r="F26"/>
  <c r="F25" s="1"/>
  <c r="H25" s="1"/>
  <c r="AG29"/>
  <c r="AU29" s="1"/>
  <c r="AM84"/>
  <c r="K34"/>
  <c r="T34"/>
  <c r="AF34"/>
  <c r="AH33"/>
  <c r="AJ33"/>
  <c r="AN33"/>
  <c r="AR33"/>
  <c r="K42"/>
  <c r="Q42"/>
  <c r="Q43"/>
  <c r="Z33"/>
  <c r="AP48"/>
  <c r="O48"/>
  <c r="AQ48"/>
  <c r="AF48"/>
  <c r="W48"/>
  <c r="Q64"/>
  <c r="AA62"/>
  <c r="T69"/>
  <c r="AF69"/>
  <c r="AI69"/>
  <c r="W77"/>
  <c r="AU26"/>
  <c r="AW26" s="1"/>
  <c r="AV15"/>
  <c r="AV50"/>
  <c r="AU15"/>
  <c r="X84"/>
  <c r="AB84"/>
  <c r="AJ84"/>
  <c r="AN84"/>
  <c r="AR84"/>
  <c r="AB83"/>
  <c r="AH83"/>
  <c r="AR83"/>
  <c r="AP84"/>
  <c r="AQ84"/>
  <c r="H73"/>
  <c r="M62"/>
  <c r="R62"/>
  <c r="AE62"/>
  <c r="AM62"/>
  <c r="AI10"/>
  <c r="AI82" s="1"/>
  <c r="G64"/>
  <c r="AI64"/>
  <c r="AI62" s="1"/>
  <c r="AI33"/>
  <c r="G84"/>
  <c r="AH9"/>
  <c r="AN82"/>
  <c r="AN9"/>
  <c r="AE83"/>
  <c r="O17"/>
  <c r="Q17" s="1"/>
  <c r="AC22"/>
  <c r="P33"/>
  <c r="K35"/>
  <c r="I33"/>
  <c r="Y33"/>
  <c r="Y83"/>
  <c r="AJ64"/>
  <c r="AJ62" s="1"/>
  <c r="AJ69"/>
  <c r="N15"/>
  <c r="AP17"/>
  <c r="F20"/>
  <c r="F12" s="1"/>
  <c r="L84"/>
  <c r="AA84"/>
  <c r="AA17"/>
  <c r="R22"/>
  <c r="T22" s="1"/>
  <c r="M33"/>
  <c r="AK33"/>
  <c r="AK83"/>
  <c r="AO33"/>
  <c r="AO83"/>
  <c r="H43"/>
  <c r="T44"/>
  <c r="S42"/>
  <c r="AV42" s="1"/>
  <c r="S35"/>
  <c r="AV35" s="1"/>
  <c r="AP77"/>
  <c r="F79"/>
  <c r="F77" s="1"/>
  <c r="W11"/>
  <c r="U13"/>
  <c r="W13" s="1"/>
  <c r="AE33"/>
  <c r="AB48"/>
  <c r="AJ48"/>
  <c r="AR48"/>
  <c r="AE82"/>
  <c r="M84"/>
  <c r="AE9"/>
  <c r="AA83"/>
  <c r="AI11"/>
  <c r="Y84"/>
  <c r="AK84"/>
  <c r="L22"/>
  <c r="N22" s="1"/>
  <c r="X22"/>
  <c r="AQ9"/>
  <c r="AB33"/>
  <c r="X35"/>
  <c r="AG33"/>
  <c r="L42"/>
  <c r="X42"/>
  <c r="Z42" s="1"/>
  <c r="G50"/>
  <c r="H50" s="1"/>
  <c r="Z56"/>
  <c r="O62"/>
  <c r="V62"/>
  <c r="AH62"/>
  <c r="AL62"/>
  <c r="AP62"/>
  <c r="T64"/>
  <c r="N69"/>
  <c r="F71"/>
  <c r="H71" s="1"/>
  <c r="J84"/>
  <c r="K12"/>
  <c r="V84"/>
  <c r="AD22"/>
  <c r="AF22" s="1"/>
  <c r="N34"/>
  <c r="G22"/>
  <c r="R84"/>
  <c r="T12"/>
  <c r="AD17"/>
  <c r="AF17" s="1"/>
  <c r="AE84"/>
  <c r="F44"/>
  <c r="R42"/>
  <c r="R35"/>
  <c r="R33" s="1"/>
  <c r="L48"/>
  <c r="V48"/>
  <c r="AH48"/>
  <c r="AH82"/>
  <c r="AL82"/>
  <c r="AL48"/>
  <c r="AL9"/>
  <c r="F15"/>
  <c r="F11" s="1"/>
  <c r="Y9"/>
  <c r="Z11"/>
  <c r="AO84"/>
  <c r="Q15"/>
  <c r="W15"/>
  <c r="AC15"/>
  <c r="F18"/>
  <c r="F23"/>
  <c r="F22" s="1"/>
  <c r="AN48"/>
  <c r="G56"/>
  <c r="U62"/>
  <c r="Y62"/>
  <c r="AG62"/>
  <c r="AK62"/>
  <c r="AO62"/>
  <c r="W69"/>
  <c r="G69"/>
  <c r="N77"/>
  <c r="G77"/>
  <c r="I22"/>
  <c r="L64"/>
  <c r="AH81" l="1"/>
  <c r="X33"/>
  <c r="G62"/>
  <c r="AQ81"/>
  <c r="G13"/>
  <c r="G11"/>
  <c r="F10"/>
  <c r="H26"/>
  <c r="L33"/>
  <c r="N33" s="1"/>
  <c r="AN81"/>
  <c r="AF84"/>
  <c r="G17"/>
  <c r="Q34"/>
  <c r="AL81"/>
  <c r="AB9"/>
  <c r="AW29"/>
  <c r="O33"/>
  <c r="AU33" s="1"/>
  <c r="V9"/>
  <c r="O83"/>
  <c r="AU48"/>
  <c r="AD62"/>
  <c r="W83"/>
  <c r="G35"/>
  <c r="G33" s="1"/>
  <c r="Q12"/>
  <c r="Q35"/>
  <c r="X9"/>
  <c r="AU25"/>
  <c r="Q48"/>
  <c r="Q84"/>
  <c r="AW34"/>
  <c r="G48"/>
  <c r="H48" s="1"/>
  <c r="X83"/>
  <c r="X81" s="1"/>
  <c r="Q62"/>
  <c r="AK81"/>
  <c r="J9"/>
  <c r="L9"/>
  <c r="I83"/>
  <c r="K83" s="1"/>
  <c r="T62"/>
  <c r="AW77"/>
  <c r="AW56"/>
  <c r="AU22"/>
  <c r="AW22" s="1"/>
  <c r="H56"/>
  <c r="Z83"/>
  <c r="AM9"/>
  <c r="AF12"/>
  <c r="W12"/>
  <c r="W84" s="1"/>
  <c r="N84"/>
  <c r="AF33"/>
  <c r="K33"/>
  <c r="AG9"/>
  <c r="AW50"/>
  <c r="AW15"/>
  <c r="AF77"/>
  <c r="AV48"/>
  <c r="AW48" s="1"/>
  <c r="Q33"/>
  <c r="AC10"/>
  <c r="AC82" s="1"/>
  <c r="AU13"/>
  <c r="AW13" s="1"/>
  <c r="AU17"/>
  <c r="AW17" s="1"/>
  <c r="AU35"/>
  <c r="AW35" s="1"/>
  <c r="AU42"/>
  <c r="AW42" s="1"/>
  <c r="AW25"/>
  <c r="W17"/>
  <c r="H79"/>
  <c r="H22"/>
  <c r="F84"/>
  <c r="H84" s="1"/>
  <c r="AO81"/>
  <c r="AR81"/>
  <c r="J81"/>
  <c r="AB81"/>
  <c r="N12"/>
  <c r="L62"/>
  <c r="AU64"/>
  <c r="AW64" s="1"/>
  <c r="AV62"/>
  <c r="AM81"/>
  <c r="V81"/>
  <c r="Y81"/>
  <c r="AF62"/>
  <c r="AG83"/>
  <c r="AG81" s="1"/>
  <c r="AI83"/>
  <c r="AI81" s="1"/>
  <c r="F17"/>
  <c r="AC11"/>
  <c r="AC83" s="1"/>
  <c r="AC13"/>
  <c r="F35"/>
  <c r="F33" s="1"/>
  <c r="F42"/>
  <c r="H42" s="1"/>
  <c r="G9"/>
  <c r="G82"/>
  <c r="P82"/>
  <c r="Q10"/>
  <c r="P9"/>
  <c r="K22"/>
  <c r="F13"/>
  <c r="H15"/>
  <c r="S83"/>
  <c r="T11"/>
  <c r="I82"/>
  <c r="I9"/>
  <c r="K10"/>
  <c r="F64"/>
  <c r="F69"/>
  <c r="H69" s="1"/>
  <c r="L83"/>
  <c r="L81" s="1"/>
  <c r="N11"/>
  <c r="M82"/>
  <c r="N10"/>
  <c r="M9"/>
  <c r="N9" s="1"/>
  <c r="U82"/>
  <c r="U81" s="1"/>
  <c r="U9"/>
  <c r="W10"/>
  <c r="W82" s="1"/>
  <c r="R83"/>
  <c r="AJ83"/>
  <c r="AI9"/>
  <c r="T84"/>
  <c r="N42"/>
  <c r="H77"/>
  <c r="S9"/>
  <c r="AA81"/>
  <c r="AA9"/>
  <c r="T42"/>
  <c r="O9"/>
  <c r="O82"/>
  <c r="K84"/>
  <c r="AE81"/>
  <c r="S33"/>
  <c r="T33" s="1"/>
  <c r="T35"/>
  <c r="P83"/>
  <c r="Q83" s="1"/>
  <c r="Q11"/>
  <c r="AC12"/>
  <c r="AC84" s="1"/>
  <c r="AC17"/>
  <c r="AP9"/>
  <c r="AP82"/>
  <c r="AP81" s="1"/>
  <c r="H44"/>
  <c r="O81" l="1"/>
  <c r="H13"/>
  <c r="W9"/>
  <c r="K9"/>
  <c r="H17"/>
  <c r="AU62"/>
  <c r="AW62" s="1"/>
  <c r="H33"/>
  <c r="H35"/>
  <c r="W81"/>
  <c r="AV33"/>
  <c r="AW33" s="1"/>
  <c r="Q9"/>
  <c r="H12"/>
  <c r="N83"/>
  <c r="I81"/>
  <c r="K82"/>
  <c r="R9"/>
  <c r="R82"/>
  <c r="T10"/>
  <c r="Q82"/>
  <c r="P81"/>
  <c r="Z10"/>
  <c r="M81"/>
  <c r="N82"/>
  <c r="AC81"/>
  <c r="F83"/>
  <c r="AD83"/>
  <c r="AF83" s="1"/>
  <c r="AF11"/>
  <c r="AJ82"/>
  <c r="AJ81" s="1"/>
  <c r="AJ9"/>
  <c r="AD9"/>
  <c r="AF9" s="1"/>
  <c r="AD82"/>
  <c r="AF10"/>
  <c r="T83"/>
  <c r="S81"/>
  <c r="H11"/>
  <c r="G83"/>
  <c r="H64"/>
  <c r="F62"/>
  <c r="H62" s="1"/>
  <c r="AC9"/>
  <c r="Q81" l="1"/>
  <c r="H83"/>
  <c r="G81"/>
  <c r="R81"/>
  <c r="T82"/>
  <c r="K81"/>
  <c r="Z9"/>
  <c r="Z82"/>
  <c r="Z81" s="1"/>
  <c r="T9"/>
  <c r="F82"/>
  <c r="F9"/>
  <c r="H9" s="1"/>
  <c r="H10"/>
  <c r="AD81"/>
  <c r="AF81" s="1"/>
  <c r="AF82"/>
  <c r="N81"/>
  <c r="T81" l="1"/>
  <c r="F81"/>
  <c r="H81" s="1"/>
  <c r="H82"/>
  <c r="D7" i="2" l="1"/>
  <c r="D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9" i="8" l="1"/>
  <c r="D19" s="1"/>
  <c r="C5"/>
  <c r="C8"/>
  <c r="D8" s="1"/>
  <c r="C11"/>
  <c r="D11" s="1"/>
  <c r="C14"/>
  <c r="D14" s="1"/>
  <c r="D5"/>
  <c r="D24" l="1"/>
  <c r="C24"/>
  <c r="D3" i="2"/>
</calcChain>
</file>

<file path=xl/sharedStrings.xml><?xml version="1.0" encoding="utf-8"?>
<sst xmlns="http://schemas.openxmlformats.org/spreadsheetml/2006/main" count="3536" uniqueCount="477">
  <si>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</si>
  <si>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</si>
  <si>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</si>
  <si>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</si>
  <si>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</si>
  <si>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</si>
  <si>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</si>
  <si>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</si>
  <si>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</si>
  <si>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</si>
  <si>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</si>
  <si>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</si>
  <si>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</si>
  <si>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</si>
  <si>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</si>
  <si>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</si>
  <si>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</si>
  <si>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</si>
  <si>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</si>
  <si>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</si>
  <si>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</si>
  <si>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</si>
  <si>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</si>
  <si>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</si>
  <si>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</si>
  <si>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</si>
  <si>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</si>
  <si>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</si>
  <si>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</si>
  <si>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</si>
  <si>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</si>
  <si>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</si>
  <si>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</si>
  <si>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</si>
  <si>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</si>
  <si>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</si>
  <si>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</si>
  <si>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</si>
  <si>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</si>
  <si>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</si>
  <si>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</si>
  <si>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</si>
  <si>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</si>
  <si>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</si>
  <si>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</si>
  <si>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</si>
  <si>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</si>
  <si>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</si>
  <si>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</si>
  <si>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</si>
  <si>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</si>
  <si>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</si>
  <si>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</si>
  <si>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</si>
  <si>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</si>
  <si>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</si>
  <si>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</si>
  <si>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</si>
  <si>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</si>
  <si>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</si>
  <si>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</si>
  <si>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</si>
  <si>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</si>
  <si>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</si>
  <si>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</si>
  <si>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</si>
  <si>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</si>
  <si>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</si>
  <si>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</si>
  <si>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</si>
  <si>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</si>
  <si>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</si>
  <si>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</si>
  <si>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</si>
  <si>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</si>
  <si>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</si>
  <si>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</si>
  <si>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</si>
  <si>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</si>
  <si>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</si>
  <si>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</si>
  <si>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</si>
  <si>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</si>
  <si>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</si>
  <si>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</si>
  <si>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</si>
  <si>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</si>
  <si>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</si>
  <si>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</si>
  <si>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</si>
  <si>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</si>
  <si>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</si>
  <si>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</si>
  <si>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</si>
  <si>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</si>
  <si>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</si>
  <si>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</si>
  <si>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</si>
  <si>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</si>
  <si>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</si>
  <si>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</si>
  <si>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</si>
  <si>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</si>
  <si>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</si>
  <si>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</si>
  <si>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</si>
  <si>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</si>
  <si>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</si>
  <si>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</si>
  <si>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</si>
  <si>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</si>
  <si>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</si>
  <si>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</si>
  <si>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</si>
  <si>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</si>
  <si>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</si>
  <si>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</si>
  <si>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</si>
  <si>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</si>
  <si>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</si>
  <si>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</si>
  <si>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</si>
  <si>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</si>
  <si>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</si>
  <si>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</si>
  <si>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</si>
  <si>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</si>
  <si>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</si>
  <si>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</si>
  <si>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</si>
  <si>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</si>
  <si>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</si>
  <si>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</si>
  <si>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</si>
  <si>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</si>
  <si>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</si>
  <si>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</si>
  <si>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</si>
  <si>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</si>
  <si>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</si>
  <si>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</si>
  <si>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</si>
  <si>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</si>
  <si>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</si>
  <si>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</si>
  <si>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</si>
  <si>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</si>
  <si>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</si>
  <si>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</si>
  <si>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</si>
  <si>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</si>
  <si>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</si>
  <si>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</si>
  <si>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</si>
  <si>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</si>
  <si>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</si>
  <si>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</si>
  <si>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</si>
  <si>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</si>
  <si>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</si>
  <si>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</si>
  <si>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</si>
  <si>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</si>
  <si>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</si>
  <si>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</si>
  <si>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</si>
  <si>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</si>
  <si>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</si>
  <si>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</si>
  <si>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</si>
  <si>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</si>
  <si>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</si>
  <si>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</si>
  <si>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</si>
  <si>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</si>
  <si>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</si>
  <si>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</si>
  <si>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</si>
  <si>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</si>
  <si>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</si>
  <si>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</si>
  <si>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</si>
  <si>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</si>
  <si>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</si>
  <si>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</si>
  <si>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</si>
  <si>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</si>
  <si>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</si>
  <si>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</si>
  <si>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</si>
  <si>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</si>
  <si>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</si>
  <si>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</si>
  <si>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</si>
  <si>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</si>
  <si>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</si>
  <si>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</si>
  <si>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</si>
  <si>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</si>
  <si>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</si>
  <si>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</si>
  <si>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</si>
  <si>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</si>
  <si>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</si>
  <si>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</si>
  <si>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</si>
  <si>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</si>
  <si>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</si>
  <si>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</si>
  <si>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</si>
  <si>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</si>
  <si>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</si>
  <si>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</si>
  <si>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</si>
  <si>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</si>
  <si>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</si>
  <si>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</si>
  <si>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</si>
  <si>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</si>
  <si>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</si>
  <si>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</si>
  <si>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</si>
  <si>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</si>
  <si>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</si>
  <si>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</si>
  <si>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</si>
  <si>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</si>
  <si>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</si>
  <si>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</si>
  <si>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</si>
  <si>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</si>
  <si>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</si>
  <si>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</si>
  <si>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</si>
  <si>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</si>
  <si>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</si>
  <si>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</si>
  <si>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</si>
  <si>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</si>
  <si>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</si>
  <si>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</si>
  <si>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</si>
  <si>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</si>
  <si>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</si>
  <si>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</si>
  <si>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</si>
  <si>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</si>
  <si>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</si>
  <si>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</si>
  <si>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</si>
  <si>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</si>
  <si>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</si>
  <si>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</si>
  <si>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</si>
  <si>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</si>
  <si>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</si>
  <si>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ВСЕГО по  программе:</t>
  </si>
  <si>
    <t>Федеральный бюджет</t>
  </si>
  <si>
    <t>Организация обеспечения сохранности муниципального имущества (страхование муниципального имущества)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</si>
  <si>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</t>
  </si>
  <si>
    <t>И.Н.Назарова</t>
  </si>
  <si>
    <t>Наименование программных мероприятий</t>
  </si>
  <si>
    <t>Целевой показатель, №</t>
  </si>
  <si>
    <t>Объем финансирования всего на год, тыс.руб.</t>
  </si>
  <si>
    <t>План</t>
  </si>
  <si>
    <t>Факт</t>
  </si>
  <si>
    <t>Исполнение, %</t>
  </si>
  <si>
    <t>Подпрограмма I «Создание условий для совершенствования системы муниципального управления»</t>
  </si>
  <si>
    <t>сводно-аналитический отдел администрации города Урай, отдел по учету и отчетности администрации города Урай</t>
  </si>
  <si>
    <t>МАУ МФЦ</t>
  </si>
  <si>
    <t>Подпрограмма III «Развитие муниципальной службы и резерва управленческих кадров»</t>
  </si>
  <si>
    <t>управление по организационным вопросам и кадрам администрации города Урай,
сводно-аналитический отдел администрации города Урай, отдел по учету и отчетности администрации города Урай, Комитет по финансам администрации города Урай</t>
  </si>
  <si>
    <t xml:space="preserve"> Подпрограмма IV «Управление и распоряжение муниципальным имуществом муниципального образования город Урай»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</si>
  <si>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</si>
  <si>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</si>
  <si>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не требует финансирования</t>
  </si>
  <si>
    <t>управление по организационным вопросам и кадрам администрации города Урай</t>
  </si>
  <si>
    <t xml:space="preserve">комитет по управлению муниципальным имуществом
администрации города Урай
</t>
  </si>
  <si>
    <t>Проведение конкурса «Лучший работник органов местного самоуправления»</t>
  </si>
  <si>
    <t>-</t>
  </si>
  <si>
    <t>Обеспечение государственной регистрации права собственности муниципального образования городской округ город Урай</t>
  </si>
  <si>
    <t>За отчетный период внесено изменение в перечень объектов, подлежащих  страхованию. Перечень утвержден постановлением администрации города Урай от 05.05.2017 №1199. В перечень вошли  объекты от застройщика ООО «Шаимский ПК5»</t>
  </si>
  <si>
    <t xml:space="preserve">Ответственный исполнитель (соисполнитель) </t>
  </si>
  <si>
    <t>муниципальной программы:</t>
  </si>
  <si>
    <r>
      <t>Согласовано:</t>
    </r>
    <r>
      <rPr>
        <sz val="10"/>
        <color rgb="FF000000"/>
        <rFont val="Arial"/>
        <family val="2"/>
        <charset val="204"/>
      </rPr>
      <t xml:space="preserve"> </t>
    </r>
  </si>
  <si>
    <r>
      <t>Комитет по финансам  администрации города Урай</t>
    </r>
    <r>
      <rPr>
        <sz val="10"/>
        <color rgb="FF000000"/>
        <rFont val="Arial"/>
        <family val="2"/>
        <charset val="204"/>
      </rPr>
      <t xml:space="preserve"> </t>
    </r>
  </si>
  <si>
    <r>
      <t>_________________________</t>
    </r>
    <r>
      <rPr>
        <sz val="10"/>
        <color rgb="FF000000"/>
        <rFont val="Arial"/>
        <family val="2"/>
        <charset val="204"/>
      </rPr>
      <t xml:space="preserve"> </t>
    </r>
  </si>
  <si>
    <t>«___» _____________20__ г.</t>
  </si>
  <si>
    <t>Начальник сводно-аналитического отдела администрации города Урай</t>
  </si>
  <si>
    <t>Начальник  отдела по учету и отчетности администрации города Урай</t>
  </si>
  <si>
    <t>Исполнитель: Назарова Ирина Николаевна</t>
  </si>
  <si>
    <t>тел.:8 (34676) 2-33-30</t>
  </si>
  <si>
    <t>(подпись)</t>
  </si>
  <si>
    <t>Е.М.Погадаева</t>
  </si>
  <si>
    <t>Задача 1. Совершенствование решения вопросов местного самоуправления</t>
  </si>
  <si>
    <t>Организация содержания муниципального жилищного фонда</t>
  </si>
  <si>
    <t xml:space="preserve">Освоение средств за отчетный период не в полном объеме обусловлено наличием вакансий, а также с поздним заключением договора на перевод записей актов гражданского состояния в электронный вид
</t>
  </si>
  <si>
    <t>Освоение средств за отчетный период не в полном объеме обусловлено отказом от участия в семинаре, а также оплата осуществляется в соответствии с фактически сложившимися расходами</t>
  </si>
  <si>
    <t xml:space="preserve">      В рамках контрактов от 15.08.2017 №252/17, от 29.08.2017 №270/17 приобретены ГЗПО, марки, конверты для рассылки присяжным заседателям</t>
  </si>
  <si>
    <t xml:space="preserve">        За 9 месяцев 2017 года  отделом ЗАГС зарегистрировано 1213 записей актов гражданского состояния. Составлено 404 актовых записей о рождении (мальчиков родилось 203 человек, девочек -201 человек, двойни и более 5 человек). Зарегистрировано 240  записей актов о заключении брака, 287 записей о смерти, 182 записи о расторжении брака, 66 записей  об установлении отцовства, 32 записи актов  о перемене имени и 2 записи об усыновлении
      За 9 месяцев 2017 отделом ЗАГС города оказано государственных услуг населению 3792, в электронном виде – 338, оформлено 6244 юридически значимых действий
</t>
  </si>
  <si>
    <t>Освоение средств предусмотрено в 4 квартале 2017 года</t>
  </si>
  <si>
    <t xml:space="preserve">     Количество муниципальных услуг на 01.10.2017 года составляет 43. Предоставление государственных и муниципальных услуг осуществляется в строгом соответствии с административными регламентами. Для  42 муниципальных услуг разработаны и утверждены административные регламенты. 
За 9 месяцев 2017 разработано и утверждено 3 административных регламента. 1 административный регламент  (КУМИ) находится  на стадии разработки.
</t>
  </si>
  <si>
    <t xml:space="preserve">    На территории города Урай постановлением администрации города Урай от 19.08.2011 №2355 утвержден Реестр муниципальных услуг муниципального образования городской округ город Урай (далее – Реестр). Общее количество услуг на 01.10.2017 года составляет 54, в том числе 43 муниципальных  услуги и 11 услуг, предоставляемых муниципальными учреждениями и другими организациями, в которых размещается муниципальное задание (заказ). 
Решением Думы города Урай от 27.09.2012 №79 утвержден перечень услуг, которые являются необходимыми и обязательными для предоставления администрацией города Урай муниципальных  услуг (24 услуги).
Обновление Реестра осуществляется по мере необходимости, с учетом изменения законодательства. За  9 месяцев 2017 года проведено 3 обновления: 15.02.2017, 23.03.2017 и 31.07.2017. Данный Реестр актуализирован и размещен на официальном сайте органов местного самоуправления города Урай.
</t>
  </si>
  <si>
    <t xml:space="preserve">      Сведения об услугах размещены в информационной системе «Реестр государственных и муниципальных услуг (функций) ХМАО-Югры» (далее-РРГУ) и отражены на Едином портале государственных и муниципальных услуг (http://www.gosuslugi.ru/)</t>
  </si>
  <si>
    <t xml:space="preserve">    Обновление информации в РРГУ осуществляется по мере необходимости, с учетом изменения законодательства и утверждения новых муниципальных услуг. За 9 месяцев 2017  актуализация информации в РРГУ была проведена в январе, марте-июне, сентябре-октябре 2017 года ответственными лицами органов администрации  и МКУ по 54 муниципальным услугам</t>
  </si>
  <si>
    <t>Общее количество услуг на 01.10.2017 года составляет 54. Обеспечена возможность предоставления услуг в электронном виде через ЕПГУ по 19 услугам: 14 муниципальным услугам и 5  услугам учреждений</t>
  </si>
  <si>
    <t xml:space="preserve">     Деятельность органов местного самоуправления регулярно освещается в эфире ТРК «Спектр+» и МБУ «Газета «Знамя». Информирование о деятельности органов власти ведется и посредством радиовыпусков на темы городской жизни. На волнах радиостанции «Европа+» радиовыпуски продолжают выходить согласно сетки вещания ТРК «Спектр+» (пять выпусков ежедневно по будням).  
          В эфире ТРК «Спектр+» деятельность органов местного самоуправления  регулярно освещается в информационной программе: «Время Урая», «Время Урая о главном», «Из первых уст» в ходе прямых эфиров и пресс-конференций с участием главы города Урай, его заместителей, начальников отделов и управлений, специалистов администрации, Думы города.
         В средствах массовой информации и в сети Интернет размещена информация о проведении конкурсов на замещение вакантной должности муниципальной службы, положение о порядке проведения конкурса «Лучший работник органов местного самоуправления города Урай». На сайте www.uray.ru представлена полная структура органов власти, официальная информация о главе города Урай, исторические материалы о городе, созданы разделы по всем направлениям деятельности органов власти, разделы «Новости», «Объявления», «Обращения граждан», «Бюджет для граждан», «Госуслуги».     На официальном сайте размещены прямые ссылки на сайты Президента РФ, Правительства Югры, Губернатора и Думы Ханты-Мансийского автономного округа – Югры и территориальной избирательной комиссии, Общероссийского народного фронта и другие полезные ссылки.
В целях повышения информированности населения ежедневно специалистами пресс-службы направляются информационные и новостные материалы о городе Урае в адрес более 20 электронных изданий, таких как: «Накануне.ру», «Ньюспром.Ру», РИЦ «Югра Информ»,  «АиФЮгра», ООО «Югра ТV,  «Радио – Югра», Газета «Новости Югры», «Mangazia», «ЮграТрэвэл», «Ньюсфедпресс», и др. В России и городе Урае 2017 год объявлен  Годом экологии, в Югре - Годом здоровья. Мероприятия в рамках объявленных лет,  находят отражение в информационной картине урайских СМИ</t>
  </si>
  <si>
    <t xml:space="preserve">    Актуализация информационного ресурса (базы данных) содержащего информацию об объектах муниципальной собственности, а также сведений по технической инвентаризации объектов муниципального имущества муниципального образования проводится на постоянной основе в течение года по мере поступления информации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</si>
  <si>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</t>
  </si>
  <si>
    <t>В отчетном периоде в действующие муниципальные нормативные правовые акты администрации города Урай внесено 220 изменений и дополнений, принято 52 новых муниципальных нормативных правовых актов администрации города Урай, 34 муниципальных нормативных правовых актов администрации города Урай о признании утратившим силу ранее принятого акта, 26 муниципальных нормативных правовых актов администрации города Урай взамен отмененных
О деятельности органов власти подготовлено 278 информационных сообщения в эфире ТРК «Спектр+». 
В газете «Знамя» опубликовано 235  материала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199  пресс-релизов о деятельности органов власти</t>
  </si>
  <si>
    <t>Через МАУ "МФЦ" в настоящее время оказывается 217 услуг, в том числе 63 федеральные услуги, 111 региональных и 43 муниципальных. За девять месяцев 2017 года оказано услуг по приему, выдаче документов 32543 (в том числе: федеральные - 18057, региональные - 13558 и муниципальные - 928 (в том числе услуги полного цикла - 286)</t>
  </si>
  <si>
    <t>За 9 месяцев 2017 года в сфере муниципальной службы утверждено 5 нормативно-правовых актов, изменено 7 нормативно-правовых актов</t>
  </si>
  <si>
    <t xml:space="preserve">   Критерии оценки эффективности установлены решением Думы города Урай от 28.02.2008 №5. 
    В отчетном периоде изменений в данный документ не вносились
</t>
  </si>
  <si>
    <t>Во II квартале 2017 года специалистами кадровой службы управления по организационным вопросам и кадрам проводились консультации муниципальных служащих по заполнению справок о доходах за 2016 год.   Принято справок о доходах за 2016 год у 169 муниципальных служащих. Аттестовано 14 муниципальных служащих администрации города Урай и органов администрации города Урай</t>
  </si>
  <si>
    <t>За 9 месяцев 2017 года обучено 27 муниципальных служащих органов местного самоуправления города Урай, в т.ч. при проведении семинара по теме «Изменения законодательства в сфере контрактной системы в сфере закупок товаров, работ и услуг для обеспечения государственных и муниципальных нужд с 2017 года»</t>
  </si>
  <si>
    <t xml:space="preserve">     Постановлением  администрации города Урай от 22.12.2016 №3980 утвержден график сдачи документов для государственной  регистрации прав на недвижимое имущество (в отношении объектов коммунальной инфраструктуры, в том числе бесхозяйных объектов в городе Урай).                                                                                                                         Кроме этого  комитетом по управлению муниципальным имуществом администрации города Урай производится регистрация права собственности на  новые объекты, переданные от МКУ «Управление капитального строительства города Урай», прочие  незарегистрированные объекты и др.
За отчетный период зарегистрировано 57 объектов недвижимости</t>
  </si>
  <si>
    <t xml:space="preserve">     В соответствии с постановлением администрации города Урай от 29.12.2016 №4119 «О создании комиссии»                                                                                                                                       
проверено муниципальное имущество по договорам оперативного управления :
 1 кв. 2017 – 2 учреждения (Управление образования города Урай, МБУ «Молодежный центр»), 
 2 кв. 2017 – 2 учреждения (МКУ «Управление капитального строительства города Урай», МБОУ СОШ  №2), 
 3 кв. 2017 – 1 учреждение «МБУ ДО «ДЮСШ «Старт» -инвентаризация объектов освещения
</t>
  </si>
  <si>
    <t xml:space="preserve">В отчетном периоде были заключены договоры на:
- содержание нежилых помещений, находящихся в муниципальной собственности, которые расположены в многоквартирных жилых домах; 
- оплату за обработку лицевых счетов ООО «ПиП»;                                                                                                                                                                                                                                            - оценку объектов оценки;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выполнение кадастровых работ;
- услуги аудита
</t>
  </si>
  <si>
    <t xml:space="preserve">     В отчетном периоде оцифровано 126 дел постоянного хранения на 25 735 листах; подготовлено 966 архивных справок на социально-правовые, тематические запросы; изготовлено 245 копий с архивных документов на 560 листах  </t>
  </si>
  <si>
    <t xml:space="preserve">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9 месяцев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2017 году в органах местного самоуправления и муниципальных учреждениях города Урай 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9 месяцев 2017 года.
9)Информация о состоянии пожарной безопасности в бюджетных организациях города Урай за 9 месяцев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1.2.2 Обеспечение деятельности в сфере трудовых отношений и государственного управления охраной труда   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3 квартала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2016 году в органах местного самоуправления и муниципальных учреждениях города Урай.
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1 квартал 2017 года.
9)Информация о состоянии пожарной безопасности в бюджетных организациях города Урай за 1 полугодие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</t>
  </si>
  <si>
    <t xml:space="preserve">     За отчетный период заключены 25 муниципальных контрактов на содержание муниципального жилого фонда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</si>
  <si>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2018 год</t>
  </si>
  <si>
    <t xml:space="preserve">Цель 1. Совершенствование муниципального управления,  повышение его эффективности </t>
  </si>
  <si>
    <t>1.1.1.1</t>
  </si>
  <si>
    <t>Обеспечение деятельности 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</t>
  </si>
  <si>
    <t xml:space="preserve">сводно-аналитический отдел администрации города Урай, отдел по учету и отчетности администрации города Урай,  отдел опеки и попечительства администрации города Урай,
МКУ «УЖКХ города Урай»
</t>
  </si>
  <si>
    <t xml:space="preserve">1.1.1, 1.1.2,
1.1.4, 1.1.5
</t>
  </si>
  <si>
    <t>1.1.1.2.</t>
  </si>
  <si>
    <t>Обеспечение деятельности МКУ «УМТО города Урай»</t>
  </si>
  <si>
    <t>МКУ «УМТО города Урай»</t>
  </si>
  <si>
    <t>1.1.1</t>
  </si>
  <si>
    <t>1.1.1.3</t>
  </si>
  <si>
    <t>Внедрение проектной деятельности в органах местного самоуправления города Урай</t>
  </si>
  <si>
    <t>управление экономики, анализа и прогнозирования администрации города Урай, органы местного самоуправления</t>
  </si>
  <si>
    <t>1.1.1.4</t>
  </si>
  <si>
    <t>Обеспечение исполнения гарантий, предоставляемых  муниципальным служащим по выплате муниципальной пенсии</t>
  </si>
  <si>
    <t>1.1.7</t>
  </si>
  <si>
    <t>1.1.1.5.</t>
  </si>
  <si>
    <t>Организация общественных работ для временного трудоустройства незанятых трудовой деятельностью и безработных граждан</t>
  </si>
  <si>
    <t>сводно-аналитический отдел администрации города Урай, МКУ «УМТО города Урай», отдел по учету и отчетности администрации города Урай, муниципальное бюджетное учреждение «Молодежный центр»</t>
  </si>
  <si>
    <t>1.1.6</t>
  </si>
  <si>
    <t>1.1.1.6.</t>
  </si>
  <si>
    <t>Осуществление выплат согласно Положению о порядке предоставления  мер социальной поддержки и размерах возмещения расходов гражданам, удостоенным звания «Почетный гражданин города Урай»</t>
  </si>
  <si>
    <t>1.1.8</t>
  </si>
  <si>
    <t>Задача 2. Совершенствование предоставления государственных и муниципальных услуг</t>
  </si>
  <si>
    <t>Подпрограмма II «Предоставление государственных и муниципальных услуг»</t>
  </si>
  <si>
    <t>1.1.3</t>
  </si>
  <si>
    <t>1.2.1.1</t>
  </si>
  <si>
    <t>Разработка (актуализация) административных регламентов предоставления муниципальных услуг в муниципальном образовании городской округ город Урай и размещение (актуализация) сведений о муниципальных услугах в Реестре государственных и муниципальных услуг (функций) Ханты-Мансийского автономного округа – Югры</t>
  </si>
  <si>
    <t>органы администрации города Урай, предоставляющие муниципальные услуги, МКУ «УГЗиП города Урай»,  МАУ МФЦ</t>
  </si>
  <si>
    <t>1.2.2</t>
  </si>
  <si>
    <t>1.2.1.2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</si>
  <si>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</t>
  </si>
  <si>
    <t>органы администрации города Урай, предоставляющие муниципальные услуги, МКУ «УГЗиП  города Урай», МАУ МФЦ</t>
  </si>
  <si>
    <t>1.2.1, 1.2.4</t>
  </si>
  <si>
    <t>1.2.1.3</t>
  </si>
  <si>
    <t>Увеличение  количества услуг, получаемых гражданами в электронной форме</t>
  </si>
  <si>
    <t>органы администрации города Урай, предоставляющие муниципальные услуги, МКУ «УГЗиП города Урай», МАУ МФЦ</t>
  </si>
  <si>
    <t>1.2.3</t>
  </si>
  <si>
    <t>1.2.1.4</t>
  </si>
  <si>
    <t>Привлечение заявителей к получению услуг в электронной форме через Единый портал государственных и муниципальных услуг</t>
  </si>
  <si>
    <t>1.2.1.5</t>
  </si>
  <si>
    <t>Проведение социологического опроса по удовлетворенности граждан предоставлением муниципальных услуг</t>
  </si>
  <si>
    <t>отдел по работе с обращениями граждан администрации города Урай, управление экономики, анализа и прогнозирования</t>
  </si>
  <si>
    <t>1.2.1</t>
  </si>
  <si>
    <t>1.2.1.6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</si>
  <si>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</si>
  <si>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1.2.5, 1.2.6, 1.2.7</t>
  </si>
  <si>
    <t>Цель 2. Совершенствование организации муниципальной службы,  повышение ее эффективности</t>
  </si>
  <si>
    <t>Задача 3. Совершенствование профессиональных возможностей и способностей работников органов местного самоуправления</t>
  </si>
  <si>
    <t>2.1.1.1</t>
  </si>
  <si>
    <t>Анализ соответствия принятых муниципальных правовых актов действующему законодательству о муниципальной службе и противодействии коррупции</t>
  </si>
  <si>
    <t>2.1.4</t>
  </si>
  <si>
    <t>2.1.1.2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</si>
  <si>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</t>
  </si>
  <si>
    <t xml:space="preserve">управление по организационным вопросам и кадрам администрации города Урай </t>
  </si>
  <si>
    <t>2.1.2</t>
  </si>
  <si>
    <t>2.1.1.3</t>
  </si>
  <si>
    <t>Назначение из резерва кадров на  должности муниципальной службы высшей, главной и ведущей группы, учрежденных для выполнения функции «руководитель»</t>
  </si>
  <si>
    <t>2.1.3</t>
  </si>
  <si>
    <t>2.1.1.4</t>
  </si>
  <si>
    <t>2.1.5</t>
  </si>
  <si>
    <t>2.1.1.5</t>
  </si>
  <si>
    <t>2.1.1</t>
  </si>
  <si>
    <t>Цель 3.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</t>
  </si>
  <si>
    <t>Задача 4. Совершенствование управления и распоряжения муниципальным имуществом</t>
  </si>
  <si>
    <t>3.1.1.1</t>
  </si>
  <si>
    <t xml:space="preserve">комитет по управлению муниципальным имуществом
администрации города Урай
</t>
  </si>
  <si>
    <t>3.1.1</t>
  </si>
  <si>
    <t>3.1.1.2</t>
  </si>
  <si>
    <t>Вовлечение земельных участков в хозяйственный оборот</t>
  </si>
  <si>
    <t>3.1.6</t>
  </si>
  <si>
    <t>3.1.1.3</t>
  </si>
  <si>
    <t>Повышение результативности финансово-хозяйственной деятельности хозяйствующих субъектов с долей участия муниципального образования городской округ город Урай</t>
  </si>
  <si>
    <t>3.1.2, 3.1.3</t>
  </si>
  <si>
    <t>3.1.1.4</t>
  </si>
  <si>
    <t>Организация обеспечения формирования состава и структуры муниципального имущества  (содержание имущества казны (за исключением объектов муниципального жилищного фонда)</t>
  </si>
  <si>
    <t>3.1.4</t>
  </si>
  <si>
    <t>3.1.1.5</t>
  </si>
  <si>
    <t>3.1.1.6</t>
  </si>
  <si>
    <t>3.1.5</t>
  </si>
  <si>
    <t>управление по учету и распределению муниципального жилого фонда администрации города Урай, МКУ «УГЗиП города Урай»</t>
  </si>
  <si>
    <t>3.1.7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</si>
  <si>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01.02.2018</t>
  </si>
  <si>
    <t>Исполнитель: Кучина Ирина Вениаминовна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</si>
  <si>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01.04.2018</t>
  </si>
  <si>
    <t>Отклонение произошло в связи с  уменьшением                               количества командировок; оплата за коммунальные услуги произведена по факту потребления энергоресурсов</t>
  </si>
  <si>
    <t>В рамках реализации мероприятий целевой программы Ханты-Мансийского автономного округа - Югры «Содействие занятости населения в Ханты-Мансийском автономном округе-Югре на 2014-2020 годы» заключены следующие договоры:
- №38 от 20.12.2017г. «О совместной деятельности по организации временного трудоустройства граждан» на 60 человек. За 1 квартал 2018 года были трудоустроены 27 человек.
- №3 от 11.01.2018г. «О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работы» на 10 человек. За 1 квартал 2018 года были трудоустроены 2 человека</t>
  </si>
  <si>
    <t xml:space="preserve">За отчетный период заключены муниципальные контракты и договоры в количестве 72 штук на содержание объектов муниципальной казны, из них 57 на  техническое обслуживание и содержание объектов  (содержание нежилых помещений в многоквартирных домах, приобретение материалов, поставка огнетушителей, оказание услуг связи и т.д.), 15 на содержание и ремонт транспортных средств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</t>
  </si>
  <si>
    <t>По Управлению образования и молодежной политики администрации города Урай неисполнение мероприятий произошло в связи с приведением в соответствие нормативно-правовой базы; по МКУ "УМТО" отклонение произошло из-за того, что оплата производится исходя из количества принятых сотрудников, а также наличием листов нетрудоспособности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</si>
  <si>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39 пенсионерам</t>
  </si>
  <si>
    <r>
      <t>Выплаты гражданам, удостоенным звания "Почетный гражданин города Урай</t>
    </r>
    <r>
      <rPr>
        <b/>
        <sz val="10"/>
        <rFont val="Times New Roman"/>
        <family val="1"/>
        <charset val="204"/>
      </rPr>
      <t xml:space="preserve">" </t>
    </r>
    <r>
      <rPr>
        <sz val="10"/>
        <rFont val="Times New Roman"/>
        <family val="1"/>
        <charset val="204"/>
      </rPr>
      <t>будут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производиться во 2 квартале 2018</t>
    </r>
  </si>
  <si>
    <t>Отклонение произошло из-за наличия листов нетрудоспособности</t>
  </si>
  <si>
    <t>Общее количество услуг на 01.04.2018 года составляет 54, в том числе 43 муниципальных и 11 услуг, предоставляемых муниципальными учреждениями. Предоставление государственных и муниципальных услуг осуществляется в строгом соответствии с административными регламентами. Для  всех 43 муниципальных услуг разработаны и утверждены административные регламенты. Актуальные редакции административных регламентов  размещены на сайте ОМСУ и в информационной системе «Реестр государственных и муниципальных услуг (функций) ХМАО-Югры» (далее – РРГУ). Обновление информации в РРГУ осуществляется по мере необходимости, с учетом изменения законодательства и утверждения новых муниципальных услуг. В 1 квартале 2018 года  актуализация информации в РРГУ была проведена в январе и марте ответственными лицами органов администрации  и МКУ по 31 муниципальной услуге</t>
  </si>
  <si>
    <t>Органами администрации города Урай оказываются 14 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содействия малому и среднему предпринимательству, отдел опеки и попечительства ,  управление по учету и распределению муниципального жилого фонда, ЗАГС)</t>
  </si>
  <si>
    <t xml:space="preserve">Обеспечена возможность предоставления услуг в электронном виде через ЕПГУ по 19 услугам: 14 муниципальным и 5 – услугам учреждений.  Заявителям доступны формы заявлений  и   иных   документов, необходимых для получения соответствующих услуг, обеспечен доступ к ним для копирования и заполнения в электронном виде. В 2017 году в  Департамент информационных технологий Ханты-Мансийского  автономного округа – Югры направлен перечень из 17 муниципальных услуг на перевод в электронную форму. За 1 квартал 2018 года всего оказано муниципальных услуг 153202, из них  в электронном виде 151016 (98,57%), в том числе:
оказанных ОМСУ в электронном виде  - 141, что составляет 25,7%,
оказанных учреждениями – 150875,  что составляет 98,83%
</t>
  </si>
  <si>
    <t xml:space="preserve">С целью популяризации получения государственных и муниципальных услуг в электронном виде:
- утвержден Координационный совет по  информатизации при администрации города Урай;
- в рамках исполнения Указа Президента Российской Федерации от 07.05.2012  №601 «Об основных направлениях совершенствования системы государственного управления» для увеличения доли граждан, использующих механизм получения государственных и муниципальных услуг в электронной  форме 
организованы Центры обслуживания единой системы идентификации и аутентификации (далее ЕСИА) для доступа к единому порталу государственных и муниципальных услуг: в МФЦ -1, в администрации города Урай (архив, отдел по обращениям  граждан, отдел СМП, управление образования, УИТиС) – 5, отделе ЗАГС - 1, МКУ «Управление градостроительства, землепользования и природопользования» -1. За  1 квартал 2018 года на Едином портале зарегистрировано   – 2547 человек
</t>
  </si>
  <si>
    <t>Социологический опрос по удовлетворенности граждан предоставлением муниципальных услуг  планируется провести в октябре 2018 года</t>
  </si>
  <si>
    <t xml:space="preserve">В соответствии с Федеральным законом от 27.07.2010 №210-ФЗ «Об организации предоставления государственных и муниципальных услуг» в рамках договоров о взаимодействии через  МФЦ предоставляются 225 услуг, в том числе 63 федеральных, 104 региональных, 15 прочих услуг  и 43 муниципальных. На 01.04.2018 года МАУ «МФЦ» оказано услуг 15410 (в том числе 1501 консультация), в том числе:
- федеральных 8910 (в том числе 724 консультации);
- региональных 4608 (в том числе 729 консультаций) - прочих 248 (в том числе 2 консультации);
- муниципальных 308 ( в том числе 46 консультаций);
- регистрация на портале 1336 услуг
</t>
  </si>
  <si>
    <t>За отчетный период комитетом по управлению муниципальным имуществом администрации города Урай зарегистрировано 59 объектов недвижимости, из них:                                                                                                                                         3 вновь построенных объектов недвижимости: магистральные сети горячего водоснабжения, теплоснабжения микрорайона Шаимский; 56 объектов  инженерных сетей (старые сети)</t>
  </si>
  <si>
    <t>За отчетный период в хозяйственный оборот вовлечено 8 земельных участков, переданных от  МКУ "Управление градостроительства, землепользования и природопользования города Урай" согласно постановлениям администрации города Урай "О заключении соглашения о перераспределении земельных участков": от 28.12.2017 №3941, от 28.12.2017 №3943, от 22.01.2018 №93,от 22.01.2018 №103, от 31.01.2018 №169, от 02.02.2018 №207</t>
  </si>
  <si>
    <t xml:space="preserve"> В соответствии с Федеральным законом от 26.12.1995 №208-ФЗ «Об акционерных обществах» органами управления акционерных обществ с участием муниципального образования являются: общее собрание акционеров и Совет директоров. Органом, осуществляющим контроль за  финансово-хозяйственной деятельностью акционерных обществ, является ревизионная комиссия, которая избирается общим собранием акционеров.
Деятельность ревизионной комиссии осуществляется в соответствии с Положениями о ревизионной комиссии, утвержденными Советом директоров каждого акционерного общества, постановлением админситрации города Урай (для МУП ритуальных услуг)  и графиком проверок, утвержденным главой города Урай.
В отчетном периоде   утверждены графики  проведения проверок 
ревизионными комиссиями  муниципального унитарного предприятия  ритуальных услуг и  акционерных обществ, доля акций которых в муниципальном образовании городской округ город Урай составляет  25%  и более. По результатам ревизионных проверок  за 2017 год будет произведена оценка состояния финансово-хозяйственной деятельности хозяйствующих субъектов и   выработаны    рекомендаций, направленные на повышение эффективности их деятельности</t>
  </si>
  <si>
    <t xml:space="preserve">За отчетный период в рамках реализации мероприятия программы производились расходы на содержание нежилых помещений, находящихся в муниципальной собственности, которые расположены в многоквартирных жилых домах; услуги аудита ООО "Омская дочерняя аудиторская фирма "Аудитинформ"; внесение записи о переходе прав собственности на ценные бумаги АО "Индустрия-РЕЕСТР"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</si>
  <si>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Отклонение произошло из-за сложившейся экономии по торгам: ООО "Омская дочерняя аудиторская фирма "Аудитинформ"  за услуги аудита бухгалтерской (финансовой) отчетности муниципального унитарного предприятия ритуальных услуг за 2017 год. </t>
  </si>
  <si>
    <t>Заключение муниципального контракта на услугу страхования и оплата по нему запланированы на 4 квартал 2018 года</t>
  </si>
  <si>
    <t xml:space="preserve">Перечень объектов подлежащих страхованию  утвержден постановлением администрации города Урай от 05.05.2017 №1199
</t>
  </si>
  <si>
    <t>Отклонение произошло в связи с тем, что оплата работ по договорам осуществляется по "факту" на основании актов выполненных работ и фактическим заселением жильцов</t>
  </si>
  <si>
    <t>В 1 квартале 2018 года заключены муниципальные контракты и договоры  на оказание услуг с ООО "Капитал", ООО "Эксперт", АО "Тюменская энергосбытовая компания", АО "Шаимгаз", АО "Урайтеплоэнергия"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</si>
  <si>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процедур; в соответствии с сетевым графиком реализации финансовых средств муниципальной программы. Администрирование по ТКО предусмотрено в 4 квартале 2018 года</t>
  </si>
  <si>
    <t xml:space="preserve">Освоение средств предусмотрено во 2-4 кварталах 2018 года. </t>
  </si>
  <si>
    <t xml:space="preserve">  В отчетном периоде в действующие муниципальные нормативные правовые акты администрации города Урай внесено 69 изменений и дополнений, принято 12 новых муниципальных нормативных правовых актов администрации города Урай, 6 муниципальных нормативных правовых актов администрации города Урай о признании утратившим силу ранее принятого акта, 8 муниципальных нормативных правовых актов администрации города Урай взамен отмененных.
О деятельности органов власти подготовлено 196 информационных сообщения в эфире ТРК «Спектр+». 
В газете «Знамя» опубликован 141  материал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95 пресс-релизов о деятельности органов власти. В городе Урай 2018 объявлен Годом гражданских инициатив. Мероприятия в рамках объявленного года находят отражение в информационной картине урайских СМИ. Проведен мониторинг состояний и условий охраны труда в 67 организациях муниципального образования город Урай. Общая численность работников организаций предоставивших информацию составила 13 464 человека. Для руководителей и специалистов организаций, учреждений города проведено 2 семинара по вопросам охраны труда. Принято участие в расследовании 2 несчастных случаев, из них 1 несчастный случай квалифицирован, как несчастный случай, связанный с производством, 1 несчастный случай, по результатам расследования квалифицирован  как несчастный случай не связанный с производством. Отделом ЗАГС зарегистрировано 393 записи актов гражданского состояния, из них 133 о рождении, 56 о заключении брака, 109 о смерти, 62 о расторжении брака, 19   об установлении отцовства, 11 о перемене имени и 3 записи об усыновлении. За 1 квартал 2018 года отделом ЗАГС оказано государственных услуг населению 816, из них в электронном виде  55, оформлено 1586 юридически значимых действий, выдано справок и извещений-504.  В отчетном периоде Архивной службой  оцифровано 20 дел постоянного хранения на 4336 листах; подготовлено 570 архивных справок на социально-правовые, тематические запросы; поступило в службу 656 запросов; изготовлено 118 копий с архивных документов на 249 листах.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127 приемным родителям (среднегодовая численность) за воспитание ребенка. </t>
  </si>
  <si>
    <t>За 1 квартал 2018 года в сфере муниципальной службы изменено 2 нормативно-правовых акта</t>
  </si>
  <si>
    <t>В 1 квартале 2018 года проведён 1 конкурс в кадровый резерв на 4 должности</t>
  </si>
  <si>
    <t>В 1 квартале 2018 года назначения из резерва кадров на  должности муниципальной службы высшей, главной и ведущей группы, учрежденных для выполнения функции «руководитель» не осуществлялись</t>
  </si>
  <si>
    <t>В 1 квартале 2018 года конкурс «Лучший работник органов местного самоуправления» не проводился</t>
  </si>
  <si>
    <t>В 1 квартале 2018 года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 не проводилось</t>
  </si>
  <si>
    <t>местный бюджет, за счёт остатков прошлых лет</t>
  </si>
  <si>
    <t xml:space="preserve">   Перечень объектов, подлежащих страхованию,  утвержден постановлением администрации города Урай от 05.05.2017 №1199
</t>
  </si>
  <si>
    <t>За отчетный период заключены муниципальные контракты и договоры  на оказание услуг с ООО "Капитал", ООО "Эксперт", АО "Тюменская энергосбытовая компания", АО "Шаимгаз", АО "Урайтеплоэнергия".</t>
  </si>
  <si>
    <t>Выполнены кадастровые работы по двум договорам с ИП Кучин С.И.  - договор от 18.12.2017 №389/17 и  от 04.12.2017 №352/17.</t>
  </si>
  <si>
    <t>Выполнены услуги по оценке объектов с ИП Бальчус Елена Игоревна (договор от 18.10.2017 №310/17).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</si>
  <si>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за 2018 год</t>
  </si>
  <si>
    <t xml:space="preserve">В соответствии с планом-графиком запуска потенциальных проектов органа местного самоуправления администрации муниципального образования город Урай на 2018 год  запущены 4 муниципальных проекта:                                                                                                  1. «Создание комфортного и современного учреждения культуры» (Реконструкция нежилого здания под музейно-библиотечный центр по адресу мкр. 2 дом 39/1»)
Цель: Создание комфортного и современного учреждения культуры в соответствии с современными требованиями и рекомендациями стандартов, нормативов.
Критерий успеха: Готовое к эксплуатации комфортное и современное учреждение культуры в соответствии с нормами пожарной, антитеррористической безопасности, рекомендациями стандартов;       
2. «Строительство объекта «Крытый каток в городе Урай»
 Цель: Создание комфортного и современного учреждения спорта в соответствии с современными требованиями и рекомендациями стандартов, нормативов.
Критерий успеха: Готовое к эксплуатации безопасное сооружение с исскуственным льдом,  с комфортными условиями по передвижению на ледовой поверхности, предназначенное для круглодичного катания, скоростного бега и хокке ;       
3. «Новая телефония. Бережливое управление»
Цель: Снижение затрат на телефонную связь до 50%. 
Критерий успеха: Увеличение туристического потока ежегодно на 12%;       
4. «Создание комплекса туристических (экскурсионных) маршрутов по городу Урай и Кондинскому району» 
Цель: Создание условий для развития внутреннего туризма.
Критерий успеха: Функционирующая виртуальная IP-АТС со всеми современными возможностями.
В 2018 году проведено 18 заседаний Проектного комитета администрации города Урай, дано более 126 протокольных поручений, в том числе по выполнению сводного плана по контрольным точкам муниципальных проектов.
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</si>
  <si>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41 пенсионеру</t>
  </si>
  <si>
    <t>Произведены единовременные выплаты  21 гражданину, удостоенному звания "Почетный гражданин города Урай" в соответствии с постановлением администрации города Урай от 04.09.2015 №2918</t>
  </si>
  <si>
    <t>В 2018 году трудоустроено на оплачиваемые общественные работы – 108 человек; безработных, испытывающих трудности в поиске работы – 21 человек; выпускников учебных заведений – 25 человек; несовершеннолетних граждан, в возрасте от 14 до 18 лет в свободное от учебы время – 482 человека;  временно трудоустроены граждан пенсионного возраста – 3 человека, инвалидов на стажировку - 3 человека.</t>
  </si>
  <si>
    <t>Неосвоение средств связано с осуществлением выплат компенсации за фактически отработанное время</t>
  </si>
  <si>
    <t xml:space="preserve">За отчетный период в сфере муниципальной службы внесено изменений в 9 нормативно-правовых акта </t>
  </si>
  <si>
    <t>За отчетный период проведён 1 конкурс в кадровый резерв на 4 должности</t>
  </si>
  <si>
    <t>За отчетный период назначения из резерва кадров на  должности муниципальной службы высшей, главной и ведущей группы, учрежденных для выполнения функции «руководитель» не осуществлялись.</t>
  </si>
  <si>
    <t>В 2018 году конкурс «Лучший работник органов местного самоуправления» не проводился</t>
  </si>
  <si>
    <t>За отчетный период  повысили профессиональный уровень 48 муниципальных служащих органов местного самоуправления города Урай</t>
  </si>
  <si>
    <t>Не освоение средств связано с переносом сроков проведения курсов повышения квалификации главы города Урай</t>
  </si>
  <si>
    <t xml:space="preserve">За отчетный период заключены муниципальные контракты и договоры в количестве 171 штук на содержание объектов муниципальной казны, из них 107 на  техническое обслуживание и содержание объектов  (содержание нежилых помещений в многоквартирных домах, приобретение материалов, поставка огнетушителей, оказание услуг связи и т.д.), 64 на содержание и ремонт транспортных средств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</t>
  </si>
  <si>
    <t xml:space="preserve">Неисполнение произошло из-за поступления возврата средств из фонда социального страхования; экономией средств, сложившейся в результате снижения количества командировок в декабре 2018 года; оплата услуг произведена по факту потребления энергоресурсов и факту выполнения услуг            </t>
  </si>
  <si>
    <t xml:space="preserve">  Общее количество услуг на 01.01.2019 года составляет 55, в том числе 44 муниципальных  услуги и 11 услуг, предоставляемых муниципальными учреждениями. Предоставление государственных и муниципальных услуг осуществляется в строгом соответствии с административными регламентами. Для  44 муниципальных услуг разработаны и утверждены административные регламенты. Актуальные редакции административных регламентов  размещены на сайте ОМСУ и в информационной системе «Реестр государственных и муниципальных услуг (функций) ХМАО-Югры» (далее – РРГУ). Обновление информации в РРГУ осуществляется по мере необходимости, с учетом изменения законодательства и утверждения новых муниципальных услуг. За 2018 год  актуализация информации в РРГУ была проведена ответственными лицами органов администрации  и МКУ по 44 муниципальным услугам.</t>
  </si>
  <si>
    <t>Органами администрации оказываются 44 муниципальных  услуги, 11 услуг, предоставляемых муниципальными учреждениями и 14 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содействия малому и среднему предпринимательству, отдел опеки и попечительства,  управление по учету и распределению муниципального жилого фонда, ЗАГС). За 2018 год всего оказано услуг – 494261, из них: муниципальных услуг – 2783, услуг учреждений – 487400, государственных услуг – 4078.</t>
  </si>
  <si>
    <t>Обеспечена возможность предоставления услуг в электронном виде через ЕПГУ по 28 услугам: 14 муниципальным услугам,  5 – услугам учреждений и 9 государственным услугам.  Заявителям доступны формы заявлений  и   иных   документов, необходимых для получения соответствующих услуг, обеспечен доступ к ним для копирования и заполнения в электронном виде. За 2018 год всего оказано услуг - 494261, из них  в электронном виде 483738 (97,87%), в том числе: оказанных ОМСУ   в электронном виде - 765, что составляет 27,49%, оказанных учреждениями – 482158,  что составляет 98,92%, по переданным государственным полномочиям - 815,  что составляет 19,99%.</t>
  </si>
  <si>
    <t xml:space="preserve"> С целью популяризации получения государственных и муниципальных услуг в электронном виде:
- утвержден Координационный совет по  информатизации при администрации города Урай;
- в рамках исполнения Указа Президента Российской Федерации от 07.05.2012  №601 «Об основных направлениях совершенствования системы государственного управления» для увеличения доли граждан, использующих механизм получения государственных и муниципальных услуг в электронной  форме организованы Центры обслуживания единой системы идентификации и аутентификации (далее ЕСИА) для доступа к единому порталу государственных и муниципальных услуг: в МФЦ -1, в администрации города Урай (архив, отдел по обращениям  граждан, отдел СМП, управление образования, УИТиС) – 5, отделе ЗАГС - 1, МКУ «Управление градостроительства, землепользования и природопользования» - 1.                                                                                                                              За  2018 год в ЕСИА зарегистрировано   – 5517 человек, в том числе в МФЦ – 5361, в администрации – 91, в ЗАГС – 53, МКУ УГЗиП – 12.</t>
  </si>
  <si>
    <t>Социологический опрос по удовлетворенности граждан предоставлением муниципальных услуг  проведен в октябре 2018 года. В октябре 2018 года проведено изучение мнения жителей города о качестве оказания муниципальных услуг.  Из числа опрошенных 91,6% удовлетворены качеством предоставления муниципальных услуг органами местного самоуправления.</t>
  </si>
  <si>
    <t xml:space="preserve">  В соответствии с Федеральным законом от 27.07.2010 №210-ФЗ «Об организации предоставления государственных и муниципальных услуг» в рамках договоров о взаимодействии через  МФЦ предоставляются 228 услуг, в том числе 59 федеральных, 112 региональных, 43 муниципальных и 14 прочих.
На 01.01.2019 МАУ «МФЦ» оказано 52980 услуг, в том числе:
- федеральных 29463 услуги;
- региональных 21852 услуги;
- прочих 291 услуга;
- муниципальных 1372 услуги;
- по переданным гос.полномочиям (ЗАГС) – 2 услуги.
Кроме того:
1) оказано 6173 услуги консультационного характера, в том числе:
- федеральных 3010 услуг;
- региональных 3028 услуг;
- прочих- 2 услуги;
- муниципальных 133 услуги.
2) по заявлению заявителя регистрация на Госпортале (консультация, регистрация, восстановление доступа, подтверждение личности) 5800 услуг.</t>
  </si>
  <si>
    <t>Фактически в 2018 году меньшее количество человек, получающих пенсию за выслугу лет лицам, замещавшим муниципальные должности и должности муниципальной службы в городе Урай по сравнению с плановыми показателями</t>
  </si>
  <si>
    <t xml:space="preserve">В отчетном периоде в действующие муниципальные нормативные правовые акты администрации города Урай внесено 306 изменений и дополнений, принято 46 новых муниципальных нормативных правовых актов администрации города Урай, 10 муниципальных нормативных правовых актов администрации города Урай о признании утратившим силу ранее принятого акта, 40 муниципальных нормативных правовых актов администрации города Урай взамен отмененных.
О деятельности органов местного самоуправления, реализации муниципальных программ и социально-экономических преобразованиях подготовлено 625 материалов в эфире ТРК «Спектр+». В газете «Знамя» опубликовано 520  материалов о деятельности исполнительного и представительного органов власти. В разделе «Новости» на официальном сайте органов местного самоуправления города Урай  размещено 479 пресс-релиза о деятельности органов власти. В городе Урай 2019 год объявлен Годом инвестиционного развития и бизнеса. Мероприятия в рамках объявленного года находят отражение в информационной картине урайских СМИ.                                                                                                                                                                                                           Проведен мониторинг состояний и условий охраны труда в 67 организациях муниципального образования город Урай. Общая численность работников организаций предоставивших информацию составила 13 464 человека. Для руководителей и специалистов организаций, учреждений города проведено 9 семинаров по вопросам охраны труда. В рамках проведения семинара была организована выставка специальной одежды, специальной обуви и других СИЗ, а также смывающих и (или) обезвреживающих средств. Организован муниципальный этап конкурса работников организаций (учреждений, предприятий) Ханты-Мансийского автономного округа – Югры «Оказание первой помощи пострадавшим на производстве». Организовано 2 заседание Межведомственной комиссии по охране труда города Урай, на которых рассмотрено 9 вопросов. Принято участие в расследовании 8 несчастных случаев, из них 4 квалифицированы, как несчастный случай, связанный с производством, 4 по результатам расследования квалифицированы  как несчастный случай не связанный с производством.                                                                                                                                                                                                                                                                                                                                      Отделом ЗАГС зарегистрировано 1 583 записей актов гражданского состояния, из них 507 о рождении, 288 о заключении брака, 422 о смерти, 237 о расторжении брака, 81 об установлении отцовства, 38 о перемене имени и 10 записей об усыновлении. За  2018 год отделом ЗАГС оказано государственных услуг населению  3 064, из них в электронном виде 793, оформлено 3 898 юридически значимых действий, выдано справок и извещений-1 836.                                                                                                                                             В отчетном периоде Архивной службой  оцифровано 121 единиц постоянного хранения на 21 635 листах; подготовлено 2 317 архивных справок на социально-правовые, тематические запросы; поступило в службу 2 331 запрос; изготовлено 389 копий с архивных документов.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123 приемным родителям (среднегодовая численность) за воспитание ребенка. </t>
  </si>
  <si>
    <t xml:space="preserve">Неисполнение произошло по ряду причин: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поступления возврата средств из фонда социального страхования;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экономией средств, сложившейся в результате снижения количества командировок в декабре 2018 года;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не все сотрудники воспользовались правом компенсации санаторно-курортного лечения;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выплатой заработной платы за декабрь и премиальной выплаты за 4 квартал 2018 года за фактически отработанное время;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Департаментом финансов автономного округа не откорректированы лимиты бюджетных обязательств;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оплата услуг произведена по факту выполнения услуг;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снижением количества получателей выплаты вознаграждений приемным родителям                                        </t>
  </si>
  <si>
    <t xml:space="preserve">За отчетный период комитетом по управлению муниципальным имуществом администрации города Урай зарегистрировано 167 объектов недвижимости, из них: 24 новых сетей (УТЭ, НОЙ, УКС, ПК "Шаимский"), 128 старые сети, 9 дорог, 4 безхозных объекта, 1 склад детского сада №16, 1 склад детского сада №12.                               </t>
  </si>
  <si>
    <t>За отчетный период в хозяйственный оборот вовлечено 64 земельных участков, из них : 27 земельных участков передано в аренду без торгов (под производственную базу 2 земельных участка, под огород 4 земельных участка, под трубопроводный транспорт 19 земельных участков); 18 земельных участков передано в аренду с аукционов на право заключения договора аренды; 19 земельных участков реализовано в соответствии с постановлениями  администрации города Урай « О заключении соглашения о перераспределении земельных участков» от 28.12.2017 №3941,   от 28.12.2017 №3943, от 22.01.2018 №93,  от 22.01.2018 №103, от 31.01.2018 №169, от 02.02.2018 №207, от 05.06.2018 №1329, от 10.07.2018 №1696, от 24.07.2018 №1824, от 24.07.2018 №1829,  от 24.07.2018 №1825,   от 24.07.2018 №1826, от 13.08.2018 №2082, от 21.08.2018 №2152, от 22.08.2018 №2162, от 27.08.2018 №2204, от 24.08.2018 №2187, от 15.11.2018 №2971, от 20.12.2018 №3397.</t>
  </si>
  <si>
    <t xml:space="preserve">В соответствии с Федеральным законом от 26.12.1995 №208-ФЗ «Об акционерных обществах» органами управления акционерных обществ с участием муниципального образования являются: общее собрание акционеров и Совет директоров. Органом, осуществляющим контроль за  финансово-хозяйственной деятельностью акционерных обществ является ревизионная комиссия, которая избирается общим собранием акционеров.
Деятельность ревизионной комиссии осуществляется в соответствии с Положениями о ревизионной комиссии, утвержденными Советом директоров каждого акционерного общества, постановлением администрации города Урай (для МУП ритуальных услуг)  и графиком проверок, утвержденным главой города Урай.
В отчетном периоде в соответствии с утвержденными  графиками проведены проверки ревизионными комиссиями  муниципального унитарного предприятия  ритуальных услуг и  акционерных обществ доля акций, которых в муниципальном образовании городской округ город Урай составляет  25%  и более 25%. По результатом ревизионных проверок  за 2017 год произведена оценка состояния финансово-хозяйственной деятельности хозяйствующих субъектов и   выработаны    рекомендаций, направленные на повышение эффективности их деятельности.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повышения эффективности  работы МУПа принято решение об изменении формы собственности, что должно привести к увеличению доходности предприятия и дать возможность участвовать в конкурентных процедурах в соответствии с 223-ФЗ.  Согласно Плану приватизации муниципального имущества на 2017  и плановый период 2018-2019 годы, утвержденному  постановлением администрации города Урай от 10.01.2017 №23 муниципальное унитарное предприятие ритуальных услуг  подлежит приватизации  путем преобразования из муниципального унитарного предприятия в общество с ограниченной ответственностью Ритуальных услуг. Постановлением администрации города Урай от 10.12.2018 №3247 определен порядок приватизации  муниципального унитарного предприятия ритуальных услуг.
В Единый государственный  реестр юридических лиц 26.12.2018 внесена  запись о том,  что юридическое лицо - муниципальное унитарное предприятие ритуальных услуг находится в процессе реорганизации в форме преобразования.
В целях повышение результативности финансово-хозяйственной деятельности хозяйствующих субъектов с долей участия муниципального образования городской округ город Урай постановлением администрации города Урай  от 10.12.2018 №3227 утвержден порядок деятельности представителей  интересов муниципального образования городской округ город Урай в органах управления хозяйственных обществ.  
</t>
  </si>
  <si>
    <t xml:space="preserve">За отчетный период в рамках реализации мероприятия программы производились расходы на содержание нежилых помещений, находящихся в муниципальной собственности, которые расположены в многоквартирных жилых домах; услуги аудита ООО "Омская дочерняя аудиторская фирма "Аудитинформ"; внесение записи о переходе прав собственности на ценные бумаги АО "Индустрия-РЕЕСТР", оплата по прейскуранту АО "Регистратор Р.О.С.Т.", услуги по оценке объектов оценки  ООО "Независимая компания оценщиков "Наш формат", услуги по выполнению кадастровых работ с ИП Лихачев В.Н.                                                                                                                                                      </t>
  </si>
  <si>
    <t>Неисполнение связано с оплатой услуг по заключенным договорам согласно фактических объемов потребления энергоресурсов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</si>
  <si>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</si>
  <si>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</si>
  <si>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</si>
  <si>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</si>
  <si>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r>
      <t xml:space="preserve">"______"_________________2019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</si>
  <si>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>Начальник сводно-аналитического отдела администрации города Урай Назарова Ирина Николаевна</t>
  </si>
  <si>
    <t xml:space="preserve">Неисполнение связано с наличием заключенных муниципальных контрактов на выполнение кадастровых работ  со сроком исполнения в 2019 году </t>
  </si>
  <si>
    <t>кроме того, местный бюджет, за счёт остатков прошлых лет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</si>
</sst>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164" fontId="13" fillId="0" borderId="0" applyFont="0" applyFill="0" applyBorder="0" applyAlignment="0" applyProtection="0"/>
    <xf numFmtId="0" fontId="31" fillId="0" borderId="0"/>
  </cellStyleXfs>
  <cellXfs count="512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7" fontId="19" fillId="4" borderId="1" xfId="2" applyNumberFormat="1" applyFont="1" applyFill="1" applyBorder="1" applyAlignment="1">
      <alignment horizontal="center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165" fontId="19" fillId="0" borderId="1" xfId="2" applyNumberFormat="1" applyFont="1" applyFill="1" applyBorder="1" applyAlignment="1">
      <alignment horizontal="center" vertical="center" wrapText="1"/>
    </xf>
    <xf numFmtId="167" fontId="21" fillId="4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 wrapText="1"/>
      <protection locked="0"/>
    </xf>
    <xf numFmtId="165" fontId="2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7" fontId="16" fillId="0" borderId="0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5" fontId="19" fillId="5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0" fillId="0" borderId="0" xfId="0" applyFill="1"/>
    <xf numFmtId="167" fontId="19" fillId="5" borderId="1" xfId="2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7" fontId="24" fillId="0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167" fontId="19" fillId="5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65" fontId="19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167" fontId="3" fillId="5" borderId="1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horizontal="right" vertical="center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readingOrder="1"/>
    </xf>
    <xf numFmtId="0" fontId="26" fillId="0" borderId="0" xfId="0" applyFont="1" applyAlignment="1"/>
    <xf numFmtId="165" fontId="3" fillId="0" borderId="7" xfId="0" applyNumberFormat="1" applyFont="1" applyFill="1" applyBorder="1" applyAlignment="1">
      <alignment horizontal="left" vertical="center" wrapText="1"/>
    </xf>
    <xf numFmtId="167" fontId="21" fillId="5" borderId="1" xfId="2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0" fontId="24" fillId="5" borderId="8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" fontId="19" fillId="0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67" fontId="1" fillId="0" borderId="1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7" fontId="1" fillId="0" borderId="14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7" fontId="21" fillId="0" borderId="1" xfId="2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>
      <alignment horizontal="left" vertical="top" wrapText="1"/>
    </xf>
    <xf numFmtId="167" fontId="19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7" fontId="1" fillId="0" borderId="14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7" fontId="3" fillId="0" borderId="8" xfId="0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0" fontId="26" fillId="0" borderId="1" xfId="0" applyFont="1" applyFill="1" applyBorder="1"/>
    <xf numFmtId="0" fontId="26" fillId="0" borderId="0" xfId="0" applyFont="1" applyFill="1"/>
    <xf numFmtId="0" fontId="25" fillId="0" borderId="0" xfId="0" applyFont="1" applyFill="1"/>
    <xf numFmtId="0" fontId="24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167" fontId="3" fillId="5" borderId="10" xfId="0" applyNumberFormat="1" applyFont="1" applyFill="1" applyBorder="1" applyAlignment="1">
      <alignment horizontal="center" vertical="center"/>
    </xf>
    <xf numFmtId="49" fontId="19" fillId="5" borderId="10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166" fontId="19" fillId="5" borderId="1" xfId="2" applyNumberFormat="1" applyFont="1" applyFill="1" applyBorder="1" applyAlignment="1">
      <alignment horizontal="center" vertical="center" wrapText="1"/>
    </xf>
    <xf numFmtId="4" fontId="19" fillId="5" borderId="1" xfId="2" applyNumberFormat="1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 applyProtection="1">
      <alignment horizontal="left" vertical="center" wrapText="1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1" fontId="19" fillId="5" borderId="6" xfId="0" applyNumberFormat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165" fontId="19" fillId="5" borderId="4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top" wrapText="1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1" fontId="32" fillId="5" borderId="8" xfId="0" applyNumberFormat="1" applyFont="1" applyFill="1" applyBorder="1" applyAlignment="1">
      <alignment horizontal="center" vertical="center" wrapText="1"/>
    </xf>
    <xf numFmtId="0" fontId="33" fillId="5" borderId="8" xfId="0" applyFont="1" applyFill="1" applyBorder="1" applyAlignment="1" applyProtection="1">
      <alignment horizontal="left" vertical="center" wrapText="1"/>
      <protection locked="0"/>
    </xf>
    <xf numFmtId="0" fontId="33" fillId="5" borderId="8" xfId="0" applyFont="1" applyFill="1" applyBorder="1" applyAlignment="1" applyProtection="1">
      <alignment horizontal="center" vertical="center" wrapText="1"/>
      <protection locked="0"/>
    </xf>
    <xf numFmtId="49" fontId="33" fillId="5" borderId="8" xfId="0" applyNumberFormat="1" applyFont="1" applyFill="1" applyBorder="1" applyAlignment="1" applyProtection="1">
      <alignment horizontal="center" vertical="center" wrapText="1"/>
      <protection locked="0"/>
    </xf>
    <xf numFmtId="165" fontId="32" fillId="5" borderId="1" xfId="0" applyNumberFormat="1" applyFont="1" applyFill="1" applyBorder="1" applyAlignment="1">
      <alignment horizontal="left" vertical="center" wrapText="1"/>
    </xf>
    <xf numFmtId="165" fontId="19" fillId="5" borderId="10" xfId="0" applyNumberFormat="1" applyFont="1" applyFill="1" applyBorder="1" applyAlignment="1">
      <alignment horizontal="left" vertical="center" wrapText="1"/>
    </xf>
    <xf numFmtId="167" fontId="19" fillId="5" borderId="10" xfId="2" applyNumberFormat="1" applyFont="1" applyFill="1" applyBorder="1" applyAlignment="1">
      <alignment horizontal="center" vertical="center" wrapText="1"/>
    </xf>
    <xf numFmtId="167" fontId="24" fillId="5" borderId="10" xfId="0" applyNumberFormat="1" applyFont="1" applyFill="1" applyBorder="1" applyAlignment="1">
      <alignment horizontal="center" vertical="center"/>
    </xf>
    <xf numFmtId="165" fontId="19" fillId="5" borderId="10" xfId="2" applyNumberFormat="1" applyFont="1" applyFill="1" applyBorder="1" applyAlignment="1">
      <alignment horizontal="center" vertical="center" wrapText="1"/>
    </xf>
    <xf numFmtId="1" fontId="32" fillId="5" borderId="1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 applyProtection="1">
      <alignment horizontal="left" vertical="center" wrapText="1"/>
      <protection locked="0"/>
    </xf>
    <xf numFmtId="0" fontId="33" fillId="5" borderId="1" xfId="0" applyFont="1" applyFill="1" applyBorder="1" applyAlignment="1" applyProtection="1">
      <alignment horizontal="center" vertical="center" wrapText="1"/>
      <protection locked="0"/>
    </xf>
    <xf numFmtId="49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0" fillId="5" borderId="0" xfId="0" applyFill="1" applyBorder="1"/>
    <xf numFmtId="0" fontId="27" fillId="0" borderId="0" xfId="0" applyFont="1" applyAlignment="1"/>
    <xf numFmtId="0" fontId="34" fillId="0" borderId="0" xfId="0" applyFont="1" applyAlignment="1">
      <alignment horizontal="left" readingOrder="1"/>
    </xf>
    <xf numFmtId="0" fontId="20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left" vertical="center" wrapText="1"/>
    </xf>
    <xf numFmtId="165" fontId="21" fillId="4" borderId="11" xfId="0" applyNumberFormat="1" applyFont="1" applyFill="1" applyBorder="1" applyAlignment="1">
      <alignment horizontal="left" vertical="center" wrapText="1"/>
    </xf>
    <xf numFmtId="165" fontId="21" fillId="4" borderId="12" xfId="0" applyNumberFormat="1" applyFont="1" applyFill="1" applyBorder="1" applyAlignment="1">
      <alignment horizontal="left" vertical="center" wrapText="1"/>
    </xf>
    <xf numFmtId="165" fontId="21" fillId="4" borderId="13" xfId="0" applyNumberFormat="1" applyFont="1" applyFill="1" applyBorder="1" applyAlignment="1">
      <alignment horizontal="left" vertical="center" wrapText="1"/>
    </xf>
    <xf numFmtId="165" fontId="21" fillId="4" borderId="9" xfId="0" applyNumberFormat="1" applyFont="1" applyFill="1" applyBorder="1" applyAlignment="1">
      <alignment horizontal="left" vertical="center" wrapText="1"/>
    </xf>
    <xf numFmtId="165" fontId="21" fillId="4" borderId="0" xfId="0" applyNumberFormat="1" applyFont="1" applyFill="1" applyBorder="1" applyAlignment="1">
      <alignment horizontal="left" vertical="center" wrapText="1"/>
    </xf>
    <xf numFmtId="165" fontId="21" fillId="4" borderId="14" xfId="0" applyNumberFormat="1" applyFont="1" applyFill="1" applyBorder="1" applyAlignment="1">
      <alignment horizontal="left" vertical="center" wrapText="1"/>
    </xf>
    <xf numFmtId="165" fontId="21" fillId="4" borderId="15" xfId="0" applyNumberFormat="1" applyFont="1" applyFill="1" applyBorder="1" applyAlignment="1">
      <alignment horizontal="left" vertical="center" wrapText="1"/>
    </xf>
    <xf numFmtId="165" fontId="21" fillId="4" borderId="7" xfId="0" applyNumberFormat="1" applyFont="1" applyFill="1" applyBorder="1" applyAlignment="1">
      <alignment horizontal="left" vertical="center" wrapText="1"/>
    </xf>
    <xf numFmtId="165" fontId="21" fillId="4" borderId="3" xfId="0" applyNumberFormat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7" fontId="1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8" xfId="0" applyFont="1" applyFill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49" fontId="2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8" fillId="4" borderId="11" xfId="0" applyFont="1" applyFill="1" applyBorder="1" applyAlignment="1" applyProtection="1">
      <alignment horizontal="left" vertical="center" wrapText="1"/>
      <protection locked="0"/>
    </xf>
    <xf numFmtId="0" fontId="28" fillId="4" borderId="12" xfId="0" applyFont="1" applyFill="1" applyBorder="1" applyAlignment="1" applyProtection="1">
      <alignment horizontal="left" vertical="center" wrapText="1"/>
      <protection locked="0"/>
    </xf>
    <xf numFmtId="0" fontId="28" fillId="4" borderId="13" xfId="0" applyFont="1" applyFill="1" applyBorder="1" applyAlignment="1" applyProtection="1">
      <alignment horizontal="left" vertical="center" wrapText="1"/>
      <protection locked="0"/>
    </xf>
    <xf numFmtId="0" fontId="28" fillId="4" borderId="9" xfId="0" applyFont="1" applyFill="1" applyBorder="1" applyAlignment="1" applyProtection="1">
      <alignment horizontal="left"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8" fillId="4" borderId="14" xfId="0" applyFont="1" applyFill="1" applyBorder="1" applyAlignment="1" applyProtection="1">
      <alignment horizontal="left" vertical="center" wrapText="1"/>
      <protection locked="0"/>
    </xf>
    <xf numFmtId="0" fontId="28" fillId="4" borderId="15" xfId="0" applyFont="1" applyFill="1" applyBorder="1" applyAlignment="1" applyProtection="1">
      <alignment horizontal="left" vertical="center" wrapText="1"/>
      <protection locked="0"/>
    </xf>
    <xf numFmtId="0" fontId="28" fillId="4" borderId="7" xfId="0" applyFont="1" applyFill="1" applyBorder="1" applyAlignment="1" applyProtection="1">
      <alignment horizontal="left" vertical="center" wrapText="1"/>
      <protection locked="0"/>
    </xf>
    <xf numFmtId="0" fontId="28" fillId="4" borderId="3" xfId="0" applyFont="1" applyFill="1" applyBorder="1" applyAlignment="1" applyProtection="1">
      <alignment horizontal="left" vertical="center" wrapText="1"/>
      <protection locked="0"/>
    </xf>
    <xf numFmtId="0" fontId="25" fillId="5" borderId="1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165" fontId="1" fillId="4" borderId="1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7" fontId="3" fillId="5" borderId="10" xfId="0" applyNumberFormat="1" applyFont="1" applyFill="1" applyBorder="1" applyAlignment="1">
      <alignment horizontal="center" vertical="center"/>
    </xf>
    <xf numFmtId="167" fontId="3" fillId="5" borderId="8" xfId="0" applyNumberFormat="1" applyFont="1" applyFill="1" applyBorder="1" applyAlignment="1">
      <alignment horizontal="center" vertical="center"/>
    </xf>
    <xf numFmtId="167" fontId="3" fillId="5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horizontal="left" vertical="center" wrapText="1"/>
      <protection locked="0"/>
    </xf>
    <xf numFmtId="0" fontId="28" fillId="0" borderId="9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14" xfId="0" applyFont="1" applyFill="1" applyBorder="1" applyAlignment="1" applyProtection="1">
      <alignment horizontal="left" vertical="center" wrapText="1"/>
      <protection locked="0"/>
    </xf>
    <xf numFmtId="0" fontId="28" fillId="0" borderId="15" xfId="0" applyFont="1" applyFill="1" applyBorder="1" applyAlignment="1" applyProtection="1">
      <alignment horizontal="left" vertical="center" wrapText="1"/>
      <protection locked="0"/>
    </xf>
    <xf numFmtId="0" fontId="28" fillId="0" borderId="7" xfId="0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165" fontId="20" fillId="4" borderId="4" xfId="0" applyNumberFormat="1" applyFont="1" applyFill="1" applyBorder="1" applyAlignment="1">
      <alignment horizontal="left" vertical="center" wrapText="1"/>
    </xf>
    <xf numFmtId="165" fontId="20" fillId="4" borderId="5" xfId="0" applyNumberFormat="1" applyFont="1" applyFill="1" applyBorder="1" applyAlignment="1">
      <alignment horizontal="left" vertical="center" wrapText="1"/>
    </xf>
    <xf numFmtId="165" fontId="20" fillId="4" borderId="2" xfId="0" applyNumberFormat="1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67" fontId="1" fillId="4" borderId="10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167" fontId="1" fillId="4" borderId="6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165" fontId="21" fillId="5" borderId="11" xfId="0" applyNumberFormat="1" applyFont="1" applyFill="1" applyBorder="1" applyAlignment="1">
      <alignment horizontal="left" vertical="center" wrapText="1"/>
    </xf>
    <xf numFmtId="165" fontId="21" fillId="5" borderId="12" xfId="0" applyNumberFormat="1" applyFont="1" applyFill="1" applyBorder="1" applyAlignment="1">
      <alignment horizontal="left" vertical="center" wrapText="1"/>
    </xf>
    <xf numFmtId="165" fontId="21" fillId="5" borderId="13" xfId="0" applyNumberFormat="1" applyFont="1" applyFill="1" applyBorder="1" applyAlignment="1">
      <alignment horizontal="left" vertical="center" wrapText="1"/>
    </xf>
    <xf numFmtId="165" fontId="21" fillId="5" borderId="9" xfId="0" applyNumberFormat="1" applyFont="1" applyFill="1" applyBorder="1" applyAlignment="1">
      <alignment horizontal="left" vertical="center" wrapText="1"/>
    </xf>
    <xf numFmtId="165" fontId="21" fillId="5" borderId="0" xfId="0" applyNumberFormat="1" applyFont="1" applyFill="1" applyBorder="1" applyAlignment="1">
      <alignment horizontal="left" vertical="center" wrapText="1"/>
    </xf>
    <xf numFmtId="165" fontId="21" fillId="5" borderId="14" xfId="0" applyNumberFormat="1" applyFont="1" applyFill="1" applyBorder="1" applyAlignment="1">
      <alignment horizontal="left" vertical="center" wrapText="1"/>
    </xf>
    <xf numFmtId="165" fontId="21" fillId="5" borderId="15" xfId="0" applyNumberFormat="1" applyFont="1" applyFill="1" applyBorder="1" applyAlignment="1">
      <alignment horizontal="left" vertical="center" wrapText="1"/>
    </xf>
    <xf numFmtId="165" fontId="21" fillId="5" borderId="7" xfId="0" applyNumberFormat="1" applyFont="1" applyFill="1" applyBorder="1" applyAlignment="1">
      <alignment horizontal="left" vertical="center" wrapText="1"/>
    </xf>
    <xf numFmtId="165" fontId="21" fillId="5" borderId="3" xfId="0" applyNumberFormat="1" applyFont="1" applyFill="1" applyBorder="1" applyAlignment="1">
      <alignment horizontal="left" vertical="center" wrapText="1"/>
    </xf>
    <xf numFmtId="49" fontId="19" fillId="5" borderId="10" xfId="0" applyNumberFormat="1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left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left" vertical="top" wrapText="1"/>
    </xf>
    <xf numFmtId="0" fontId="19" fillId="5" borderId="8" xfId="0" applyFont="1" applyFill="1" applyBorder="1" applyAlignment="1">
      <alignment horizontal="left" vertical="top" wrapText="1"/>
    </xf>
    <xf numFmtId="0" fontId="19" fillId="5" borderId="6" xfId="0" applyFont="1" applyFill="1" applyBorder="1" applyAlignment="1">
      <alignment horizontal="left" vertical="top" wrapText="1"/>
    </xf>
    <xf numFmtId="0" fontId="28" fillId="5" borderId="11" xfId="0" applyFont="1" applyFill="1" applyBorder="1" applyAlignment="1" applyProtection="1">
      <alignment horizontal="left" vertical="center" wrapText="1"/>
      <protection locked="0"/>
    </xf>
    <xf numFmtId="0" fontId="28" fillId="5" borderId="12" xfId="0" applyFont="1" applyFill="1" applyBorder="1" applyAlignment="1" applyProtection="1">
      <alignment horizontal="left" vertical="center" wrapText="1"/>
      <protection locked="0"/>
    </xf>
    <xf numFmtId="0" fontId="28" fillId="5" borderId="13" xfId="0" applyFont="1" applyFill="1" applyBorder="1" applyAlignment="1" applyProtection="1">
      <alignment horizontal="left" vertical="center" wrapText="1"/>
      <protection locked="0"/>
    </xf>
    <xf numFmtId="0" fontId="28" fillId="5" borderId="9" xfId="0" applyFont="1" applyFill="1" applyBorder="1" applyAlignment="1" applyProtection="1">
      <alignment horizontal="left" vertical="center" wrapText="1"/>
      <protection locked="0"/>
    </xf>
    <xf numFmtId="0" fontId="28" fillId="5" borderId="0" xfId="0" applyFont="1" applyFill="1" applyBorder="1" applyAlignment="1" applyProtection="1">
      <alignment horizontal="left" vertical="center" wrapText="1"/>
      <protection locked="0"/>
    </xf>
    <xf numFmtId="0" fontId="28" fillId="5" borderId="14" xfId="0" applyFont="1" applyFill="1" applyBorder="1" applyAlignment="1" applyProtection="1">
      <alignment horizontal="left" vertical="center" wrapText="1"/>
      <protection locked="0"/>
    </xf>
    <xf numFmtId="0" fontId="28" fillId="5" borderId="15" xfId="0" applyFont="1" applyFill="1" applyBorder="1" applyAlignment="1" applyProtection="1">
      <alignment horizontal="left" vertical="center" wrapText="1"/>
      <protection locked="0"/>
    </xf>
    <xf numFmtId="0" fontId="28" fillId="5" borderId="7" xfId="0" applyFont="1" applyFill="1" applyBorder="1" applyAlignment="1" applyProtection="1">
      <alignment horizontal="left" vertical="center" wrapText="1"/>
      <protection locked="0"/>
    </xf>
    <xf numFmtId="0" fontId="28" fillId="5" borderId="3" xfId="0" applyFont="1" applyFill="1" applyBorder="1" applyAlignment="1" applyProtection="1">
      <alignment horizontal="left" vertical="center" wrapText="1"/>
      <protection locked="0"/>
    </xf>
    <xf numFmtId="165" fontId="19" fillId="5" borderId="10" xfId="0" applyNumberFormat="1" applyFont="1" applyFill="1" applyBorder="1" applyAlignment="1">
      <alignment horizontal="center" vertical="center" wrapText="1"/>
    </xf>
    <xf numFmtId="165" fontId="19" fillId="5" borderId="8" xfId="0" applyNumberFormat="1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1" fontId="19" fillId="5" borderId="10" xfId="0" applyNumberFormat="1" applyFont="1" applyFill="1" applyBorder="1" applyAlignment="1">
      <alignment horizontal="center" vertical="center" wrapText="1"/>
    </xf>
    <xf numFmtId="1" fontId="19" fillId="5" borderId="8" xfId="0" applyNumberFormat="1" applyFont="1" applyFill="1" applyBorder="1" applyAlignment="1">
      <alignment horizontal="center" vertical="center" wrapText="1"/>
    </xf>
    <xf numFmtId="1" fontId="19" fillId="5" borderId="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/>
    </xf>
    <xf numFmtId="165" fontId="1" fillId="5" borderId="12" xfId="0" applyNumberFormat="1" applyFont="1" applyFill="1" applyBorder="1" applyAlignment="1">
      <alignment horizontal="center" vertical="center"/>
    </xf>
    <xf numFmtId="165" fontId="1" fillId="5" borderId="13" xfId="0" applyNumberFormat="1" applyFont="1" applyFill="1" applyBorder="1" applyAlignment="1">
      <alignment horizontal="center" vertical="center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horizontal="center" vertical="center"/>
    </xf>
    <xf numFmtId="165" fontId="1" fillId="5" borderId="14" xfId="0" applyNumberFormat="1" applyFont="1" applyFill="1" applyBorder="1" applyAlignment="1">
      <alignment horizontal="center" vertical="center"/>
    </xf>
    <xf numFmtId="165" fontId="1" fillId="5" borderId="15" xfId="0" applyNumberFormat="1" applyFont="1" applyFill="1" applyBorder="1" applyAlignment="1">
      <alignment horizontal="center" vertical="center"/>
    </xf>
    <xf numFmtId="165" fontId="1" fillId="5" borderId="7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5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58150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1757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5653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86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14850" y="43605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85" t="s">
        <v>40</v>
      </c>
      <c r="B1" s="286"/>
      <c r="C1" s="287" t="s">
        <v>41</v>
      </c>
      <c r="D1" s="279" t="s">
        <v>45</v>
      </c>
      <c r="E1" s="280"/>
      <c r="F1" s="281"/>
      <c r="G1" s="279" t="s">
        <v>18</v>
      </c>
      <c r="H1" s="280"/>
      <c r="I1" s="281"/>
      <c r="J1" s="279" t="s">
        <v>19</v>
      </c>
      <c r="K1" s="280"/>
      <c r="L1" s="281"/>
      <c r="M1" s="279" t="s">
        <v>23</v>
      </c>
      <c r="N1" s="280"/>
      <c r="O1" s="281"/>
      <c r="P1" s="282" t="s">
        <v>24</v>
      </c>
      <c r="Q1" s="283"/>
      <c r="R1" s="279" t="s">
        <v>25</v>
      </c>
      <c r="S1" s="280"/>
      <c r="T1" s="281"/>
      <c r="U1" s="279" t="s">
        <v>26</v>
      </c>
      <c r="V1" s="280"/>
      <c r="W1" s="281"/>
      <c r="X1" s="282" t="s">
        <v>27</v>
      </c>
      <c r="Y1" s="284"/>
      <c r="Z1" s="283"/>
      <c r="AA1" s="282" t="s">
        <v>28</v>
      </c>
      <c r="AB1" s="283"/>
      <c r="AC1" s="279" t="s">
        <v>29</v>
      </c>
      <c r="AD1" s="280"/>
      <c r="AE1" s="281"/>
      <c r="AF1" s="279" t="s">
        <v>30</v>
      </c>
      <c r="AG1" s="280"/>
      <c r="AH1" s="281"/>
      <c r="AI1" s="279" t="s">
        <v>31</v>
      </c>
      <c r="AJ1" s="280"/>
      <c r="AK1" s="281"/>
      <c r="AL1" s="282" t="s">
        <v>32</v>
      </c>
      <c r="AM1" s="283"/>
      <c r="AN1" s="279" t="s">
        <v>33</v>
      </c>
      <c r="AO1" s="280"/>
      <c r="AP1" s="281"/>
      <c r="AQ1" s="279" t="s">
        <v>34</v>
      </c>
      <c r="AR1" s="280"/>
      <c r="AS1" s="281"/>
      <c r="AT1" s="279" t="s">
        <v>35</v>
      </c>
      <c r="AU1" s="280"/>
      <c r="AV1" s="281"/>
    </row>
    <row r="2" spans="1:48" ht="39" customHeight="1">
      <c r="A2" s="286"/>
      <c r="B2" s="286"/>
      <c r="C2" s="287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287" t="s">
        <v>83</v>
      </c>
      <c r="B3" s="287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87"/>
      <c r="B4" s="287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87"/>
      <c r="B5" s="287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87"/>
      <c r="B6" s="287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87"/>
      <c r="B7" s="287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87"/>
      <c r="B8" s="287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87"/>
      <c r="B9" s="287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9" t="s">
        <v>58</v>
      </c>
      <c r="B1" s="289"/>
      <c r="C1" s="289"/>
      <c r="D1" s="289"/>
      <c r="E1" s="289"/>
    </row>
    <row r="2" spans="1:5">
      <c r="A2" s="12"/>
      <c r="B2" s="12"/>
      <c r="C2" s="12"/>
      <c r="D2" s="12"/>
      <c r="E2" s="12"/>
    </row>
    <row r="3" spans="1:5">
      <c r="A3" s="290" t="s">
        <v>130</v>
      </c>
      <c r="B3" s="290"/>
      <c r="C3" s="290"/>
      <c r="D3" s="290"/>
      <c r="E3" s="29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88" t="s">
        <v>79</v>
      </c>
      <c r="B26" s="288"/>
      <c r="C26" s="288"/>
      <c r="D26" s="288"/>
      <c r="E26" s="288"/>
    </row>
    <row r="27" spans="1:5">
      <c r="A27" s="28"/>
      <c r="B27" s="28"/>
      <c r="C27" s="28"/>
      <c r="D27" s="28"/>
      <c r="E27" s="28"/>
    </row>
    <row r="28" spans="1:5">
      <c r="A28" s="288" t="s">
        <v>80</v>
      </c>
      <c r="B28" s="288"/>
      <c r="C28" s="288"/>
      <c r="D28" s="288"/>
      <c r="E28" s="288"/>
    </row>
    <row r="29" spans="1:5">
      <c r="A29" s="288"/>
      <c r="B29" s="288"/>
      <c r="C29" s="288"/>
      <c r="D29" s="288"/>
      <c r="E29" s="288"/>
    </row>
  </sheetData>
  <mergeCells count="5">
    <mergeCell ref="A29:E29"/>
    <mergeCell ref="A1:E1"/>
    <mergeCell ref="A3:E3"/>
    <mergeCell ref="A26:E26"/>
    <mergeCell ref="A28:E28"/>
  </mergeCells>
  <phoneticPr fontId="17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8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0" t="s">
        <v>0</v>
      </c>
      <c r="B3" s="314" t="s">
        <v>46</v>
      </c>
      <c r="C3" s="314"/>
      <c r="D3" s="40" t="s">
        <v>18</v>
      </c>
      <c r="E3" s="52" t="s">
        <v>19</v>
      </c>
      <c r="F3" s="40" t="s">
        <v>23</v>
      </c>
      <c r="G3" s="52" t="s">
        <v>25</v>
      </c>
      <c r="H3" s="40" t="s">
        <v>26</v>
      </c>
      <c r="I3" s="52" t="s">
        <v>27</v>
      </c>
      <c r="J3" s="40" t="s">
        <v>29</v>
      </c>
      <c r="K3" s="52" t="s">
        <v>30</v>
      </c>
      <c r="L3" s="40" t="s">
        <v>31</v>
      </c>
      <c r="M3" s="52" t="s">
        <v>33</v>
      </c>
      <c r="N3" s="40" t="s">
        <v>34</v>
      </c>
      <c r="O3" s="52" t="s">
        <v>35</v>
      </c>
      <c r="P3" s="40" t="s">
        <v>81</v>
      </c>
      <c r="Q3" s="40" t="s">
        <v>50</v>
      </c>
      <c r="R3" s="39" t="s">
        <v>18</v>
      </c>
      <c r="S3" s="33" t="s">
        <v>19</v>
      </c>
      <c r="T3" s="39" t="s">
        <v>23</v>
      </c>
      <c r="U3" s="33" t="s">
        <v>25</v>
      </c>
      <c r="V3" s="39" t="s">
        <v>26</v>
      </c>
      <c r="W3" s="33" t="s">
        <v>27</v>
      </c>
      <c r="X3" s="39" t="s">
        <v>29</v>
      </c>
      <c r="Y3" s="33" t="s">
        <v>30</v>
      </c>
      <c r="Z3" s="39" t="s">
        <v>31</v>
      </c>
      <c r="AA3" s="33" t="s">
        <v>33</v>
      </c>
      <c r="AB3" s="39" t="s">
        <v>34</v>
      </c>
      <c r="AC3" s="33" t="s">
        <v>35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308" t="s">
        <v>2</v>
      </c>
      <c r="B5" s="296" t="s">
        <v>85</v>
      </c>
      <c r="C5" s="57" t="s">
        <v>21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308"/>
      <c r="B6" s="296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308"/>
      <c r="B7" s="296"/>
      <c r="C7" s="57" t="s">
        <v>22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308" t="s">
        <v>4</v>
      </c>
      <c r="B8" s="296" t="s">
        <v>86</v>
      </c>
      <c r="C8" s="57" t="s">
        <v>21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300" t="s">
        <v>205</v>
      </c>
      <c r="N8" s="301"/>
      <c r="O8" s="302"/>
      <c r="P8" s="60"/>
      <c r="Q8" s="60"/>
    </row>
    <row r="9" spans="1:256" ht="33.75" customHeight="1">
      <c r="A9" s="308"/>
      <c r="B9" s="296"/>
      <c r="C9" s="57" t="s">
        <v>22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308" t="s">
        <v>5</v>
      </c>
      <c r="B10" s="296" t="s">
        <v>87</v>
      </c>
      <c r="C10" s="57" t="s">
        <v>21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308"/>
      <c r="B11" s="296"/>
      <c r="C11" s="57" t="s">
        <v>22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308" t="s">
        <v>6</v>
      </c>
      <c r="B12" s="296" t="s">
        <v>228</v>
      </c>
      <c r="C12" s="57" t="s">
        <v>21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308"/>
      <c r="B13" s="296"/>
      <c r="C13" s="57" t="s">
        <v>22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308" t="s">
        <v>10</v>
      </c>
      <c r="B14" s="296" t="s">
        <v>88</v>
      </c>
      <c r="C14" s="57" t="s">
        <v>21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308"/>
      <c r="B15" s="296"/>
      <c r="C15" s="57" t="s">
        <v>22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5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307"/>
      <c r="AJ16" s="307"/>
      <c r="AK16" s="307"/>
      <c r="AZ16" s="307"/>
      <c r="BA16" s="307"/>
      <c r="BB16" s="307"/>
      <c r="BQ16" s="307"/>
      <c r="BR16" s="307"/>
      <c r="BS16" s="307"/>
      <c r="CH16" s="307"/>
      <c r="CI16" s="307"/>
      <c r="CJ16" s="307"/>
      <c r="CY16" s="307"/>
      <c r="CZ16" s="307"/>
      <c r="DA16" s="307"/>
      <c r="DP16" s="307"/>
      <c r="DQ16" s="307"/>
      <c r="DR16" s="307"/>
      <c r="EG16" s="307"/>
      <c r="EH16" s="307"/>
      <c r="EI16" s="307"/>
      <c r="EX16" s="307"/>
      <c r="EY16" s="307"/>
      <c r="EZ16" s="307"/>
      <c r="FO16" s="307"/>
      <c r="FP16" s="307"/>
      <c r="FQ16" s="307"/>
      <c r="GF16" s="307"/>
      <c r="GG16" s="307"/>
      <c r="GH16" s="307"/>
      <c r="GW16" s="307"/>
      <c r="GX16" s="307"/>
      <c r="GY16" s="307"/>
      <c r="HN16" s="307"/>
      <c r="HO16" s="307"/>
      <c r="HP16" s="307"/>
      <c r="IE16" s="307"/>
      <c r="IF16" s="307"/>
      <c r="IG16" s="307"/>
      <c r="IV16" s="307"/>
    </row>
    <row r="17" spans="1:17" ht="320.25" customHeight="1">
      <c r="A17" s="308" t="s">
        <v>7</v>
      </c>
      <c r="B17" s="296" t="s">
        <v>90</v>
      </c>
      <c r="C17" s="57" t="s">
        <v>21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308"/>
      <c r="B18" s="296"/>
      <c r="C18" s="57" t="s">
        <v>22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308" t="s">
        <v>8</v>
      </c>
      <c r="B19" s="296" t="s">
        <v>226</v>
      </c>
      <c r="C19" s="57" t="s">
        <v>21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308"/>
      <c r="B20" s="296"/>
      <c r="C20" s="57" t="s">
        <v>22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308" t="s">
        <v>9</v>
      </c>
      <c r="B21" s="296" t="s">
        <v>229</v>
      </c>
      <c r="C21" s="57" t="s">
        <v>21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308"/>
      <c r="B22" s="296"/>
      <c r="C22" s="57" t="s">
        <v>22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303" t="s">
        <v>15</v>
      </c>
      <c r="B23" s="306" t="s">
        <v>230</v>
      </c>
      <c r="C23" s="72" t="s">
        <v>21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305"/>
      <c r="B24" s="306"/>
      <c r="C24" s="72" t="s">
        <v>22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311" t="s">
        <v>16</v>
      </c>
      <c r="B25" s="306" t="s">
        <v>231</v>
      </c>
      <c r="C25" s="72" t="s">
        <v>21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311"/>
      <c r="B26" s="306"/>
      <c r="C26" s="72" t="s">
        <v>22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5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17</v>
      </c>
      <c r="B28" s="58" t="s">
        <v>232</v>
      </c>
      <c r="C28" s="57" t="s">
        <v>21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22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6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308" t="s">
        <v>94</v>
      </c>
      <c r="B31" s="296" t="s">
        <v>93</v>
      </c>
      <c r="C31" s="57" t="s">
        <v>21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308"/>
      <c r="B32" s="296"/>
      <c r="C32" s="57" t="s">
        <v>22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5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308" t="s">
        <v>96</v>
      </c>
      <c r="B34" s="296" t="s">
        <v>97</v>
      </c>
      <c r="C34" s="57" t="s">
        <v>21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308"/>
      <c r="B35" s="296"/>
      <c r="C35" s="57" t="s">
        <v>22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309" t="s">
        <v>98</v>
      </c>
      <c r="B36" s="297" t="s">
        <v>129</v>
      </c>
      <c r="C36" s="57" t="s">
        <v>21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310"/>
      <c r="B37" s="298"/>
      <c r="C37" s="57" t="s">
        <v>22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7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308" t="s">
        <v>100</v>
      </c>
      <c r="B39" s="296" t="s">
        <v>227</v>
      </c>
      <c r="C39" s="57" t="s">
        <v>21</v>
      </c>
      <c r="D39" s="96"/>
      <c r="E39" s="96" t="s">
        <v>246</v>
      </c>
      <c r="F39" s="96" t="s">
        <v>245</v>
      </c>
      <c r="G39" s="96" t="s">
        <v>234</v>
      </c>
      <c r="H39" s="315" t="s">
        <v>247</v>
      </c>
      <c r="I39" s="316"/>
      <c r="J39" s="316"/>
      <c r="K39" s="316"/>
      <c r="L39" s="316"/>
      <c r="M39" s="316"/>
      <c r="N39" s="316"/>
      <c r="O39" s="317"/>
      <c r="P39" s="59" t="s">
        <v>189</v>
      </c>
      <c r="Q39" s="60"/>
    </row>
    <row r="40" spans="1:17" ht="39.950000000000003" customHeight="1">
      <c r="A40" s="308" t="s">
        <v>11</v>
      </c>
      <c r="B40" s="296" t="s">
        <v>12</v>
      </c>
      <c r="C40" s="57" t="s">
        <v>22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308" t="s">
        <v>101</v>
      </c>
      <c r="B41" s="296" t="s">
        <v>102</v>
      </c>
      <c r="C41" s="57" t="s">
        <v>21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308"/>
      <c r="B42" s="296"/>
      <c r="C42" s="57" t="s">
        <v>22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308" t="s">
        <v>103</v>
      </c>
      <c r="B43" s="296" t="s">
        <v>104</v>
      </c>
      <c r="C43" s="57" t="s">
        <v>21</v>
      </c>
      <c r="D43" s="61" t="s">
        <v>200</v>
      </c>
      <c r="E43" s="61" t="s">
        <v>201</v>
      </c>
      <c r="F43" s="61" t="s">
        <v>204</v>
      </c>
      <c r="G43" s="293" t="s">
        <v>192</v>
      </c>
      <c r="H43" s="294"/>
      <c r="I43" s="294"/>
      <c r="J43" s="294"/>
      <c r="K43" s="294"/>
      <c r="L43" s="294"/>
      <c r="M43" s="294"/>
      <c r="N43" s="294"/>
      <c r="O43" s="295"/>
      <c r="P43" s="60"/>
      <c r="Q43" s="60"/>
    </row>
    <row r="44" spans="1:17" ht="39.950000000000003" customHeight="1">
      <c r="A44" s="308"/>
      <c r="B44" s="296"/>
      <c r="C44" s="57" t="s">
        <v>22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308" t="s">
        <v>105</v>
      </c>
      <c r="B45" s="296" t="s">
        <v>106</v>
      </c>
      <c r="C45" s="57" t="s">
        <v>21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308" t="s">
        <v>13</v>
      </c>
      <c r="B46" s="296" t="s">
        <v>14</v>
      </c>
      <c r="C46" s="57" t="s">
        <v>22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312" t="s">
        <v>108</v>
      </c>
      <c r="B47" s="297" t="s">
        <v>107</v>
      </c>
      <c r="C47" s="57" t="s">
        <v>21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313"/>
      <c r="B48" s="298"/>
      <c r="C48" s="57" t="s">
        <v>22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312" t="s">
        <v>109</v>
      </c>
      <c r="B49" s="297" t="s">
        <v>110</v>
      </c>
      <c r="C49" s="88" t="s">
        <v>21</v>
      </c>
      <c r="D49" s="34" t="s">
        <v>248</v>
      </c>
      <c r="E49" s="34" t="s">
        <v>248</v>
      </c>
      <c r="F49" s="34" t="s">
        <v>248</v>
      </c>
      <c r="G49" s="34" t="s">
        <v>249</v>
      </c>
      <c r="H49" s="34" t="s">
        <v>250</v>
      </c>
      <c r="I49" s="98" t="s">
        <v>251</v>
      </c>
      <c r="J49" s="34" t="s">
        <v>252</v>
      </c>
      <c r="K49" s="34" t="s">
        <v>248</v>
      </c>
      <c r="L49" s="34" t="s">
        <v>253</v>
      </c>
      <c r="M49" s="34" t="s">
        <v>248</v>
      </c>
      <c r="N49" s="98" t="s">
        <v>254</v>
      </c>
      <c r="O49" s="34" t="s">
        <v>248</v>
      </c>
      <c r="P49" s="89"/>
      <c r="Q49" s="89"/>
    </row>
    <row r="50" spans="1:17" ht="39.950000000000003" customHeight="1">
      <c r="A50" s="313"/>
      <c r="B50" s="298"/>
      <c r="C50" s="57" t="s">
        <v>22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308" t="s">
        <v>111</v>
      </c>
      <c r="B51" s="296" t="s">
        <v>112</v>
      </c>
      <c r="C51" s="72" t="s">
        <v>21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308"/>
      <c r="B52" s="296"/>
      <c r="C52" s="57" t="s">
        <v>22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308" t="s">
        <v>114</v>
      </c>
      <c r="B53" s="296" t="s">
        <v>113</v>
      </c>
      <c r="C53" s="57" t="s">
        <v>21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308"/>
      <c r="B54" s="296"/>
      <c r="C54" s="57" t="s">
        <v>22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308" t="s">
        <v>115</v>
      </c>
      <c r="B55" s="296" t="s">
        <v>116</v>
      </c>
      <c r="C55" s="57" t="s">
        <v>21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308"/>
      <c r="B56" s="296"/>
      <c r="C56" s="57" t="s">
        <v>22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308" t="s">
        <v>117</v>
      </c>
      <c r="B57" s="296" t="s">
        <v>118</v>
      </c>
      <c r="C57" s="57" t="s">
        <v>21</v>
      </c>
      <c r="D57" s="97" t="s">
        <v>235</v>
      </c>
      <c r="E57" s="96"/>
      <c r="F57" s="96" t="s">
        <v>236</v>
      </c>
      <c r="G57" s="299" t="s">
        <v>233</v>
      </c>
      <c r="H57" s="299"/>
      <c r="I57" s="96" t="s">
        <v>237</v>
      </c>
      <c r="J57" s="96" t="s">
        <v>238</v>
      </c>
      <c r="K57" s="300" t="s">
        <v>239</v>
      </c>
      <c r="L57" s="301"/>
      <c r="M57" s="301"/>
      <c r="N57" s="301"/>
      <c r="O57" s="302"/>
      <c r="P57" s="92" t="s">
        <v>199</v>
      </c>
      <c r="Q57" s="60"/>
    </row>
    <row r="58" spans="1:17" ht="39.950000000000003" customHeight="1">
      <c r="A58" s="308"/>
      <c r="B58" s="296"/>
      <c r="C58" s="57" t="s">
        <v>22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303" t="s">
        <v>120</v>
      </c>
      <c r="B59" s="303" t="s">
        <v>119</v>
      </c>
      <c r="C59" s="303" t="s">
        <v>21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304"/>
      <c r="B60" s="304"/>
      <c r="C60" s="304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304"/>
      <c r="B61" s="304"/>
      <c r="C61" s="305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305"/>
      <c r="B62" s="305"/>
      <c r="C62" s="72" t="s">
        <v>22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308" t="s">
        <v>121</v>
      </c>
      <c r="B63" s="296" t="s">
        <v>122</v>
      </c>
      <c r="C63" s="57" t="s">
        <v>21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308"/>
      <c r="B64" s="296"/>
      <c r="C64" s="57" t="s">
        <v>22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311" t="s">
        <v>123</v>
      </c>
      <c r="B65" s="306" t="s">
        <v>124</v>
      </c>
      <c r="C65" s="72" t="s">
        <v>21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311"/>
      <c r="B66" s="306"/>
      <c r="C66" s="72" t="s">
        <v>22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308" t="s">
        <v>125</v>
      </c>
      <c r="B67" s="296" t="s">
        <v>126</v>
      </c>
      <c r="C67" s="57" t="s">
        <v>21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308"/>
      <c r="B68" s="296"/>
      <c r="C68" s="57" t="s">
        <v>22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312" t="s">
        <v>127</v>
      </c>
      <c r="B69" s="297" t="s">
        <v>128</v>
      </c>
      <c r="C69" s="57" t="s">
        <v>21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313"/>
      <c r="B70" s="298"/>
      <c r="C70" s="57" t="s">
        <v>22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291" t="s">
        <v>255</v>
      </c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292" t="s">
        <v>216</v>
      </c>
      <c r="C79" s="292"/>
      <c r="D79" s="292"/>
      <c r="E79" s="292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A69:A70"/>
    <mergeCell ref="A53:A54"/>
    <mergeCell ref="A63:A64"/>
    <mergeCell ref="A67:A68"/>
    <mergeCell ref="A65:A66"/>
    <mergeCell ref="A59:A62"/>
    <mergeCell ref="A55:A56"/>
    <mergeCell ref="A57:A58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IV16"/>
    <mergeCell ref="EX16:EZ16"/>
    <mergeCell ref="FO16:FQ16"/>
    <mergeCell ref="GF16:GH16"/>
    <mergeCell ref="GW16:GY16"/>
    <mergeCell ref="HN16:HP16"/>
    <mergeCell ref="IE16:IG16"/>
    <mergeCell ref="EG16:EI16"/>
    <mergeCell ref="DP16:DR16"/>
    <mergeCell ref="CH16:CJ16"/>
    <mergeCell ref="CY16:DA16"/>
    <mergeCell ref="BQ16:BS16"/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</mergeCells>
  <phoneticPr fontId="17" type="noConversion"/>
  <conditionalFormatting sqref="R5:AN6 R7:AC70">
    <cfRule type="expression" dxfId="4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W180"/>
  <sheetViews>
    <sheetView workbookViewId="0">
      <pane xSplit="4" ySplit="8" topLeftCell="E13" activePane="bottomRight" state="frozen"/>
      <selection pane="topRight" activeCell="E1" sqref="E1"/>
      <selection pane="bottomLeft" activeCell="A9" sqref="A9"/>
      <selection pane="bottomRight" activeCell="A13" sqref="A13:A16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hidden="1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hidden="1" customWidth="1"/>
    <col min="46" max="46" width="44.7109375" hidden="1" customWidth="1"/>
    <col min="47" max="50" width="0" hidden="1" customWidth="1"/>
  </cols>
  <sheetData>
    <row r="1" spans="1:49" s="31" customFormat="1" ht="20.25" customHeight="1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40.5" customHeight="1">
      <c r="A2" s="318" t="s">
        <v>321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152"/>
    </row>
    <row r="3" spans="1:49" s="118" customFormat="1" ht="10.5" customHeigh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153"/>
    </row>
    <row r="4" spans="1:49" s="31" customFormat="1" ht="30" customHeight="1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41.25" customHeight="1">
      <c r="A5" s="320" t="s">
        <v>0</v>
      </c>
      <c r="B5" s="320" t="s">
        <v>261</v>
      </c>
      <c r="C5" s="321" t="s">
        <v>47</v>
      </c>
      <c r="D5" s="321" t="s">
        <v>262</v>
      </c>
      <c r="E5" s="320" t="s">
        <v>1</v>
      </c>
      <c r="F5" s="320" t="s">
        <v>263</v>
      </c>
      <c r="G5" s="320"/>
      <c r="H5" s="320"/>
      <c r="I5" s="320" t="s">
        <v>18</v>
      </c>
      <c r="J5" s="320"/>
      <c r="K5" s="320"/>
      <c r="L5" s="320" t="s">
        <v>19</v>
      </c>
      <c r="M5" s="320"/>
      <c r="N5" s="320"/>
      <c r="O5" s="320" t="s">
        <v>23</v>
      </c>
      <c r="P5" s="320"/>
      <c r="Q5" s="320"/>
      <c r="R5" s="320" t="s">
        <v>25</v>
      </c>
      <c r="S5" s="320"/>
      <c r="T5" s="320"/>
      <c r="U5" s="320" t="s">
        <v>26</v>
      </c>
      <c r="V5" s="320"/>
      <c r="W5" s="320"/>
      <c r="X5" s="320" t="s">
        <v>27</v>
      </c>
      <c r="Y5" s="320"/>
      <c r="Z5" s="320"/>
      <c r="AA5" s="320" t="s">
        <v>29</v>
      </c>
      <c r="AB5" s="320"/>
      <c r="AC5" s="320"/>
      <c r="AD5" s="320" t="s">
        <v>30</v>
      </c>
      <c r="AE5" s="320"/>
      <c r="AF5" s="320"/>
      <c r="AG5" s="320" t="s">
        <v>31</v>
      </c>
      <c r="AH5" s="320"/>
      <c r="AI5" s="320"/>
      <c r="AJ5" s="320" t="s">
        <v>33</v>
      </c>
      <c r="AK5" s="320"/>
      <c r="AL5" s="320"/>
      <c r="AM5" s="320" t="s">
        <v>34</v>
      </c>
      <c r="AN5" s="320"/>
      <c r="AO5" s="320"/>
      <c r="AP5" s="320" t="s">
        <v>35</v>
      </c>
      <c r="AQ5" s="320"/>
      <c r="AR5" s="320"/>
      <c r="AS5" s="323" t="s">
        <v>273</v>
      </c>
      <c r="AT5" s="324" t="s">
        <v>274</v>
      </c>
      <c r="AU5" s="32"/>
      <c r="AV5" s="32"/>
    </row>
    <row r="6" spans="1:49" s="31" customFormat="1" ht="24.75" customHeight="1">
      <c r="A6" s="320"/>
      <c r="B6" s="320"/>
      <c r="C6" s="322"/>
      <c r="D6" s="322"/>
      <c r="E6" s="320"/>
      <c r="F6" s="154" t="s">
        <v>264</v>
      </c>
      <c r="G6" s="154" t="s">
        <v>265</v>
      </c>
      <c r="H6" s="128" t="s">
        <v>266</v>
      </c>
      <c r="I6" s="154" t="s">
        <v>264</v>
      </c>
      <c r="J6" s="154" t="s">
        <v>265</v>
      </c>
      <c r="K6" s="128" t="s">
        <v>266</v>
      </c>
      <c r="L6" s="154" t="s">
        <v>264</v>
      </c>
      <c r="M6" s="154" t="s">
        <v>265</v>
      </c>
      <c r="N6" s="128" t="s">
        <v>266</v>
      </c>
      <c r="O6" s="154" t="s">
        <v>264</v>
      </c>
      <c r="P6" s="154" t="s">
        <v>265</v>
      </c>
      <c r="Q6" s="128" t="s">
        <v>266</v>
      </c>
      <c r="R6" s="154" t="s">
        <v>264</v>
      </c>
      <c r="S6" s="154" t="s">
        <v>265</v>
      </c>
      <c r="T6" s="128" t="s">
        <v>266</v>
      </c>
      <c r="U6" s="154" t="s">
        <v>264</v>
      </c>
      <c r="V6" s="154" t="s">
        <v>265</v>
      </c>
      <c r="W6" s="128" t="s">
        <v>266</v>
      </c>
      <c r="X6" s="154" t="s">
        <v>264</v>
      </c>
      <c r="Y6" s="154" t="s">
        <v>265</v>
      </c>
      <c r="Z6" s="128" t="s">
        <v>266</v>
      </c>
      <c r="AA6" s="154" t="s">
        <v>264</v>
      </c>
      <c r="AB6" s="154" t="s">
        <v>265</v>
      </c>
      <c r="AC6" s="128" t="s">
        <v>266</v>
      </c>
      <c r="AD6" s="154" t="s">
        <v>264</v>
      </c>
      <c r="AE6" s="154" t="s">
        <v>265</v>
      </c>
      <c r="AF6" s="128" t="s">
        <v>266</v>
      </c>
      <c r="AG6" s="154" t="s">
        <v>264</v>
      </c>
      <c r="AH6" s="154" t="s">
        <v>265</v>
      </c>
      <c r="AI6" s="128" t="s">
        <v>266</v>
      </c>
      <c r="AJ6" s="154" t="s">
        <v>264</v>
      </c>
      <c r="AK6" s="154" t="s">
        <v>265</v>
      </c>
      <c r="AL6" s="128" t="s">
        <v>266</v>
      </c>
      <c r="AM6" s="154" t="s">
        <v>264</v>
      </c>
      <c r="AN6" s="154" t="s">
        <v>265</v>
      </c>
      <c r="AO6" s="128" t="s">
        <v>266</v>
      </c>
      <c r="AP6" s="154" t="s">
        <v>264</v>
      </c>
      <c r="AQ6" s="154" t="s">
        <v>265</v>
      </c>
      <c r="AR6" s="128" t="s">
        <v>266</v>
      </c>
      <c r="AS6" s="323"/>
      <c r="AT6" s="324"/>
    </row>
    <row r="7" spans="1:49" s="31" customFormat="1" ht="24.75" customHeight="1">
      <c r="A7" s="325" t="s">
        <v>322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7"/>
    </row>
    <row r="8" spans="1:49" s="31" customFormat="1" ht="24.75" customHeight="1">
      <c r="A8" s="325" t="s">
        <v>294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7"/>
    </row>
    <row r="9" spans="1:49" s="100" customFormat="1" ht="12.75" customHeight="1">
      <c r="A9" s="328" t="s">
        <v>267</v>
      </c>
      <c r="B9" s="329"/>
      <c r="C9" s="329"/>
      <c r="D9" s="330"/>
      <c r="E9" s="129" t="s">
        <v>42</v>
      </c>
      <c r="F9" s="106">
        <f>F10+F11+F12</f>
        <v>387855.89999999991</v>
      </c>
      <c r="G9" s="106">
        <f t="shared" ref="G9:AP9" si="0">G10+G11+G12</f>
        <v>0</v>
      </c>
      <c r="H9" s="106">
        <f>G9/F9*100</f>
        <v>0</v>
      </c>
      <c r="I9" s="106">
        <f t="shared" si="0"/>
        <v>14263.3</v>
      </c>
      <c r="J9" s="106">
        <f t="shared" si="0"/>
        <v>0</v>
      </c>
      <c r="K9" s="106">
        <f>J9/I9*100</f>
        <v>0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33406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34593.499999999993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43737.299999999996</v>
      </c>
      <c r="AQ9" s="106" t="e">
        <f>#REF!+#REF!</f>
        <v>#REF!</v>
      </c>
      <c r="AR9" s="106" t="e">
        <f>#REF!+#REF!</f>
        <v>#REF!</v>
      </c>
      <c r="AS9" s="337"/>
      <c r="AT9" s="340"/>
      <c r="AU9" s="127"/>
    </row>
    <row r="10" spans="1:49" s="100" customFormat="1" ht="36">
      <c r="A10" s="331"/>
      <c r="B10" s="332"/>
      <c r="C10" s="332"/>
      <c r="D10" s="333"/>
      <c r="E10" s="111" t="s">
        <v>3</v>
      </c>
      <c r="F10" s="106">
        <f>F14+F18+F23+F26+F30</f>
        <v>93990.699999999983</v>
      </c>
      <c r="G10" s="106">
        <f>G14+G18+G23+G26+G30</f>
        <v>0</v>
      </c>
      <c r="H10" s="106">
        <f>G10/F10*100</f>
        <v>0</v>
      </c>
      <c r="I10" s="106">
        <f>I14+I18+I23+I26+I30</f>
        <v>949.6</v>
      </c>
      <c r="J10" s="106">
        <f>J14+J18+J23+J26+J30</f>
        <v>0</v>
      </c>
      <c r="K10" s="106">
        <f t="shared" ref="K10:K12" si="1">J10/I10*100</f>
        <v>0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7360.1999999999989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19745.599999999999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38"/>
      <c r="AT10" s="341"/>
      <c r="AU10" s="127"/>
    </row>
    <row r="11" spans="1:49" s="100" customFormat="1" ht="24">
      <c r="A11" s="331"/>
      <c r="B11" s="332"/>
      <c r="C11" s="332"/>
      <c r="D11" s="333"/>
      <c r="E11" s="111" t="s">
        <v>44</v>
      </c>
      <c r="F11" s="106">
        <f>F15+F19+F24+F27+F31</f>
        <v>288033.09999999998</v>
      </c>
      <c r="G11" s="106">
        <f>G15+G19+G24+G27+G31</f>
        <v>0</v>
      </c>
      <c r="H11" s="106">
        <f>G11/F11*100</f>
        <v>0</v>
      </c>
      <c r="I11" s="106">
        <f>I15+I19+I24+I27+I31</f>
        <v>13051.9</v>
      </c>
      <c r="J11" s="106">
        <f>J15+J19+J24+J27+J31</f>
        <v>0</v>
      </c>
      <c r="K11" s="106">
        <f t="shared" si="1"/>
        <v>0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26640.999999999993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38"/>
      <c r="AT11" s="341"/>
      <c r="AU11" s="127"/>
    </row>
    <row r="12" spans="1:49" s="100" customFormat="1" ht="24">
      <c r="A12" s="334"/>
      <c r="B12" s="335"/>
      <c r="C12" s="335"/>
      <c r="D12" s="336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39"/>
      <c r="AT12" s="342"/>
      <c r="AU12" s="127"/>
    </row>
    <row r="13" spans="1:49" s="31" customFormat="1" ht="31.5" customHeight="1">
      <c r="A13" s="343" t="s">
        <v>323</v>
      </c>
      <c r="B13" s="346" t="s">
        <v>324</v>
      </c>
      <c r="C13" s="349" t="s">
        <v>325</v>
      </c>
      <c r="D13" s="349" t="s">
        <v>326</v>
      </c>
      <c r="E13" s="107" t="s">
        <v>42</v>
      </c>
      <c r="F13" s="123">
        <f>SUM(F14:F16)</f>
        <v>300702.99999999994</v>
      </c>
      <c r="G13" s="123">
        <f t="shared" ref="G13:P13" si="7">SUM(G14:G16)</f>
        <v>0</v>
      </c>
      <c r="H13" s="123">
        <f>G13/F13*100</f>
        <v>0</v>
      </c>
      <c r="I13" s="123">
        <f t="shared" si="7"/>
        <v>6636.9000000000005</v>
      </c>
      <c r="J13" s="123">
        <f t="shared" si="7"/>
        <v>0</v>
      </c>
      <c r="K13" s="123">
        <f t="shared" si="7"/>
        <v>0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25852.799999999999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26660.099999999995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36679.599999999999</v>
      </c>
      <c r="AQ13" s="123">
        <f t="shared" si="8"/>
        <v>0</v>
      </c>
      <c r="AR13" s="123">
        <f t="shared" si="8"/>
        <v>0</v>
      </c>
      <c r="AS13" s="352" t="s">
        <v>309</v>
      </c>
      <c r="AT13" s="359" t="s">
        <v>308</v>
      </c>
      <c r="AU13" s="121">
        <f>I13+L13+O13+R13+U13+X13+AA13+AD13+AG13</f>
        <v>232355.5</v>
      </c>
      <c r="AV13" s="121">
        <f>J13+M13+P13+S13+V13+Y13+AB13+AE13+AH13</f>
        <v>0</v>
      </c>
      <c r="AW13" s="155">
        <f>AV13/AU13*100</f>
        <v>0</v>
      </c>
    </row>
    <row r="14" spans="1:49" s="31" customFormat="1" ht="53.25" customHeight="1">
      <c r="A14" s="344"/>
      <c r="B14" s="347"/>
      <c r="C14" s="350"/>
      <c r="D14" s="350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0</v>
      </c>
      <c r="H14" s="123">
        <v>0</v>
      </c>
      <c r="I14" s="123">
        <f>47.4+15+887.2</f>
        <v>949.6</v>
      </c>
      <c r="J14" s="123">
        <v>0</v>
      </c>
      <c r="K14" s="123">
        <v>0</v>
      </c>
      <c r="L14" s="123">
        <f>5300+92.5+1181.4</f>
        <v>6573.9</v>
      </c>
      <c r="M14" s="123">
        <v>0</v>
      </c>
      <c r="N14" s="123">
        <v>0</v>
      </c>
      <c r="O14" s="123">
        <f>5300+79.4+1165.4-6.3</f>
        <v>6538.4999999999991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</f>
        <v>19525.599999999999</v>
      </c>
      <c r="AQ14" s="123"/>
      <c r="AR14" s="123"/>
      <c r="AS14" s="353"/>
      <c r="AT14" s="360"/>
      <c r="AU14" s="121"/>
      <c r="AV14" s="121"/>
      <c r="AW14" s="155"/>
    </row>
    <row r="15" spans="1:49" s="31" customFormat="1" ht="46.5" customHeight="1">
      <c r="A15" s="344"/>
      <c r="B15" s="347"/>
      <c r="C15" s="350"/>
      <c r="D15" s="350"/>
      <c r="E15" s="108" t="s">
        <v>44</v>
      </c>
      <c r="F15" s="123">
        <f t="shared" ref="F15:F16" si="9">I15+L15+O15+R15+U15+X15+AA15+AD15+AG15+AJ15+AM15+AP15</f>
        <v>203427.59999999998</v>
      </c>
      <c r="G15" s="123">
        <f t="shared" ref="G15:G16" si="10">J15+M15+P15+S15+V15+Y15+AB15+AE15+AH15+AK15+AN15+AQ15</f>
        <v>0</v>
      </c>
      <c r="H15" s="123">
        <f>G15/F15*100</f>
        <v>0</v>
      </c>
      <c r="I15" s="123">
        <f>40+428.8+4937+6.7+13</f>
        <v>5425.5</v>
      </c>
      <c r="J15" s="123">
        <v>0</v>
      </c>
      <c r="K15" s="123">
        <f>J15/I15*100</f>
        <v>0</v>
      </c>
      <c r="L15" s="123">
        <f>517.2+2195.7+21252+496.8+361.9+645.7</f>
        <v>25469.300000000003</v>
      </c>
      <c r="M15" s="123">
        <v>0</v>
      </c>
      <c r="N15" s="123">
        <f t="shared" ref="N15:N22" si="11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2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</f>
        <v>18848.999999999996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53"/>
      <c r="AT15" s="360"/>
      <c r="AU15" s="121">
        <f t="shared" ref="AU15:AU29" si="15">I15+L15+O15+R15+U15+X15+AA15+AD15+AG15</f>
        <v>169534.19999999998</v>
      </c>
      <c r="AV15" s="121">
        <f t="shared" ref="AV15:AV29" si="16">J15+M15+P15+S15+V15+Y15+AB15+AE15+AH15</f>
        <v>0</v>
      </c>
      <c r="AW15" s="155">
        <f t="shared" ref="AW15:AW29" si="17">AV15/AU15*100</f>
        <v>0</v>
      </c>
    </row>
    <row r="16" spans="1:49" s="31" customFormat="1" ht="61.5" customHeight="1">
      <c r="A16" s="345"/>
      <c r="B16" s="348"/>
      <c r="C16" s="351"/>
      <c r="D16" s="351"/>
      <c r="E16" s="109" t="s">
        <v>257</v>
      </c>
      <c r="F16" s="123">
        <f t="shared" si="9"/>
        <v>5832.1</v>
      </c>
      <c r="G16" s="123">
        <f t="shared" si="10"/>
        <v>0</v>
      </c>
      <c r="H16" s="123">
        <v>0</v>
      </c>
      <c r="I16" s="123">
        <v>261.8</v>
      </c>
      <c r="J16" s="123">
        <v>0</v>
      </c>
      <c r="K16" s="123"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54"/>
      <c r="AT16" s="361"/>
      <c r="AU16" s="121"/>
      <c r="AV16" s="121"/>
      <c r="AW16" s="155"/>
    </row>
    <row r="17" spans="1:49" s="31" customFormat="1" ht="12.75">
      <c r="A17" s="343" t="s">
        <v>327</v>
      </c>
      <c r="B17" s="346" t="s">
        <v>328</v>
      </c>
      <c r="C17" s="349" t="s">
        <v>329</v>
      </c>
      <c r="D17" s="355" t="s">
        <v>330</v>
      </c>
      <c r="E17" s="107" t="s">
        <v>42</v>
      </c>
      <c r="F17" s="123">
        <f>SUM(F18:F20)</f>
        <v>77800</v>
      </c>
      <c r="G17" s="123">
        <f t="shared" ref="G17:P17" si="18">SUM(G18:G20)</f>
        <v>0</v>
      </c>
      <c r="H17" s="123">
        <f>G17/F17*100</f>
        <v>0</v>
      </c>
      <c r="I17" s="123">
        <f t="shared" si="18"/>
        <v>7091.6</v>
      </c>
      <c r="J17" s="123">
        <f t="shared" si="18"/>
        <v>0</v>
      </c>
      <c r="K17" s="123">
        <f>J17/I17*100</f>
        <v>0</v>
      </c>
      <c r="L17" s="123">
        <f t="shared" si="18"/>
        <v>7886.9</v>
      </c>
      <c r="M17" s="123">
        <f t="shared" si="18"/>
        <v>0</v>
      </c>
      <c r="N17" s="123">
        <f t="shared" si="11"/>
        <v>0</v>
      </c>
      <c r="O17" s="123">
        <f t="shared" si="18"/>
        <v>6038</v>
      </c>
      <c r="P17" s="123">
        <f t="shared" si="18"/>
        <v>0</v>
      </c>
      <c r="Q17" s="123">
        <f t="shared" si="12"/>
        <v>0</v>
      </c>
      <c r="R17" s="123">
        <f t="shared" ref="R17:AB17" si="19">SUM(R18:R20)</f>
        <v>6900</v>
      </c>
      <c r="S17" s="123">
        <f t="shared" si="19"/>
        <v>0</v>
      </c>
      <c r="T17" s="123">
        <f t="shared" si="13"/>
        <v>0</v>
      </c>
      <c r="U17" s="123">
        <f t="shared" si="19"/>
        <v>6826.3</v>
      </c>
      <c r="V17" s="123">
        <f t="shared" si="19"/>
        <v>0</v>
      </c>
      <c r="W17" s="123">
        <f t="shared" ref="W17" si="20">V17/U17*100</f>
        <v>0</v>
      </c>
      <c r="X17" s="123">
        <f t="shared" si="19"/>
        <v>7190.9</v>
      </c>
      <c r="Y17" s="123">
        <f t="shared" si="19"/>
        <v>0</v>
      </c>
      <c r="Z17" s="123">
        <f>Y17/X17*100</f>
        <v>0</v>
      </c>
      <c r="AA17" s="104">
        <f t="shared" si="19"/>
        <v>7431.5</v>
      </c>
      <c r="AB17" s="123">
        <f t="shared" si="19"/>
        <v>0</v>
      </c>
      <c r="AC17" s="123">
        <f>SUM(AC18:AC20)</f>
        <v>0</v>
      </c>
      <c r="AD17" s="104">
        <f t="shared" ref="AD17:AR17" si="21">SUM(AD18:AD20)</f>
        <v>6016.2</v>
      </c>
      <c r="AE17" s="104">
        <f t="shared" si="21"/>
        <v>0</v>
      </c>
      <c r="AF17" s="104">
        <f t="shared" si="6"/>
        <v>0</v>
      </c>
      <c r="AG17" s="104">
        <f t="shared" si="21"/>
        <v>5470</v>
      </c>
      <c r="AH17" s="123">
        <f t="shared" si="21"/>
        <v>0</v>
      </c>
      <c r="AI17" s="123">
        <f t="shared" si="21"/>
        <v>0</v>
      </c>
      <c r="AJ17" s="123">
        <f t="shared" si="21"/>
        <v>5540.8</v>
      </c>
      <c r="AK17" s="123">
        <f t="shared" si="21"/>
        <v>0</v>
      </c>
      <c r="AL17" s="123">
        <f t="shared" si="21"/>
        <v>0</v>
      </c>
      <c r="AM17" s="104">
        <f t="shared" si="21"/>
        <v>5036.7</v>
      </c>
      <c r="AN17" s="123">
        <f t="shared" si="21"/>
        <v>0</v>
      </c>
      <c r="AO17" s="123">
        <f t="shared" si="21"/>
        <v>0</v>
      </c>
      <c r="AP17" s="104">
        <f t="shared" si="21"/>
        <v>6371.1</v>
      </c>
      <c r="AQ17" s="123">
        <f t="shared" si="21"/>
        <v>0</v>
      </c>
      <c r="AR17" s="123">
        <f t="shared" si="21"/>
        <v>0</v>
      </c>
      <c r="AS17" s="352" t="s">
        <v>299</v>
      </c>
      <c r="AT17" s="359" t="s">
        <v>296</v>
      </c>
      <c r="AU17" s="121">
        <f t="shared" si="15"/>
        <v>60851.4</v>
      </c>
      <c r="AV17" s="121">
        <f t="shared" si="16"/>
        <v>0</v>
      </c>
      <c r="AW17" s="155">
        <f t="shared" si="17"/>
        <v>0</v>
      </c>
    </row>
    <row r="18" spans="1:49" s="31" customFormat="1" ht="36">
      <c r="A18" s="344"/>
      <c r="B18" s="347"/>
      <c r="C18" s="350"/>
      <c r="D18" s="356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53"/>
      <c r="AT18" s="360"/>
      <c r="AU18" s="121">
        <f t="shared" si="15"/>
        <v>0</v>
      </c>
      <c r="AV18" s="121">
        <f t="shared" si="16"/>
        <v>0</v>
      </c>
      <c r="AW18" s="155" t="e">
        <f t="shared" si="17"/>
        <v>#DIV/0!</v>
      </c>
    </row>
    <row r="19" spans="1:49" s="31" customFormat="1" ht="12.75">
      <c r="A19" s="344"/>
      <c r="B19" s="347"/>
      <c r="C19" s="350"/>
      <c r="D19" s="356"/>
      <c r="E19" s="108" t="s">
        <v>44</v>
      </c>
      <c r="F19" s="123">
        <f t="shared" ref="F19:F20" si="22">I19+L19+O19+R19+U19+X19+AA19+AD19+AG19+AJ19+AM19+AP19</f>
        <v>77800</v>
      </c>
      <c r="G19" s="123">
        <f t="shared" ref="G19:G20" si="23">J19+M19+P19+S19+V19+Y19+AB19+AE19+AH19+AK19+AN19+AQ19</f>
        <v>0</v>
      </c>
      <c r="H19" s="123">
        <v>0</v>
      </c>
      <c r="I19" s="123">
        <v>7091.6</v>
      </c>
      <c r="J19" s="123">
        <v>0</v>
      </c>
      <c r="K19" s="123">
        <v>0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53"/>
      <c r="AT19" s="360"/>
      <c r="AU19" s="121"/>
      <c r="AV19" s="121"/>
      <c r="AW19" s="155"/>
    </row>
    <row r="20" spans="1:49" s="31" customFormat="1" ht="63" customHeight="1">
      <c r="A20" s="345"/>
      <c r="B20" s="348"/>
      <c r="C20" s="351"/>
      <c r="D20" s="362"/>
      <c r="E20" s="109" t="s">
        <v>257</v>
      </c>
      <c r="F20" s="123">
        <f t="shared" si="22"/>
        <v>0</v>
      </c>
      <c r="G20" s="123">
        <f t="shared" si="23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54"/>
      <c r="AT20" s="361"/>
      <c r="AU20" s="121">
        <f t="shared" si="15"/>
        <v>0</v>
      </c>
      <c r="AV20" s="121">
        <f t="shared" si="16"/>
        <v>0</v>
      </c>
      <c r="AW20" s="155" t="e">
        <f t="shared" si="17"/>
        <v>#DIV/0!</v>
      </c>
    </row>
    <row r="21" spans="1:49" s="31" customFormat="1" ht="74.25" customHeight="1">
      <c r="A21" s="157" t="s">
        <v>331</v>
      </c>
      <c r="B21" s="164" t="s">
        <v>332</v>
      </c>
      <c r="C21" s="158" t="s">
        <v>333</v>
      </c>
      <c r="D21" s="169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63" t="s">
        <v>319</v>
      </c>
      <c r="AT21" s="167" t="s">
        <v>297</v>
      </c>
      <c r="AU21" s="121" t="e">
        <f t="shared" ref="AU21" si="24">I21+L21+O21+R21+U21+X21+AA21+AD21+AG21</f>
        <v>#VALUE!</v>
      </c>
      <c r="AV21" s="121" t="e">
        <f t="shared" ref="AV21" si="25">J21+M21+P21+S21+V21+Y21+AB21+AE21+AH21</f>
        <v>#VALUE!</v>
      </c>
      <c r="AW21" s="155" t="e">
        <f t="shared" ref="AW21" si="26">AV21/AU21*100</f>
        <v>#VALUE!</v>
      </c>
    </row>
    <row r="22" spans="1:49" s="31" customFormat="1" ht="12.75">
      <c r="A22" s="343" t="s">
        <v>334</v>
      </c>
      <c r="B22" s="346" t="s">
        <v>335</v>
      </c>
      <c r="C22" s="349" t="s">
        <v>268</v>
      </c>
      <c r="D22" s="355" t="s">
        <v>336</v>
      </c>
      <c r="E22" s="107" t="s">
        <v>42</v>
      </c>
      <c r="F22" s="123">
        <f>SUM(F23:F24)</f>
        <v>3987.3</v>
      </c>
      <c r="G22" s="123">
        <f>SUM(G23:G24)</f>
        <v>0</v>
      </c>
      <c r="H22" s="123">
        <f>G22/F22*100</f>
        <v>0</v>
      </c>
      <c r="I22" s="123">
        <f>SUM(I23:I24)</f>
        <v>326</v>
      </c>
      <c r="J22" s="123">
        <f>SUM(J23:J24)</f>
        <v>0</v>
      </c>
      <c r="K22" s="123">
        <f t="shared" ref="K22" si="27">J22/I22*100</f>
        <v>0</v>
      </c>
      <c r="L22" s="123">
        <f>SUM(L23:L24)</f>
        <v>326</v>
      </c>
      <c r="M22" s="123">
        <f>SUM(M23:M24)</f>
        <v>0</v>
      </c>
      <c r="N22" s="123">
        <f t="shared" si="11"/>
        <v>0</v>
      </c>
      <c r="O22" s="123">
        <f>SUM(O23:O24)</f>
        <v>326</v>
      </c>
      <c r="P22" s="123">
        <f>SUM(P23:P24)</f>
        <v>0</v>
      </c>
      <c r="Q22" s="123">
        <f t="shared" si="12"/>
        <v>0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8">V22/U22*100</f>
        <v>0</v>
      </c>
      <c r="X22" s="123">
        <f t="shared" ref="X22:AE22" si="29">SUM(X23:X24)</f>
        <v>326</v>
      </c>
      <c r="Y22" s="123">
        <f t="shared" si="29"/>
        <v>0</v>
      </c>
      <c r="Z22" s="123">
        <f t="shared" si="29"/>
        <v>0</v>
      </c>
      <c r="AA22" s="104">
        <f t="shared" si="29"/>
        <v>326</v>
      </c>
      <c r="AB22" s="123">
        <f t="shared" si="29"/>
        <v>0</v>
      </c>
      <c r="AC22" s="123">
        <f t="shared" si="29"/>
        <v>0</v>
      </c>
      <c r="AD22" s="104">
        <f t="shared" si="29"/>
        <v>326</v>
      </c>
      <c r="AE22" s="104">
        <f t="shared" si="29"/>
        <v>0</v>
      </c>
      <c r="AF22" s="104">
        <f t="shared" si="6"/>
        <v>0</v>
      </c>
      <c r="AG22" s="104">
        <f t="shared" ref="AG22:AR22" si="30">SUM(AG23:AG24)</f>
        <v>326</v>
      </c>
      <c r="AH22" s="123">
        <f t="shared" si="30"/>
        <v>0</v>
      </c>
      <c r="AI22" s="123">
        <f t="shared" si="30"/>
        <v>0</v>
      </c>
      <c r="AJ22" s="123">
        <f t="shared" si="30"/>
        <v>326</v>
      </c>
      <c r="AK22" s="123">
        <f t="shared" si="30"/>
        <v>0</v>
      </c>
      <c r="AL22" s="123">
        <f t="shared" si="30"/>
        <v>0</v>
      </c>
      <c r="AM22" s="104">
        <f t="shared" si="30"/>
        <v>326</v>
      </c>
      <c r="AN22" s="123">
        <f t="shared" si="30"/>
        <v>0</v>
      </c>
      <c r="AO22" s="123">
        <f t="shared" si="30"/>
        <v>0</v>
      </c>
      <c r="AP22" s="104">
        <f t="shared" si="30"/>
        <v>401.3</v>
      </c>
      <c r="AQ22" s="123">
        <f t="shared" si="30"/>
        <v>0</v>
      </c>
      <c r="AR22" s="123">
        <f t="shared" si="30"/>
        <v>0</v>
      </c>
      <c r="AS22" s="352" t="s">
        <v>319</v>
      </c>
      <c r="AT22" s="357" t="s">
        <v>297</v>
      </c>
      <c r="AU22" s="121">
        <f t="shared" si="15"/>
        <v>2934</v>
      </c>
      <c r="AV22" s="121">
        <f t="shared" si="16"/>
        <v>0</v>
      </c>
      <c r="AW22" s="155">
        <f t="shared" si="17"/>
        <v>0</v>
      </c>
    </row>
    <row r="23" spans="1:49" s="31" customFormat="1" ht="36">
      <c r="A23" s="344"/>
      <c r="B23" s="347"/>
      <c r="C23" s="350"/>
      <c r="D23" s="356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53"/>
      <c r="AT23" s="358"/>
      <c r="AU23" s="121">
        <f t="shared" si="15"/>
        <v>0</v>
      </c>
      <c r="AV23" s="121">
        <f t="shared" si="16"/>
        <v>0</v>
      </c>
      <c r="AW23" s="155" t="e">
        <f t="shared" si="17"/>
        <v>#DIV/0!</v>
      </c>
    </row>
    <row r="24" spans="1:49" s="31" customFormat="1" ht="12.75">
      <c r="A24" s="344"/>
      <c r="B24" s="347"/>
      <c r="C24" s="350"/>
      <c r="D24" s="356"/>
      <c r="E24" s="108" t="s">
        <v>44</v>
      </c>
      <c r="F24" s="123">
        <f t="shared" ref="F24" si="31">I24+L24+O24+R24+U24+X24+AA24+AD24+AG24+AJ24+AM24+AP24</f>
        <v>3987.3</v>
      </c>
      <c r="G24" s="123">
        <f t="shared" ref="G24" si="32">J24+M24+P24+S24+V24+Y24+AB24+AE24+AH24+AK24+AN24+AQ24</f>
        <v>0</v>
      </c>
      <c r="H24" s="123">
        <v>0</v>
      </c>
      <c r="I24" s="123">
        <v>326</v>
      </c>
      <c r="J24" s="123">
        <v>0</v>
      </c>
      <c r="K24" s="123">
        <v>0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53"/>
      <c r="AT24" s="358"/>
      <c r="AU24" s="121"/>
      <c r="AV24" s="121"/>
      <c r="AW24" s="155"/>
    </row>
    <row r="25" spans="1:49" s="31" customFormat="1" ht="12.75">
      <c r="A25" s="343" t="s">
        <v>337</v>
      </c>
      <c r="B25" s="346" t="s">
        <v>338</v>
      </c>
      <c r="C25" s="349" t="s">
        <v>339</v>
      </c>
      <c r="D25" s="355" t="s">
        <v>340</v>
      </c>
      <c r="E25" s="107" t="s">
        <v>42</v>
      </c>
      <c r="F25" s="123">
        <f>SUM(F26:F28)</f>
        <v>5215.6000000000004</v>
      </c>
      <c r="G25" s="123">
        <f t="shared" ref="G25:P25" si="33">SUM(G26:G28)</f>
        <v>0</v>
      </c>
      <c r="H25" s="123">
        <f>G25/F25*100</f>
        <v>0</v>
      </c>
      <c r="I25" s="123">
        <f t="shared" si="33"/>
        <v>208.8</v>
      </c>
      <c r="J25" s="123">
        <f t="shared" si="33"/>
        <v>0</v>
      </c>
      <c r="K25" s="123">
        <f t="shared" si="33"/>
        <v>0</v>
      </c>
      <c r="L25" s="123">
        <f t="shared" si="33"/>
        <v>384.9</v>
      </c>
      <c r="M25" s="123">
        <f t="shared" si="33"/>
        <v>0</v>
      </c>
      <c r="N25" s="123">
        <v>0</v>
      </c>
      <c r="O25" s="123">
        <f t="shared" si="33"/>
        <v>1039.2</v>
      </c>
      <c r="P25" s="123">
        <f t="shared" si="33"/>
        <v>0</v>
      </c>
      <c r="Q25" s="123">
        <v>0</v>
      </c>
      <c r="R25" s="123">
        <f t="shared" ref="R25:Z25" si="34">SUM(R26:R28)</f>
        <v>353</v>
      </c>
      <c r="S25" s="123">
        <f t="shared" si="34"/>
        <v>0</v>
      </c>
      <c r="T25" s="123">
        <v>0</v>
      </c>
      <c r="U25" s="123">
        <f t="shared" si="34"/>
        <v>378</v>
      </c>
      <c r="V25" s="123">
        <f t="shared" si="34"/>
        <v>0</v>
      </c>
      <c r="W25" s="123">
        <f t="shared" si="34"/>
        <v>0</v>
      </c>
      <c r="X25" s="123">
        <f t="shared" si="34"/>
        <v>416.5</v>
      </c>
      <c r="Y25" s="123">
        <f t="shared" si="34"/>
        <v>0</v>
      </c>
      <c r="Z25" s="123">
        <f t="shared" si="34"/>
        <v>0</v>
      </c>
      <c r="AA25" s="104">
        <f t="shared" ref="AA25:AB25" si="35">SUM(AA26:AA28)</f>
        <v>482.40000000000003</v>
      </c>
      <c r="AB25" s="123">
        <f t="shared" si="35"/>
        <v>0</v>
      </c>
      <c r="AC25" s="123">
        <f>SUM(AC26:AC28)</f>
        <v>0</v>
      </c>
      <c r="AD25" s="104">
        <f t="shared" ref="AD25:AR25" si="36">SUM(AD26:AD28)</f>
        <v>451.1</v>
      </c>
      <c r="AE25" s="104">
        <f t="shared" si="36"/>
        <v>0</v>
      </c>
      <c r="AF25" s="104">
        <f t="shared" si="6"/>
        <v>0</v>
      </c>
      <c r="AG25" s="104">
        <f t="shared" si="36"/>
        <v>471.79999999999995</v>
      </c>
      <c r="AH25" s="123">
        <f t="shared" si="36"/>
        <v>0</v>
      </c>
      <c r="AI25" s="104">
        <f t="shared" ref="AI25" si="37">AH25/AG25*100</f>
        <v>0</v>
      </c>
      <c r="AJ25" s="123">
        <f t="shared" si="36"/>
        <v>517.1</v>
      </c>
      <c r="AK25" s="123">
        <f t="shared" si="36"/>
        <v>0</v>
      </c>
      <c r="AL25" s="123">
        <f t="shared" si="36"/>
        <v>0</v>
      </c>
      <c r="AM25" s="104">
        <f t="shared" si="36"/>
        <v>227.5</v>
      </c>
      <c r="AN25" s="123">
        <f t="shared" si="36"/>
        <v>0</v>
      </c>
      <c r="AO25" s="123">
        <f t="shared" si="36"/>
        <v>0</v>
      </c>
      <c r="AP25" s="104">
        <f t="shared" si="36"/>
        <v>285.3</v>
      </c>
      <c r="AQ25" s="123">
        <f t="shared" si="36"/>
        <v>0</v>
      </c>
      <c r="AR25" s="123">
        <f t="shared" si="36"/>
        <v>0</v>
      </c>
      <c r="AS25" s="352" t="s">
        <v>318</v>
      </c>
      <c r="AT25" s="363"/>
      <c r="AU25" s="121">
        <f t="shared" si="15"/>
        <v>4185.7</v>
      </c>
      <c r="AV25" s="121">
        <f t="shared" si="16"/>
        <v>0</v>
      </c>
      <c r="AW25" s="155">
        <f t="shared" si="17"/>
        <v>0</v>
      </c>
    </row>
    <row r="26" spans="1:49" s="31" customFormat="1" ht="36">
      <c r="A26" s="344"/>
      <c r="B26" s="347"/>
      <c r="C26" s="350"/>
      <c r="D26" s="356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0</v>
      </c>
      <c r="H26" s="123">
        <f>G26/F26*100</f>
        <v>0</v>
      </c>
      <c r="I26" s="104">
        <v>0</v>
      </c>
      <c r="J26" s="104">
        <v>0</v>
      </c>
      <c r="K26" s="104">
        <v>0</v>
      </c>
      <c r="L26" s="126">
        <v>124.5</v>
      </c>
      <c r="M26" s="104">
        <v>0</v>
      </c>
      <c r="N26" s="123">
        <v>0</v>
      </c>
      <c r="O26" s="104">
        <f>124.5+697.2</f>
        <v>821.7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53"/>
      <c r="AT26" s="364"/>
      <c r="AU26" s="121">
        <f t="shared" si="15"/>
        <v>1948.3000000000002</v>
      </c>
      <c r="AV26" s="121">
        <f t="shared" si="16"/>
        <v>0</v>
      </c>
      <c r="AW26" s="155">
        <f t="shared" si="17"/>
        <v>0</v>
      </c>
    </row>
    <row r="27" spans="1:49" s="31" customFormat="1" ht="12.75">
      <c r="A27" s="344"/>
      <c r="B27" s="347"/>
      <c r="C27" s="350"/>
      <c r="D27" s="356"/>
      <c r="E27" s="108" t="s">
        <v>44</v>
      </c>
      <c r="F27" s="123">
        <f t="shared" ref="F27:F28" si="38">I27+L27+O27+R27+U27+X27+AA27+AD27+AG27+AJ27+AM27+AP27</f>
        <v>2668.2000000000003</v>
      </c>
      <c r="G27" s="123">
        <f t="shared" ref="G27:G28" si="39">J27+M27+P27+S27+V27+Y27+AB27+AE27+AH27+AK27+AN27+AQ27</f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53"/>
      <c r="AT27" s="364"/>
      <c r="AU27" s="121"/>
      <c r="AV27" s="121"/>
      <c r="AW27" s="155"/>
    </row>
    <row r="28" spans="1:49" s="31" customFormat="1" ht="27" customHeight="1">
      <c r="A28" s="345"/>
      <c r="B28" s="348"/>
      <c r="C28" s="351"/>
      <c r="D28" s="362"/>
      <c r="E28" s="109" t="s">
        <v>257</v>
      </c>
      <c r="F28" s="123">
        <f t="shared" si="38"/>
        <v>0</v>
      </c>
      <c r="G28" s="123">
        <f t="shared" si="39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54"/>
      <c r="AT28" s="365"/>
      <c r="AU28" s="121"/>
      <c r="AV28" s="121"/>
      <c r="AW28" s="155"/>
    </row>
    <row r="29" spans="1:49" s="31" customFormat="1" ht="21" customHeight="1">
      <c r="A29" s="343" t="s">
        <v>341</v>
      </c>
      <c r="B29" s="346" t="s">
        <v>342</v>
      </c>
      <c r="C29" s="349" t="s">
        <v>268</v>
      </c>
      <c r="D29" s="355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40">SUM(U30:U31)</f>
        <v>0</v>
      </c>
      <c r="V29" s="123">
        <f t="shared" si="40"/>
        <v>0</v>
      </c>
      <c r="W29" s="123">
        <f t="shared" si="40"/>
        <v>0</v>
      </c>
      <c r="X29" s="123">
        <f t="shared" si="40"/>
        <v>0</v>
      </c>
      <c r="Y29" s="123">
        <f t="shared" si="40"/>
        <v>0</v>
      </c>
      <c r="Z29" s="123">
        <f t="shared" si="40"/>
        <v>0</v>
      </c>
      <c r="AA29" s="104">
        <f t="shared" si="40"/>
        <v>0</v>
      </c>
      <c r="AB29" s="123">
        <f t="shared" si="40"/>
        <v>0</v>
      </c>
      <c r="AC29" s="123">
        <f t="shared" si="40"/>
        <v>0</v>
      </c>
      <c r="AD29" s="104">
        <f t="shared" si="40"/>
        <v>0</v>
      </c>
      <c r="AE29" s="104">
        <f t="shared" si="40"/>
        <v>0</v>
      </c>
      <c r="AF29" s="104">
        <f t="shared" si="40"/>
        <v>0</v>
      </c>
      <c r="AG29" s="104">
        <f t="shared" si="40"/>
        <v>0</v>
      </c>
      <c r="AH29" s="123">
        <f t="shared" si="40"/>
        <v>0</v>
      </c>
      <c r="AI29" s="117">
        <v>0</v>
      </c>
      <c r="AJ29" s="123">
        <f t="shared" ref="AJ29:AR29" si="41">SUM(AJ30:AJ31)</f>
        <v>0</v>
      </c>
      <c r="AK29" s="123">
        <f t="shared" si="41"/>
        <v>0</v>
      </c>
      <c r="AL29" s="123">
        <f t="shared" si="41"/>
        <v>0</v>
      </c>
      <c r="AM29" s="104">
        <f t="shared" si="41"/>
        <v>0</v>
      </c>
      <c r="AN29" s="123">
        <f t="shared" si="41"/>
        <v>0</v>
      </c>
      <c r="AO29" s="123">
        <f t="shared" si="41"/>
        <v>0</v>
      </c>
      <c r="AP29" s="104">
        <f t="shared" si="41"/>
        <v>0</v>
      </c>
      <c r="AQ29" s="123">
        <f t="shared" si="41"/>
        <v>0</v>
      </c>
      <c r="AR29" s="123">
        <f t="shared" si="41"/>
        <v>0</v>
      </c>
      <c r="AS29" s="352" t="s">
        <v>298</v>
      </c>
      <c r="AT29" s="363"/>
      <c r="AU29" s="121">
        <f t="shared" si="15"/>
        <v>150</v>
      </c>
      <c r="AV29" s="121">
        <f t="shared" si="16"/>
        <v>0</v>
      </c>
      <c r="AW29" s="155">
        <f t="shared" si="17"/>
        <v>0</v>
      </c>
    </row>
    <row r="30" spans="1:49" s="31" customFormat="1" ht="44.25" customHeight="1">
      <c r="A30" s="344"/>
      <c r="B30" s="347"/>
      <c r="C30" s="350"/>
      <c r="D30" s="356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53"/>
      <c r="AT30" s="364"/>
      <c r="AU30" s="121"/>
      <c r="AV30" s="121"/>
      <c r="AW30" s="155"/>
    </row>
    <row r="31" spans="1:49" s="31" customFormat="1" ht="33" customHeight="1">
      <c r="A31" s="344"/>
      <c r="B31" s="347"/>
      <c r="C31" s="350"/>
      <c r="D31" s="356"/>
      <c r="E31" s="108" t="s">
        <v>44</v>
      </c>
      <c r="F31" s="123">
        <f t="shared" ref="F31" si="42">I31+L31+O31+R31+U31+X31+AA31+AD31+AG31+AJ31+AM31+AP31</f>
        <v>150</v>
      </c>
      <c r="G31" s="123">
        <f t="shared" ref="G31" si="43">J31+M31+P31+S31+V31+Y31+AB31+AE31+AH31+AK31+AN31+AQ31</f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53"/>
      <c r="AT31" s="364"/>
      <c r="AU31" s="121"/>
      <c r="AV31" s="121"/>
      <c r="AW31" s="155"/>
    </row>
    <row r="32" spans="1:49" s="31" customFormat="1" ht="24.75" customHeight="1">
      <c r="A32" s="325" t="s">
        <v>344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7"/>
    </row>
    <row r="33" spans="1:49" s="100" customFormat="1" ht="20.25" customHeight="1">
      <c r="A33" s="366" t="s">
        <v>345</v>
      </c>
      <c r="B33" s="367"/>
      <c r="C33" s="367"/>
      <c r="D33" s="368"/>
      <c r="E33" s="129" t="s">
        <v>42</v>
      </c>
      <c r="F33" s="106">
        <f>F34+F35+F36</f>
        <v>33940.800000000003</v>
      </c>
      <c r="G33" s="106">
        <f t="shared" ref="G33:AR33" si="44">G34+G35+G36</f>
        <v>0</v>
      </c>
      <c r="H33" s="106">
        <f>G33/F33*100</f>
        <v>0</v>
      </c>
      <c r="I33" s="106">
        <f t="shared" si="44"/>
        <v>556</v>
      </c>
      <c r="J33" s="106">
        <f t="shared" si="44"/>
        <v>0</v>
      </c>
      <c r="K33" s="106">
        <f>J33/I33*100</f>
        <v>0</v>
      </c>
      <c r="L33" s="106">
        <f t="shared" si="44"/>
        <v>2428</v>
      </c>
      <c r="M33" s="106">
        <f t="shared" si="44"/>
        <v>0</v>
      </c>
      <c r="N33" s="106">
        <f>M33/L33*100</f>
        <v>0</v>
      </c>
      <c r="O33" s="106">
        <f t="shared" si="44"/>
        <v>2242</v>
      </c>
      <c r="P33" s="106">
        <f t="shared" si="44"/>
        <v>0</v>
      </c>
      <c r="Q33" s="106">
        <f>P33/O33*100</f>
        <v>0</v>
      </c>
      <c r="R33" s="106">
        <f t="shared" si="44"/>
        <v>3060</v>
      </c>
      <c r="S33" s="106">
        <f t="shared" si="44"/>
        <v>0</v>
      </c>
      <c r="T33" s="106">
        <f>S33/R33*100</f>
        <v>0</v>
      </c>
      <c r="U33" s="106">
        <f t="shared" si="44"/>
        <v>2489</v>
      </c>
      <c r="V33" s="106">
        <f t="shared" si="44"/>
        <v>0</v>
      </c>
      <c r="W33" s="106">
        <f t="shared" si="44"/>
        <v>0</v>
      </c>
      <c r="X33" s="106">
        <f t="shared" si="44"/>
        <v>2628</v>
      </c>
      <c r="Y33" s="106">
        <f t="shared" si="44"/>
        <v>0</v>
      </c>
      <c r="Z33" s="106">
        <f t="shared" si="44"/>
        <v>0</v>
      </c>
      <c r="AA33" s="106">
        <f t="shared" si="44"/>
        <v>3576</v>
      </c>
      <c r="AB33" s="106">
        <f t="shared" si="44"/>
        <v>0</v>
      </c>
      <c r="AC33" s="106">
        <f t="shared" si="44"/>
        <v>0</v>
      </c>
      <c r="AD33" s="106">
        <f t="shared" si="44"/>
        <v>2569</v>
      </c>
      <c r="AE33" s="106">
        <f t="shared" si="44"/>
        <v>0</v>
      </c>
      <c r="AF33" s="106">
        <f t="shared" ref="AF33:AF35" si="45">AE33/AD33*100</f>
        <v>0</v>
      </c>
      <c r="AG33" s="106">
        <f t="shared" si="44"/>
        <v>2544</v>
      </c>
      <c r="AH33" s="106">
        <f t="shared" si="44"/>
        <v>0</v>
      </c>
      <c r="AI33" s="106">
        <f t="shared" si="44"/>
        <v>0</v>
      </c>
      <c r="AJ33" s="106">
        <f t="shared" si="44"/>
        <v>2984</v>
      </c>
      <c r="AK33" s="106">
        <f t="shared" si="44"/>
        <v>0</v>
      </c>
      <c r="AL33" s="106">
        <f t="shared" si="44"/>
        <v>0</v>
      </c>
      <c r="AM33" s="106">
        <f t="shared" si="44"/>
        <v>2265.6</v>
      </c>
      <c r="AN33" s="106">
        <f t="shared" si="44"/>
        <v>0</v>
      </c>
      <c r="AO33" s="106">
        <f t="shared" si="44"/>
        <v>0</v>
      </c>
      <c r="AP33" s="106">
        <f t="shared" si="44"/>
        <v>6599.2</v>
      </c>
      <c r="AQ33" s="106">
        <f t="shared" si="44"/>
        <v>0</v>
      </c>
      <c r="AR33" s="106">
        <f t="shared" si="44"/>
        <v>0</v>
      </c>
      <c r="AS33" s="375"/>
      <c r="AT33" s="378"/>
      <c r="AU33" s="121">
        <f t="shared" ref="AU33:AU79" si="46">I33+L33+O33+R33+U33+X33+AA33+AD33+AG33</f>
        <v>22092</v>
      </c>
      <c r="AV33" s="121">
        <f t="shared" ref="AV33:AV79" si="47">J33+M33+P33+S33+V33+Y33+AB33+AE33+AH33</f>
        <v>0</v>
      </c>
      <c r="AW33" s="155">
        <f t="shared" ref="AW33:AW79" si="48">AV33/AU33*100</f>
        <v>0</v>
      </c>
    </row>
    <row r="34" spans="1:49" s="100" customFormat="1" ht="36">
      <c r="A34" s="369"/>
      <c r="B34" s="370"/>
      <c r="C34" s="370"/>
      <c r="D34" s="371"/>
      <c r="E34" s="111" t="s">
        <v>3</v>
      </c>
      <c r="F34" s="106">
        <f>F43</f>
        <v>30600.9</v>
      </c>
      <c r="G34" s="106">
        <f t="shared" ref="G34:AR36" si="49">G43</f>
        <v>0</v>
      </c>
      <c r="H34" s="106">
        <f>G34/F34*100</f>
        <v>0</v>
      </c>
      <c r="I34" s="106">
        <f t="shared" si="49"/>
        <v>0</v>
      </c>
      <c r="J34" s="106">
        <f t="shared" si="49"/>
        <v>0</v>
      </c>
      <c r="K34" s="106" t="e">
        <f t="shared" ref="K34:K35" si="50">J34/I34*100</f>
        <v>#DIV/0!</v>
      </c>
      <c r="L34" s="106">
        <f t="shared" si="49"/>
        <v>2178</v>
      </c>
      <c r="M34" s="106">
        <f t="shared" si="49"/>
        <v>0</v>
      </c>
      <c r="N34" s="106">
        <f t="shared" ref="N34:N35" si="51">M34/L34*100</f>
        <v>0</v>
      </c>
      <c r="O34" s="106">
        <f t="shared" si="49"/>
        <v>1989</v>
      </c>
      <c r="P34" s="106">
        <f t="shared" si="49"/>
        <v>0</v>
      </c>
      <c r="Q34" s="106">
        <f t="shared" ref="Q34:Q35" si="52">P34/O34*100</f>
        <v>0</v>
      </c>
      <c r="R34" s="106">
        <f t="shared" si="49"/>
        <v>3010</v>
      </c>
      <c r="S34" s="106">
        <f t="shared" si="49"/>
        <v>0</v>
      </c>
      <c r="T34" s="106">
        <f t="shared" ref="T34:T35" si="53">S34/R34*100</f>
        <v>0</v>
      </c>
      <c r="U34" s="106">
        <f t="shared" si="49"/>
        <v>2037</v>
      </c>
      <c r="V34" s="106">
        <f t="shared" si="49"/>
        <v>0</v>
      </c>
      <c r="W34" s="106">
        <f t="shared" si="49"/>
        <v>0</v>
      </c>
      <c r="X34" s="106">
        <f t="shared" si="49"/>
        <v>2578</v>
      </c>
      <c r="Y34" s="106">
        <f t="shared" si="49"/>
        <v>0</v>
      </c>
      <c r="Z34" s="106">
        <f t="shared" si="49"/>
        <v>0</v>
      </c>
      <c r="AA34" s="106">
        <f t="shared" si="49"/>
        <v>3526</v>
      </c>
      <c r="AB34" s="106">
        <f t="shared" si="49"/>
        <v>0</v>
      </c>
      <c r="AC34" s="106">
        <f t="shared" si="49"/>
        <v>0</v>
      </c>
      <c r="AD34" s="106">
        <f t="shared" si="49"/>
        <v>2117</v>
      </c>
      <c r="AE34" s="106">
        <f t="shared" si="49"/>
        <v>0</v>
      </c>
      <c r="AF34" s="106">
        <f t="shared" si="45"/>
        <v>0</v>
      </c>
      <c r="AG34" s="106">
        <f t="shared" si="49"/>
        <v>2494</v>
      </c>
      <c r="AH34" s="106">
        <f t="shared" si="49"/>
        <v>0</v>
      </c>
      <c r="AI34" s="106">
        <f t="shared" si="49"/>
        <v>0</v>
      </c>
      <c r="AJ34" s="106">
        <f t="shared" si="49"/>
        <v>2934</v>
      </c>
      <c r="AK34" s="106">
        <f t="shared" si="49"/>
        <v>0</v>
      </c>
      <c r="AL34" s="106">
        <f t="shared" si="49"/>
        <v>0</v>
      </c>
      <c r="AM34" s="106">
        <f t="shared" si="49"/>
        <v>1812</v>
      </c>
      <c r="AN34" s="106">
        <f t="shared" si="49"/>
        <v>0</v>
      </c>
      <c r="AO34" s="106">
        <f t="shared" si="49"/>
        <v>0</v>
      </c>
      <c r="AP34" s="106">
        <f t="shared" si="49"/>
        <v>5925.9</v>
      </c>
      <c r="AQ34" s="106">
        <f t="shared" si="49"/>
        <v>0</v>
      </c>
      <c r="AR34" s="106">
        <f t="shared" si="49"/>
        <v>0</v>
      </c>
      <c r="AS34" s="376"/>
      <c r="AT34" s="379"/>
      <c r="AU34" s="121">
        <f t="shared" si="46"/>
        <v>19929</v>
      </c>
      <c r="AV34" s="121">
        <f t="shared" si="47"/>
        <v>0</v>
      </c>
      <c r="AW34" s="155">
        <f t="shared" si="48"/>
        <v>0</v>
      </c>
    </row>
    <row r="35" spans="1:49" s="100" customFormat="1" ht="24">
      <c r="A35" s="369"/>
      <c r="B35" s="370"/>
      <c r="C35" s="370"/>
      <c r="D35" s="371"/>
      <c r="E35" s="111" t="s">
        <v>44</v>
      </c>
      <c r="F35" s="106">
        <f>F44</f>
        <v>3339.8999999999996</v>
      </c>
      <c r="G35" s="106">
        <f t="shared" si="49"/>
        <v>0</v>
      </c>
      <c r="H35" s="106">
        <f>G35/F35*100</f>
        <v>0</v>
      </c>
      <c r="I35" s="106">
        <f t="shared" si="49"/>
        <v>556</v>
      </c>
      <c r="J35" s="106">
        <f t="shared" si="49"/>
        <v>0</v>
      </c>
      <c r="K35" s="106">
        <f t="shared" si="50"/>
        <v>0</v>
      </c>
      <c r="L35" s="106">
        <f t="shared" si="49"/>
        <v>250</v>
      </c>
      <c r="M35" s="106">
        <f t="shared" si="49"/>
        <v>0</v>
      </c>
      <c r="N35" s="106">
        <f t="shared" si="51"/>
        <v>0</v>
      </c>
      <c r="O35" s="106">
        <f t="shared" si="49"/>
        <v>253</v>
      </c>
      <c r="P35" s="106">
        <f t="shared" si="49"/>
        <v>0</v>
      </c>
      <c r="Q35" s="106">
        <f t="shared" si="52"/>
        <v>0</v>
      </c>
      <c r="R35" s="106">
        <f t="shared" si="49"/>
        <v>50</v>
      </c>
      <c r="S35" s="106">
        <f t="shared" si="49"/>
        <v>0</v>
      </c>
      <c r="T35" s="106">
        <f t="shared" si="53"/>
        <v>0</v>
      </c>
      <c r="U35" s="106">
        <f t="shared" si="49"/>
        <v>452</v>
      </c>
      <c r="V35" s="106">
        <f t="shared" si="49"/>
        <v>0</v>
      </c>
      <c r="W35" s="106">
        <f t="shared" si="49"/>
        <v>0</v>
      </c>
      <c r="X35" s="106">
        <f t="shared" si="49"/>
        <v>50</v>
      </c>
      <c r="Y35" s="106">
        <f t="shared" si="49"/>
        <v>0</v>
      </c>
      <c r="Z35" s="106">
        <f t="shared" si="49"/>
        <v>0</v>
      </c>
      <c r="AA35" s="106">
        <f t="shared" si="49"/>
        <v>50</v>
      </c>
      <c r="AB35" s="106">
        <f t="shared" si="49"/>
        <v>0</v>
      </c>
      <c r="AC35" s="106">
        <f t="shared" si="49"/>
        <v>0</v>
      </c>
      <c r="AD35" s="106">
        <f t="shared" si="49"/>
        <v>452</v>
      </c>
      <c r="AE35" s="106">
        <f t="shared" si="49"/>
        <v>0</v>
      </c>
      <c r="AF35" s="106">
        <f t="shared" si="45"/>
        <v>0</v>
      </c>
      <c r="AG35" s="106">
        <f t="shared" si="49"/>
        <v>50</v>
      </c>
      <c r="AH35" s="106">
        <f t="shared" si="49"/>
        <v>0</v>
      </c>
      <c r="AI35" s="106">
        <f t="shared" si="49"/>
        <v>0</v>
      </c>
      <c r="AJ35" s="106">
        <f t="shared" si="49"/>
        <v>50</v>
      </c>
      <c r="AK35" s="106">
        <f t="shared" si="49"/>
        <v>0</v>
      </c>
      <c r="AL35" s="106">
        <f t="shared" si="49"/>
        <v>0</v>
      </c>
      <c r="AM35" s="106">
        <f t="shared" si="49"/>
        <v>453.6</v>
      </c>
      <c r="AN35" s="106">
        <f t="shared" si="49"/>
        <v>0</v>
      </c>
      <c r="AO35" s="106">
        <f t="shared" si="49"/>
        <v>0</v>
      </c>
      <c r="AP35" s="106">
        <f t="shared" si="49"/>
        <v>673.3</v>
      </c>
      <c r="AQ35" s="106">
        <f t="shared" si="49"/>
        <v>0</v>
      </c>
      <c r="AR35" s="106">
        <f t="shared" si="49"/>
        <v>0</v>
      </c>
      <c r="AS35" s="376"/>
      <c r="AT35" s="379"/>
      <c r="AU35" s="121">
        <f t="shared" si="46"/>
        <v>2163</v>
      </c>
      <c r="AV35" s="121">
        <f t="shared" si="47"/>
        <v>0</v>
      </c>
      <c r="AW35" s="155">
        <f t="shared" si="48"/>
        <v>0</v>
      </c>
    </row>
    <row r="36" spans="1:49" s="100" customFormat="1" ht="24">
      <c r="A36" s="372"/>
      <c r="B36" s="373"/>
      <c r="C36" s="373"/>
      <c r="D36" s="374"/>
      <c r="E36" s="110" t="s">
        <v>257</v>
      </c>
      <c r="F36" s="106">
        <f>F45</f>
        <v>0</v>
      </c>
      <c r="G36" s="106">
        <f t="shared" si="49"/>
        <v>0</v>
      </c>
      <c r="H36" s="106">
        <v>0</v>
      </c>
      <c r="I36" s="106">
        <f t="shared" si="49"/>
        <v>0</v>
      </c>
      <c r="J36" s="106">
        <f t="shared" si="49"/>
        <v>0</v>
      </c>
      <c r="K36" s="106">
        <v>0</v>
      </c>
      <c r="L36" s="106">
        <f t="shared" si="49"/>
        <v>0</v>
      </c>
      <c r="M36" s="106">
        <f t="shared" si="49"/>
        <v>0</v>
      </c>
      <c r="N36" s="106">
        <v>0</v>
      </c>
      <c r="O36" s="106">
        <f t="shared" si="49"/>
        <v>0</v>
      </c>
      <c r="P36" s="106">
        <f t="shared" si="49"/>
        <v>0</v>
      </c>
      <c r="Q36" s="106">
        <f t="shared" si="49"/>
        <v>0</v>
      </c>
      <c r="R36" s="106">
        <f t="shared" si="49"/>
        <v>0</v>
      </c>
      <c r="S36" s="106">
        <f t="shared" si="49"/>
        <v>0</v>
      </c>
      <c r="T36" s="106">
        <v>0</v>
      </c>
      <c r="U36" s="106">
        <f t="shared" si="49"/>
        <v>0</v>
      </c>
      <c r="V36" s="106">
        <f t="shared" si="49"/>
        <v>0</v>
      </c>
      <c r="W36" s="106">
        <f t="shared" si="49"/>
        <v>0</v>
      </c>
      <c r="X36" s="106">
        <f t="shared" si="49"/>
        <v>0</v>
      </c>
      <c r="Y36" s="106">
        <f t="shared" si="49"/>
        <v>0</v>
      </c>
      <c r="Z36" s="106">
        <f t="shared" si="49"/>
        <v>0</v>
      </c>
      <c r="AA36" s="106">
        <f t="shared" si="49"/>
        <v>0</v>
      </c>
      <c r="AB36" s="106">
        <f t="shared" si="49"/>
        <v>0</v>
      </c>
      <c r="AC36" s="106">
        <f t="shared" si="49"/>
        <v>0</v>
      </c>
      <c r="AD36" s="106">
        <f t="shared" si="49"/>
        <v>0</v>
      </c>
      <c r="AE36" s="106">
        <f t="shared" si="49"/>
        <v>0</v>
      </c>
      <c r="AF36" s="106">
        <f t="shared" si="49"/>
        <v>0</v>
      </c>
      <c r="AG36" s="106">
        <f t="shared" si="49"/>
        <v>0</v>
      </c>
      <c r="AH36" s="106">
        <f t="shared" si="49"/>
        <v>0</v>
      </c>
      <c r="AI36" s="106">
        <f t="shared" si="49"/>
        <v>0</v>
      </c>
      <c r="AJ36" s="106">
        <f t="shared" si="49"/>
        <v>0</v>
      </c>
      <c r="AK36" s="106">
        <f t="shared" si="49"/>
        <v>0</v>
      </c>
      <c r="AL36" s="106">
        <f t="shared" si="49"/>
        <v>0</v>
      </c>
      <c r="AM36" s="106">
        <f t="shared" si="49"/>
        <v>0</v>
      </c>
      <c r="AN36" s="106">
        <f t="shared" si="49"/>
        <v>0</v>
      </c>
      <c r="AO36" s="106">
        <f t="shared" si="49"/>
        <v>0</v>
      </c>
      <c r="AP36" s="106">
        <f t="shared" si="49"/>
        <v>0</v>
      </c>
      <c r="AQ36" s="106">
        <f t="shared" si="49"/>
        <v>0</v>
      </c>
      <c r="AR36" s="106">
        <f t="shared" si="49"/>
        <v>0</v>
      </c>
      <c r="AS36" s="377"/>
      <c r="AT36" s="380"/>
      <c r="AU36" s="121"/>
      <c r="AV36" s="121"/>
      <c r="AW36" s="155"/>
    </row>
    <row r="37" spans="1:49" s="100" customFormat="1" ht="112.5" customHeight="1">
      <c r="A37" s="159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68" t="s">
        <v>351</v>
      </c>
      <c r="B38" s="166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59" t="s">
        <v>355</v>
      </c>
      <c r="B39" s="166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59" t="s">
        <v>359</v>
      </c>
      <c r="B40" s="166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59" t="s">
        <v>361</v>
      </c>
      <c r="B41" s="166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81" t="s">
        <v>365</v>
      </c>
      <c r="B42" s="384" t="s">
        <v>366</v>
      </c>
      <c r="C42" s="387" t="s">
        <v>269</v>
      </c>
      <c r="D42" s="355" t="s">
        <v>367</v>
      </c>
      <c r="E42" s="107" t="s">
        <v>42</v>
      </c>
      <c r="F42" s="123">
        <f>SUM(F43:F45)</f>
        <v>33940.800000000003</v>
      </c>
      <c r="G42" s="123">
        <f t="shared" ref="G42" si="54">SUM(G43:G45)</f>
        <v>0</v>
      </c>
      <c r="H42" s="123">
        <f>G42/F42*100</f>
        <v>0</v>
      </c>
      <c r="I42" s="132">
        <f>I43+I44+I45</f>
        <v>556</v>
      </c>
      <c r="J42" s="132">
        <f>J43+J44+J45</f>
        <v>0</v>
      </c>
      <c r="K42" s="123">
        <f t="shared" ref="K42:K44" si="55">J42/I42*100</f>
        <v>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56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57">U43+U44+U45</f>
        <v>2489</v>
      </c>
      <c r="V42" s="132">
        <f t="shared" si="57"/>
        <v>0</v>
      </c>
      <c r="W42" s="132">
        <f>V42/U42*100</f>
        <v>0</v>
      </c>
      <c r="X42" s="132">
        <f t="shared" si="57"/>
        <v>2628</v>
      </c>
      <c r="Y42" s="132">
        <f t="shared" si="57"/>
        <v>0</v>
      </c>
      <c r="Z42" s="132">
        <f>Y42/X42*100</f>
        <v>0</v>
      </c>
      <c r="AA42" s="132">
        <f t="shared" si="57"/>
        <v>3576</v>
      </c>
      <c r="AB42" s="132">
        <f t="shared" si="57"/>
        <v>0</v>
      </c>
      <c r="AC42" s="132">
        <f>AB42/AA42*100</f>
        <v>0</v>
      </c>
      <c r="AD42" s="132">
        <f t="shared" si="57"/>
        <v>2569</v>
      </c>
      <c r="AE42" s="132">
        <f t="shared" si="57"/>
        <v>0</v>
      </c>
      <c r="AF42" s="132">
        <f>AE42/AD42*100</f>
        <v>0</v>
      </c>
      <c r="AG42" s="132">
        <f t="shared" si="57"/>
        <v>2544</v>
      </c>
      <c r="AH42" s="132">
        <f t="shared" si="57"/>
        <v>0</v>
      </c>
      <c r="AI42" s="117">
        <f>AH42/AG42*100</f>
        <v>0</v>
      </c>
      <c r="AJ42" s="132">
        <f t="shared" si="57"/>
        <v>2984</v>
      </c>
      <c r="AK42" s="132">
        <f t="shared" si="57"/>
        <v>0</v>
      </c>
      <c r="AL42" s="132">
        <f t="shared" si="57"/>
        <v>0</v>
      </c>
      <c r="AM42" s="132">
        <f t="shared" si="57"/>
        <v>2265.6</v>
      </c>
      <c r="AN42" s="132">
        <f t="shared" si="57"/>
        <v>0</v>
      </c>
      <c r="AO42" s="132">
        <f t="shared" si="57"/>
        <v>0</v>
      </c>
      <c r="AP42" s="132">
        <f t="shared" si="57"/>
        <v>6599.2</v>
      </c>
      <c r="AQ42" s="104"/>
      <c r="AR42" s="104"/>
      <c r="AS42" s="352" t="s">
        <v>310</v>
      </c>
      <c r="AT42" s="390"/>
      <c r="AU42" s="121">
        <f t="shared" si="46"/>
        <v>22092</v>
      </c>
      <c r="AV42" s="121">
        <f t="shared" si="47"/>
        <v>0</v>
      </c>
      <c r="AW42" s="155">
        <f t="shared" si="48"/>
        <v>0</v>
      </c>
    </row>
    <row r="43" spans="1:49" s="31" customFormat="1" ht="36">
      <c r="A43" s="382"/>
      <c r="B43" s="385"/>
      <c r="C43" s="388"/>
      <c r="D43" s="356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55"/>
        <v>#DIV/0!</v>
      </c>
      <c r="L43" s="150">
        <v>2178</v>
      </c>
      <c r="M43" s="123">
        <v>0</v>
      </c>
      <c r="N43" s="138">
        <f t="shared" ref="N43:N44" si="58">M43/L43*100</f>
        <v>0</v>
      </c>
      <c r="O43" s="123">
        <v>1989</v>
      </c>
      <c r="P43" s="123">
        <v>0</v>
      </c>
      <c r="Q43" s="123">
        <f t="shared" si="56"/>
        <v>0</v>
      </c>
      <c r="R43" s="123">
        <v>3010</v>
      </c>
      <c r="S43" s="123">
        <v>0</v>
      </c>
      <c r="T43" s="132">
        <f t="shared" ref="T43:T44" si="59">S43/R43*100</f>
        <v>0</v>
      </c>
      <c r="U43" s="117">
        <v>2037</v>
      </c>
      <c r="V43" s="117">
        <v>0</v>
      </c>
      <c r="W43" s="132">
        <f t="shared" ref="W43:W44" si="60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53"/>
      <c r="AT43" s="391"/>
      <c r="AU43" s="121">
        <f t="shared" si="46"/>
        <v>19929</v>
      </c>
      <c r="AV43" s="121">
        <f t="shared" si="47"/>
        <v>0</v>
      </c>
      <c r="AW43" s="155">
        <f t="shared" si="48"/>
        <v>0</v>
      </c>
    </row>
    <row r="44" spans="1:49" s="31" customFormat="1" ht="12.75">
      <c r="A44" s="382"/>
      <c r="B44" s="385"/>
      <c r="C44" s="388"/>
      <c r="D44" s="356"/>
      <c r="E44" s="108" t="s">
        <v>44</v>
      </c>
      <c r="F44" s="123">
        <f t="shared" ref="F44:F45" si="61">I44+L44+O44+R44+U44+X44+AA44+AD44+AG44+AJ44+AM44+AP44</f>
        <v>3339.8999999999996</v>
      </c>
      <c r="G44" s="123">
        <f t="shared" ref="G44:G45" si="62">J44+M44+P44+S44+V44+Y44+AB44+AE44+AH44+AK44+AN44+AQ44</f>
        <v>0</v>
      </c>
      <c r="H44" s="123">
        <f>G44/F44*100</f>
        <v>0</v>
      </c>
      <c r="I44" s="123">
        <v>556</v>
      </c>
      <c r="J44" s="123">
        <v>0</v>
      </c>
      <c r="K44" s="123">
        <f t="shared" si="55"/>
        <v>0</v>
      </c>
      <c r="L44" s="150">
        <v>250</v>
      </c>
      <c r="M44" s="123">
        <v>0</v>
      </c>
      <c r="N44" s="138">
        <f t="shared" si="58"/>
        <v>0</v>
      </c>
      <c r="O44" s="123">
        <v>253</v>
      </c>
      <c r="P44" s="123">
        <v>0</v>
      </c>
      <c r="Q44" s="123">
        <f t="shared" si="56"/>
        <v>0</v>
      </c>
      <c r="R44" s="123">
        <v>50</v>
      </c>
      <c r="S44" s="123">
        <v>0</v>
      </c>
      <c r="T44" s="132">
        <f t="shared" si="59"/>
        <v>0</v>
      </c>
      <c r="U44" s="117">
        <v>452</v>
      </c>
      <c r="V44" s="117">
        <v>0</v>
      </c>
      <c r="W44" s="132">
        <f t="shared" si="60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53"/>
      <c r="AT44" s="391"/>
      <c r="AU44" s="121">
        <f t="shared" si="46"/>
        <v>2163</v>
      </c>
      <c r="AV44" s="121">
        <f t="shared" si="47"/>
        <v>0</v>
      </c>
      <c r="AW44" s="155">
        <f t="shared" si="48"/>
        <v>0</v>
      </c>
    </row>
    <row r="45" spans="1:49" s="31" customFormat="1" ht="25.5" customHeight="1">
      <c r="A45" s="383"/>
      <c r="B45" s="386"/>
      <c r="C45" s="389"/>
      <c r="D45" s="362"/>
      <c r="E45" s="109" t="s">
        <v>257</v>
      </c>
      <c r="F45" s="123">
        <f t="shared" si="61"/>
        <v>0</v>
      </c>
      <c r="G45" s="123">
        <f t="shared" si="62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54"/>
      <c r="AT45" s="392"/>
      <c r="AU45" s="121"/>
      <c r="AV45" s="121"/>
      <c r="AW45" s="155"/>
    </row>
    <row r="46" spans="1:49" s="31" customFormat="1" ht="15.75">
      <c r="A46" s="325" t="s">
        <v>368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7"/>
      <c r="AU46" s="121"/>
      <c r="AV46" s="121"/>
      <c r="AW46" s="155"/>
    </row>
    <row r="47" spans="1:49" s="31" customFormat="1" ht="15.75">
      <c r="A47" s="325" t="s">
        <v>369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7"/>
      <c r="AU47" s="121"/>
      <c r="AV47" s="121"/>
      <c r="AW47" s="155"/>
    </row>
    <row r="48" spans="1:49" s="100" customFormat="1" ht="12.75">
      <c r="A48" s="366" t="s">
        <v>270</v>
      </c>
      <c r="B48" s="367"/>
      <c r="C48" s="367"/>
      <c r="D48" s="368"/>
      <c r="E48" s="129" t="s">
        <v>42</v>
      </c>
      <c r="F48" s="106">
        <f>F49+F50+F51</f>
        <v>599.4</v>
      </c>
      <c r="G48" s="106">
        <f t="shared" ref="G48:AR48" si="63">G49+G50+G51</f>
        <v>0</v>
      </c>
      <c r="H48" s="106">
        <f>G48/F48*100</f>
        <v>0</v>
      </c>
      <c r="I48" s="106">
        <f t="shared" si="63"/>
        <v>0</v>
      </c>
      <c r="J48" s="106">
        <f t="shared" si="63"/>
        <v>0</v>
      </c>
      <c r="K48" s="106">
        <v>0</v>
      </c>
      <c r="L48" s="106">
        <f t="shared" si="63"/>
        <v>0</v>
      </c>
      <c r="M48" s="106">
        <f t="shared" si="63"/>
        <v>0</v>
      </c>
      <c r="N48" s="106">
        <v>0</v>
      </c>
      <c r="O48" s="106">
        <f t="shared" si="63"/>
        <v>119.8</v>
      </c>
      <c r="P48" s="106">
        <f t="shared" si="63"/>
        <v>0</v>
      </c>
      <c r="Q48" s="106">
        <f>P48/O48*100</f>
        <v>0</v>
      </c>
      <c r="R48" s="106">
        <f t="shared" si="63"/>
        <v>0</v>
      </c>
      <c r="S48" s="106">
        <f t="shared" si="63"/>
        <v>0</v>
      </c>
      <c r="T48" s="106">
        <v>0</v>
      </c>
      <c r="U48" s="106">
        <f t="shared" si="63"/>
        <v>0</v>
      </c>
      <c r="V48" s="106">
        <f t="shared" si="63"/>
        <v>0</v>
      </c>
      <c r="W48" s="106">
        <f t="shared" si="63"/>
        <v>0</v>
      </c>
      <c r="X48" s="106">
        <f t="shared" si="63"/>
        <v>179.7</v>
      </c>
      <c r="Y48" s="106">
        <f t="shared" si="63"/>
        <v>0</v>
      </c>
      <c r="Z48" s="106">
        <f t="shared" si="63"/>
        <v>0</v>
      </c>
      <c r="AA48" s="106">
        <f t="shared" si="63"/>
        <v>0</v>
      </c>
      <c r="AB48" s="106">
        <f t="shared" si="63"/>
        <v>0</v>
      </c>
      <c r="AC48" s="106">
        <f t="shared" si="63"/>
        <v>0</v>
      </c>
      <c r="AD48" s="106">
        <f t="shared" si="63"/>
        <v>0</v>
      </c>
      <c r="AE48" s="106">
        <f t="shared" si="63"/>
        <v>0</v>
      </c>
      <c r="AF48" s="106">
        <f t="shared" si="63"/>
        <v>0</v>
      </c>
      <c r="AG48" s="106">
        <f t="shared" si="63"/>
        <v>179.7</v>
      </c>
      <c r="AH48" s="106">
        <f t="shared" si="63"/>
        <v>0</v>
      </c>
      <c r="AI48" s="106">
        <f t="shared" si="63"/>
        <v>0</v>
      </c>
      <c r="AJ48" s="106">
        <f t="shared" si="63"/>
        <v>0</v>
      </c>
      <c r="AK48" s="106">
        <f t="shared" si="63"/>
        <v>0</v>
      </c>
      <c r="AL48" s="106">
        <f t="shared" si="63"/>
        <v>0</v>
      </c>
      <c r="AM48" s="106">
        <f t="shared" si="63"/>
        <v>120.2</v>
      </c>
      <c r="AN48" s="106">
        <f t="shared" si="63"/>
        <v>0</v>
      </c>
      <c r="AO48" s="106">
        <f t="shared" si="63"/>
        <v>0</v>
      </c>
      <c r="AP48" s="106">
        <f t="shared" si="63"/>
        <v>0</v>
      </c>
      <c r="AQ48" s="106">
        <f t="shared" si="63"/>
        <v>0</v>
      </c>
      <c r="AR48" s="106">
        <f t="shared" si="63"/>
        <v>0</v>
      </c>
      <c r="AS48" s="337"/>
      <c r="AT48" s="378"/>
      <c r="AU48" s="121">
        <f t="shared" si="46"/>
        <v>479.2</v>
      </c>
      <c r="AV48" s="121">
        <f t="shared" si="47"/>
        <v>0</v>
      </c>
      <c r="AW48" s="155">
        <f t="shared" si="48"/>
        <v>0</v>
      </c>
    </row>
    <row r="49" spans="1:49" s="100" customFormat="1" ht="36">
      <c r="A49" s="369"/>
      <c r="B49" s="370"/>
      <c r="C49" s="370"/>
      <c r="D49" s="371"/>
      <c r="E49" s="111" t="s">
        <v>3</v>
      </c>
      <c r="F49" s="106">
        <f>F57</f>
        <v>0</v>
      </c>
      <c r="G49" s="106">
        <f t="shared" ref="G49:AR51" si="64">G57</f>
        <v>0</v>
      </c>
      <c r="H49" s="106">
        <v>0</v>
      </c>
      <c r="I49" s="106">
        <f t="shared" si="64"/>
        <v>0</v>
      </c>
      <c r="J49" s="106">
        <f t="shared" si="64"/>
        <v>0</v>
      </c>
      <c r="K49" s="106">
        <v>0</v>
      </c>
      <c r="L49" s="106">
        <f t="shared" si="64"/>
        <v>0</v>
      </c>
      <c r="M49" s="106">
        <f t="shared" si="64"/>
        <v>0</v>
      </c>
      <c r="N49" s="106">
        <v>0</v>
      </c>
      <c r="O49" s="106">
        <f t="shared" si="64"/>
        <v>0</v>
      </c>
      <c r="P49" s="106">
        <f t="shared" si="64"/>
        <v>0</v>
      </c>
      <c r="Q49" s="106">
        <v>0</v>
      </c>
      <c r="R49" s="106">
        <f t="shared" si="64"/>
        <v>0</v>
      </c>
      <c r="S49" s="106">
        <f t="shared" si="64"/>
        <v>0</v>
      </c>
      <c r="T49" s="106">
        <f t="shared" si="64"/>
        <v>0</v>
      </c>
      <c r="U49" s="106">
        <f t="shared" si="64"/>
        <v>0</v>
      </c>
      <c r="V49" s="106">
        <f t="shared" si="64"/>
        <v>0</v>
      </c>
      <c r="W49" s="106">
        <f t="shared" si="64"/>
        <v>0</v>
      </c>
      <c r="X49" s="106">
        <f t="shared" si="64"/>
        <v>0</v>
      </c>
      <c r="Y49" s="106">
        <f t="shared" si="64"/>
        <v>0</v>
      </c>
      <c r="Z49" s="106">
        <f t="shared" si="64"/>
        <v>0</v>
      </c>
      <c r="AA49" s="106">
        <f t="shared" si="64"/>
        <v>0</v>
      </c>
      <c r="AB49" s="106">
        <f t="shared" si="64"/>
        <v>0</v>
      </c>
      <c r="AC49" s="106">
        <f t="shared" si="64"/>
        <v>0</v>
      </c>
      <c r="AD49" s="106">
        <f t="shared" si="64"/>
        <v>0</v>
      </c>
      <c r="AE49" s="106">
        <f t="shared" si="64"/>
        <v>0</v>
      </c>
      <c r="AF49" s="106">
        <f t="shared" si="64"/>
        <v>0</v>
      </c>
      <c r="AG49" s="106">
        <f t="shared" si="64"/>
        <v>0</v>
      </c>
      <c r="AH49" s="106">
        <f t="shared" si="64"/>
        <v>0</v>
      </c>
      <c r="AI49" s="106">
        <f t="shared" si="64"/>
        <v>0</v>
      </c>
      <c r="AJ49" s="106">
        <f t="shared" si="64"/>
        <v>0</v>
      </c>
      <c r="AK49" s="106">
        <f t="shared" si="64"/>
        <v>0</v>
      </c>
      <c r="AL49" s="106">
        <f t="shared" si="64"/>
        <v>0</v>
      </c>
      <c r="AM49" s="106">
        <f t="shared" si="64"/>
        <v>0</v>
      </c>
      <c r="AN49" s="106">
        <f t="shared" si="64"/>
        <v>0</v>
      </c>
      <c r="AO49" s="106">
        <f t="shared" si="64"/>
        <v>0</v>
      </c>
      <c r="AP49" s="106">
        <f t="shared" si="64"/>
        <v>0</v>
      </c>
      <c r="AQ49" s="106">
        <f t="shared" si="64"/>
        <v>0</v>
      </c>
      <c r="AR49" s="106">
        <f t="shared" si="64"/>
        <v>0</v>
      </c>
      <c r="AS49" s="338"/>
      <c r="AT49" s="379"/>
      <c r="AU49" s="121"/>
      <c r="AV49" s="121"/>
      <c r="AW49" s="155"/>
    </row>
    <row r="50" spans="1:49" s="100" customFormat="1" ht="24">
      <c r="A50" s="369"/>
      <c r="B50" s="370"/>
      <c r="C50" s="370"/>
      <c r="D50" s="371"/>
      <c r="E50" s="111" t="s">
        <v>44</v>
      </c>
      <c r="F50" s="106">
        <f>F58</f>
        <v>599.4</v>
      </c>
      <c r="G50" s="106">
        <f t="shared" si="64"/>
        <v>0</v>
      </c>
      <c r="H50" s="106">
        <f>G50/F50*100</f>
        <v>0</v>
      </c>
      <c r="I50" s="106">
        <f t="shared" si="64"/>
        <v>0</v>
      </c>
      <c r="J50" s="106">
        <f t="shared" si="64"/>
        <v>0</v>
      </c>
      <c r="K50" s="106">
        <v>0</v>
      </c>
      <c r="L50" s="106">
        <f t="shared" si="64"/>
        <v>0</v>
      </c>
      <c r="M50" s="106">
        <f t="shared" si="64"/>
        <v>0</v>
      </c>
      <c r="N50" s="106">
        <v>0</v>
      </c>
      <c r="O50" s="106">
        <f t="shared" si="64"/>
        <v>119.8</v>
      </c>
      <c r="P50" s="106">
        <f t="shared" si="64"/>
        <v>0</v>
      </c>
      <c r="Q50" s="106">
        <f t="shared" ref="Q50" si="65">P50/O50*100</f>
        <v>0</v>
      </c>
      <c r="R50" s="106">
        <f t="shared" si="64"/>
        <v>0</v>
      </c>
      <c r="S50" s="106">
        <f t="shared" si="64"/>
        <v>0</v>
      </c>
      <c r="T50" s="106">
        <f t="shared" si="64"/>
        <v>0</v>
      </c>
      <c r="U50" s="106">
        <f t="shared" si="64"/>
        <v>0</v>
      </c>
      <c r="V50" s="106">
        <f t="shared" si="64"/>
        <v>0</v>
      </c>
      <c r="W50" s="106">
        <f t="shared" si="64"/>
        <v>0</v>
      </c>
      <c r="X50" s="106">
        <f t="shared" si="64"/>
        <v>179.7</v>
      </c>
      <c r="Y50" s="106">
        <f t="shared" si="64"/>
        <v>0</v>
      </c>
      <c r="Z50" s="106">
        <f t="shared" si="64"/>
        <v>0</v>
      </c>
      <c r="AA50" s="106">
        <f t="shared" si="64"/>
        <v>0</v>
      </c>
      <c r="AB50" s="106">
        <f t="shared" si="64"/>
        <v>0</v>
      </c>
      <c r="AC50" s="106">
        <f t="shared" si="64"/>
        <v>0</v>
      </c>
      <c r="AD50" s="106">
        <f t="shared" si="64"/>
        <v>0</v>
      </c>
      <c r="AE50" s="106">
        <f t="shared" si="64"/>
        <v>0</v>
      </c>
      <c r="AF50" s="106">
        <f t="shared" si="64"/>
        <v>0</v>
      </c>
      <c r="AG50" s="106">
        <f t="shared" si="64"/>
        <v>179.7</v>
      </c>
      <c r="AH50" s="106">
        <f t="shared" si="64"/>
        <v>0</v>
      </c>
      <c r="AI50" s="106">
        <f t="shared" si="64"/>
        <v>0</v>
      </c>
      <c r="AJ50" s="106">
        <f t="shared" si="64"/>
        <v>0</v>
      </c>
      <c r="AK50" s="106">
        <f t="shared" si="64"/>
        <v>0</v>
      </c>
      <c r="AL50" s="106">
        <f t="shared" si="64"/>
        <v>0</v>
      </c>
      <c r="AM50" s="106">
        <f t="shared" si="64"/>
        <v>120.2</v>
      </c>
      <c r="AN50" s="106">
        <f t="shared" si="64"/>
        <v>0</v>
      </c>
      <c r="AO50" s="106">
        <f t="shared" si="64"/>
        <v>0</v>
      </c>
      <c r="AP50" s="106">
        <f t="shared" si="64"/>
        <v>0</v>
      </c>
      <c r="AQ50" s="106">
        <f t="shared" si="64"/>
        <v>0</v>
      </c>
      <c r="AR50" s="106">
        <f t="shared" si="64"/>
        <v>0</v>
      </c>
      <c r="AS50" s="338"/>
      <c r="AT50" s="379"/>
      <c r="AU50" s="121">
        <f t="shared" si="46"/>
        <v>479.2</v>
      </c>
      <c r="AV50" s="121">
        <f t="shared" si="47"/>
        <v>0</v>
      </c>
      <c r="AW50" s="155">
        <f t="shared" si="48"/>
        <v>0</v>
      </c>
    </row>
    <row r="51" spans="1:49" s="100" customFormat="1" ht="24">
      <c r="A51" s="372"/>
      <c r="B51" s="373"/>
      <c r="C51" s="373"/>
      <c r="D51" s="374"/>
      <c r="E51" s="110" t="s">
        <v>257</v>
      </c>
      <c r="F51" s="106">
        <f>F59</f>
        <v>0</v>
      </c>
      <c r="G51" s="106">
        <f t="shared" si="64"/>
        <v>0</v>
      </c>
      <c r="H51" s="106">
        <v>0</v>
      </c>
      <c r="I51" s="106">
        <f t="shared" si="64"/>
        <v>0</v>
      </c>
      <c r="J51" s="106">
        <f t="shared" si="64"/>
        <v>0</v>
      </c>
      <c r="K51" s="106">
        <f t="shared" si="64"/>
        <v>0</v>
      </c>
      <c r="L51" s="106">
        <f t="shared" si="64"/>
        <v>0</v>
      </c>
      <c r="M51" s="106">
        <f t="shared" si="64"/>
        <v>0</v>
      </c>
      <c r="N51" s="106">
        <v>0</v>
      </c>
      <c r="O51" s="106">
        <f t="shared" si="64"/>
        <v>0</v>
      </c>
      <c r="P51" s="106">
        <f t="shared" si="64"/>
        <v>0</v>
      </c>
      <c r="Q51" s="106">
        <f t="shared" si="64"/>
        <v>0</v>
      </c>
      <c r="R51" s="106">
        <f t="shared" si="64"/>
        <v>0</v>
      </c>
      <c r="S51" s="106">
        <f t="shared" si="64"/>
        <v>0</v>
      </c>
      <c r="T51" s="106">
        <f t="shared" si="64"/>
        <v>0</v>
      </c>
      <c r="U51" s="106">
        <f t="shared" si="64"/>
        <v>0</v>
      </c>
      <c r="V51" s="106">
        <f t="shared" si="64"/>
        <v>0</v>
      </c>
      <c r="W51" s="106">
        <f t="shared" si="64"/>
        <v>0</v>
      </c>
      <c r="X51" s="106">
        <f t="shared" si="64"/>
        <v>0</v>
      </c>
      <c r="Y51" s="106">
        <f t="shared" si="64"/>
        <v>0</v>
      </c>
      <c r="Z51" s="106">
        <f t="shared" si="64"/>
        <v>0</v>
      </c>
      <c r="AA51" s="106">
        <f t="shared" si="64"/>
        <v>0</v>
      </c>
      <c r="AB51" s="106">
        <f t="shared" si="64"/>
        <v>0</v>
      </c>
      <c r="AC51" s="106">
        <f t="shared" si="64"/>
        <v>0</v>
      </c>
      <c r="AD51" s="106">
        <f t="shared" si="64"/>
        <v>0</v>
      </c>
      <c r="AE51" s="106">
        <f t="shared" si="64"/>
        <v>0</v>
      </c>
      <c r="AF51" s="106">
        <f t="shared" si="64"/>
        <v>0</v>
      </c>
      <c r="AG51" s="106">
        <f t="shared" si="64"/>
        <v>0</v>
      </c>
      <c r="AH51" s="106">
        <f t="shared" si="64"/>
        <v>0</v>
      </c>
      <c r="AI51" s="106">
        <f t="shared" si="64"/>
        <v>0</v>
      </c>
      <c r="AJ51" s="106">
        <f t="shared" si="64"/>
        <v>0</v>
      </c>
      <c r="AK51" s="106">
        <f t="shared" si="64"/>
        <v>0</v>
      </c>
      <c r="AL51" s="106">
        <f t="shared" si="64"/>
        <v>0</v>
      </c>
      <c r="AM51" s="106">
        <f t="shared" si="64"/>
        <v>0</v>
      </c>
      <c r="AN51" s="106">
        <f t="shared" si="64"/>
        <v>0</v>
      </c>
      <c r="AO51" s="106">
        <f t="shared" si="64"/>
        <v>0</v>
      </c>
      <c r="AP51" s="106">
        <f t="shared" si="64"/>
        <v>0</v>
      </c>
      <c r="AQ51" s="106">
        <f t="shared" si="64"/>
        <v>0</v>
      </c>
      <c r="AR51" s="106">
        <f t="shared" si="64"/>
        <v>0</v>
      </c>
      <c r="AS51" s="339"/>
      <c r="AT51" s="380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1" t="s">
        <v>372</v>
      </c>
      <c r="E52" s="143" t="s">
        <v>275</v>
      </c>
      <c r="F52" s="149" t="s">
        <v>279</v>
      </c>
      <c r="G52" s="149" t="s">
        <v>279</v>
      </c>
      <c r="H52" s="149" t="s">
        <v>279</v>
      </c>
      <c r="I52" s="149" t="s">
        <v>279</v>
      </c>
      <c r="J52" s="149" t="s">
        <v>279</v>
      </c>
      <c r="K52" s="149" t="s">
        <v>279</v>
      </c>
      <c r="L52" s="149" t="s">
        <v>279</v>
      </c>
      <c r="M52" s="149" t="s">
        <v>279</v>
      </c>
      <c r="N52" s="149" t="s">
        <v>279</v>
      </c>
      <c r="O52" s="149" t="s">
        <v>279</v>
      </c>
      <c r="P52" s="149" t="s">
        <v>279</v>
      </c>
      <c r="Q52" s="149" t="s">
        <v>279</v>
      </c>
      <c r="R52" s="149" t="s">
        <v>279</v>
      </c>
      <c r="S52" s="149" t="s">
        <v>279</v>
      </c>
      <c r="T52" s="149" t="s">
        <v>279</v>
      </c>
      <c r="U52" s="149" t="s">
        <v>279</v>
      </c>
      <c r="V52" s="149" t="s">
        <v>279</v>
      </c>
      <c r="W52" s="149" t="s">
        <v>279</v>
      </c>
      <c r="X52" s="149" t="s">
        <v>279</v>
      </c>
      <c r="Y52" s="149" t="s">
        <v>279</v>
      </c>
      <c r="Z52" s="149" t="s">
        <v>279</v>
      </c>
      <c r="AA52" s="149" t="s">
        <v>279</v>
      </c>
      <c r="AB52" s="149" t="s">
        <v>279</v>
      </c>
      <c r="AC52" s="149" t="s">
        <v>279</v>
      </c>
      <c r="AD52" s="149" t="s">
        <v>279</v>
      </c>
      <c r="AE52" s="149" t="s">
        <v>279</v>
      </c>
      <c r="AF52" s="149" t="s">
        <v>279</v>
      </c>
      <c r="AG52" s="149" t="s">
        <v>279</v>
      </c>
      <c r="AH52" s="149" t="s">
        <v>279</v>
      </c>
      <c r="AI52" s="149" t="s">
        <v>279</v>
      </c>
      <c r="AJ52" s="149" t="s">
        <v>279</v>
      </c>
      <c r="AK52" s="149" t="s">
        <v>279</v>
      </c>
      <c r="AL52" s="149" t="s">
        <v>279</v>
      </c>
      <c r="AM52" s="149" t="s">
        <v>279</v>
      </c>
      <c r="AN52" s="149" t="s">
        <v>279</v>
      </c>
      <c r="AO52" s="149" t="s">
        <v>279</v>
      </c>
      <c r="AP52" s="149" t="s">
        <v>279</v>
      </c>
      <c r="AQ52" s="149" t="s">
        <v>279</v>
      </c>
      <c r="AR52" s="149" t="s">
        <v>279</v>
      </c>
      <c r="AS52" s="144" t="s">
        <v>311</v>
      </c>
      <c r="AT52" s="139"/>
      <c r="AU52" s="121"/>
      <c r="AV52" s="121"/>
      <c r="AW52" s="155"/>
    </row>
    <row r="53" spans="1:49" s="100" customFormat="1" ht="264">
      <c r="A53" s="159" t="s">
        <v>373</v>
      </c>
      <c r="B53" s="161" t="s">
        <v>374</v>
      </c>
      <c r="C53" s="162" t="s">
        <v>375</v>
      </c>
      <c r="D53" s="171" t="s">
        <v>376</v>
      </c>
      <c r="E53" s="143" t="s">
        <v>275</v>
      </c>
      <c r="F53" s="149" t="s">
        <v>279</v>
      </c>
      <c r="G53" s="149" t="s">
        <v>279</v>
      </c>
      <c r="H53" s="149" t="s">
        <v>279</v>
      </c>
      <c r="I53" s="149" t="s">
        <v>279</v>
      </c>
      <c r="J53" s="149" t="s">
        <v>279</v>
      </c>
      <c r="K53" s="149" t="s">
        <v>279</v>
      </c>
      <c r="L53" s="149" t="s">
        <v>279</v>
      </c>
      <c r="M53" s="149" t="s">
        <v>279</v>
      </c>
      <c r="N53" s="149" t="s">
        <v>279</v>
      </c>
      <c r="O53" s="149" t="s">
        <v>279</v>
      </c>
      <c r="P53" s="149" t="s">
        <v>279</v>
      </c>
      <c r="Q53" s="149" t="s">
        <v>279</v>
      </c>
      <c r="R53" s="149" t="s">
        <v>279</v>
      </c>
      <c r="S53" s="149" t="s">
        <v>279</v>
      </c>
      <c r="T53" s="149" t="s">
        <v>279</v>
      </c>
      <c r="U53" s="149" t="s">
        <v>279</v>
      </c>
      <c r="V53" s="149" t="s">
        <v>279</v>
      </c>
      <c r="W53" s="149" t="s">
        <v>279</v>
      </c>
      <c r="X53" s="149" t="s">
        <v>279</v>
      </c>
      <c r="Y53" s="149" t="s">
        <v>279</v>
      </c>
      <c r="Z53" s="149" t="s">
        <v>279</v>
      </c>
      <c r="AA53" s="149" t="s">
        <v>279</v>
      </c>
      <c r="AB53" s="149" t="s">
        <v>279</v>
      </c>
      <c r="AC53" s="149" t="s">
        <v>279</v>
      </c>
      <c r="AD53" s="149" t="s">
        <v>279</v>
      </c>
      <c r="AE53" s="149" t="s">
        <v>279</v>
      </c>
      <c r="AF53" s="149" t="s">
        <v>279</v>
      </c>
      <c r="AG53" s="149" t="s">
        <v>279</v>
      </c>
      <c r="AH53" s="149" t="s">
        <v>279</v>
      </c>
      <c r="AI53" s="149" t="s">
        <v>279</v>
      </c>
      <c r="AJ53" s="149" t="s">
        <v>279</v>
      </c>
      <c r="AK53" s="149" t="s">
        <v>279</v>
      </c>
      <c r="AL53" s="149" t="s">
        <v>279</v>
      </c>
      <c r="AM53" s="149" t="s">
        <v>279</v>
      </c>
      <c r="AN53" s="149" t="s">
        <v>279</v>
      </c>
      <c r="AO53" s="149" t="s">
        <v>279</v>
      </c>
      <c r="AP53" s="149" t="s">
        <v>279</v>
      </c>
      <c r="AQ53" s="149" t="s">
        <v>279</v>
      </c>
      <c r="AR53" s="149" t="s">
        <v>279</v>
      </c>
      <c r="AS53" s="156" t="s">
        <v>306</v>
      </c>
      <c r="AT53" s="140"/>
      <c r="AU53" s="121"/>
      <c r="AV53" s="121"/>
      <c r="AW53" s="155"/>
    </row>
    <row r="54" spans="1:49" s="100" customFormat="1" ht="72">
      <c r="A54" s="133" t="s">
        <v>377</v>
      </c>
      <c r="B54" s="165" t="s">
        <v>378</v>
      </c>
      <c r="C54" s="162" t="s">
        <v>276</v>
      </c>
      <c r="D54" s="171" t="s">
        <v>379</v>
      </c>
      <c r="E54" s="143" t="s">
        <v>275</v>
      </c>
      <c r="F54" s="149" t="s">
        <v>279</v>
      </c>
      <c r="G54" s="149" t="s">
        <v>279</v>
      </c>
      <c r="H54" s="149" t="s">
        <v>279</v>
      </c>
      <c r="I54" s="149" t="s">
        <v>279</v>
      </c>
      <c r="J54" s="149" t="s">
        <v>279</v>
      </c>
      <c r="K54" s="149" t="s">
        <v>279</v>
      </c>
      <c r="L54" s="149" t="s">
        <v>279</v>
      </c>
      <c r="M54" s="149" t="s">
        <v>279</v>
      </c>
      <c r="N54" s="149" t="s">
        <v>279</v>
      </c>
      <c r="O54" s="149" t="s">
        <v>279</v>
      </c>
      <c r="P54" s="149" t="s">
        <v>279</v>
      </c>
      <c r="Q54" s="149" t="s">
        <v>279</v>
      </c>
      <c r="R54" s="149" t="s">
        <v>279</v>
      </c>
      <c r="S54" s="149" t="s">
        <v>279</v>
      </c>
      <c r="T54" s="149" t="s">
        <v>279</v>
      </c>
      <c r="U54" s="149" t="s">
        <v>279</v>
      </c>
      <c r="V54" s="149" t="s">
        <v>279</v>
      </c>
      <c r="W54" s="149" t="s">
        <v>279</v>
      </c>
      <c r="X54" s="149" t="s">
        <v>279</v>
      </c>
      <c r="Y54" s="149" t="s">
        <v>279</v>
      </c>
      <c r="Z54" s="149" t="s">
        <v>279</v>
      </c>
      <c r="AA54" s="149" t="s">
        <v>279</v>
      </c>
      <c r="AB54" s="149" t="s">
        <v>279</v>
      </c>
      <c r="AC54" s="149" t="s">
        <v>279</v>
      </c>
      <c r="AD54" s="149" t="s">
        <v>279</v>
      </c>
      <c r="AE54" s="149" t="s">
        <v>279</v>
      </c>
      <c r="AF54" s="149" t="s">
        <v>279</v>
      </c>
      <c r="AG54" s="149" t="s">
        <v>279</v>
      </c>
      <c r="AH54" s="149" t="s">
        <v>279</v>
      </c>
      <c r="AI54" s="149" t="s">
        <v>279</v>
      </c>
      <c r="AJ54" s="149" t="s">
        <v>279</v>
      </c>
      <c r="AK54" s="149" t="s">
        <v>279</v>
      </c>
      <c r="AL54" s="149" t="s">
        <v>279</v>
      </c>
      <c r="AM54" s="149" t="s">
        <v>279</v>
      </c>
      <c r="AN54" s="149" t="s">
        <v>279</v>
      </c>
      <c r="AO54" s="149" t="s">
        <v>279</v>
      </c>
      <c r="AP54" s="149" t="s">
        <v>279</v>
      </c>
      <c r="AQ54" s="149"/>
      <c r="AR54" s="149"/>
      <c r="AS54" s="144" t="s">
        <v>312</v>
      </c>
      <c r="AT54" s="140"/>
      <c r="AU54" s="121"/>
      <c r="AV54" s="121"/>
      <c r="AW54" s="155"/>
    </row>
    <row r="55" spans="1:49" s="100" customFormat="1" ht="84">
      <c r="A55" s="136" t="s">
        <v>380</v>
      </c>
      <c r="B55" s="137" t="s">
        <v>278</v>
      </c>
      <c r="C55" s="135" t="s">
        <v>276</v>
      </c>
      <c r="D55" s="171" t="s">
        <v>381</v>
      </c>
      <c r="E55" s="143" t="s">
        <v>275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 t="s">
        <v>279</v>
      </c>
      <c r="AQ55" s="149"/>
      <c r="AR55" s="149"/>
      <c r="AS55" s="144" t="s">
        <v>313</v>
      </c>
      <c r="AT55" s="140"/>
      <c r="AU55" s="121"/>
      <c r="AV55" s="121"/>
      <c r="AW55" s="155"/>
    </row>
    <row r="56" spans="1:49" s="31" customFormat="1" ht="12.75">
      <c r="A56" s="343" t="s">
        <v>382</v>
      </c>
      <c r="B56" s="346" t="s">
        <v>259</v>
      </c>
      <c r="C56" s="349" t="s">
        <v>271</v>
      </c>
      <c r="D56" s="355" t="s">
        <v>383</v>
      </c>
      <c r="E56" s="107" t="s">
        <v>42</v>
      </c>
      <c r="F56" s="123">
        <f>SUM(F57:F59)</f>
        <v>599.4</v>
      </c>
      <c r="G56" s="123">
        <f t="shared" ref="G56" si="66">SUM(G57:G59)</f>
        <v>0</v>
      </c>
      <c r="H56" s="123">
        <f>G56/F56*100</f>
        <v>0</v>
      </c>
      <c r="I56" s="132">
        <f t="shared" ref="I56:AP56" si="67">I57+I58+I59</f>
        <v>0</v>
      </c>
      <c r="J56" s="132">
        <f t="shared" si="67"/>
        <v>0</v>
      </c>
      <c r="K56" s="123">
        <v>0</v>
      </c>
      <c r="L56" s="132">
        <f t="shared" si="67"/>
        <v>0</v>
      </c>
      <c r="M56" s="132">
        <f t="shared" si="67"/>
        <v>0</v>
      </c>
      <c r="N56" s="132">
        <v>0</v>
      </c>
      <c r="O56" s="132">
        <f t="shared" si="67"/>
        <v>119.8</v>
      </c>
      <c r="P56" s="132">
        <f t="shared" si="67"/>
        <v>0</v>
      </c>
      <c r="Q56" s="123">
        <f t="shared" ref="Q56:Q58" si="68">P56/O56*100</f>
        <v>0</v>
      </c>
      <c r="R56" s="132">
        <f t="shared" si="67"/>
        <v>0</v>
      </c>
      <c r="S56" s="132">
        <f t="shared" si="67"/>
        <v>0</v>
      </c>
      <c r="T56" s="132">
        <f t="shared" si="67"/>
        <v>0</v>
      </c>
      <c r="U56" s="132">
        <f t="shared" si="67"/>
        <v>0</v>
      </c>
      <c r="V56" s="132">
        <f t="shared" si="67"/>
        <v>0</v>
      </c>
      <c r="W56" s="123">
        <v>0</v>
      </c>
      <c r="X56" s="132">
        <f t="shared" si="67"/>
        <v>179.7</v>
      </c>
      <c r="Y56" s="132">
        <f t="shared" si="67"/>
        <v>0</v>
      </c>
      <c r="Z56" s="132">
        <f t="shared" si="67"/>
        <v>0</v>
      </c>
      <c r="AA56" s="132">
        <f t="shared" si="67"/>
        <v>0</v>
      </c>
      <c r="AB56" s="132">
        <f t="shared" si="67"/>
        <v>0</v>
      </c>
      <c r="AC56" s="132">
        <f t="shared" si="67"/>
        <v>0</v>
      </c>
      <c r="AD56" s="132">
        <f t="shared" si="67"/>
        <v>0</v>
      </c>
      <c r="AE56" s="132">
        <f t="shared" si="67"/>
        <v>0</v>
      </c>
      <c r="AF56" s="132">
        <f t="shared" si="67"/>
        <v>0</v>
      </c>
      <c r="AG56" s="132">
        <f t="shared" si="67"/>
        <v>179.7</v>
      </c>
      <c r="AH56" s="132">
        <f t="shared" si="67"/>
        <v>0</v>
      </c>
      <c r="AI56" s="117">
        <f>AH56/AG56*100</f>
        <v>0</v>
      </c>
      <c r="AJ56" s="132">
        <f t="shared" si="67"/>
        <v>0</v>
      </c>
      <c r="AK56" s="132">
        <f t="shared" si="67"/>
        <v>0</v>
      </c>
      <c r="AL56" s="132">
        <f t="shared" si="67"/>
        <v>0</v>
      </c>
      <c r="AM56" s="132">
        <f t="shared" si="67"/>
        <v>120.2</v>
      </c>
      <c r="AN56" s="132">
        <f t="shared" si="67"/>
        <v>0</v>
      </c>
      <c r="AO56" s="132">
        <f t="shared" si="67"/>
        <v>0</v>
      </c>
      <c r="AP56" s="132">
        <f t="shared" si="67"/>
        <v>0</v>
      </c>
      <c r="AQ56" s="104"/>
      <c r="AR56" s="104"/>
      <c r="AS56" s="352" t="s">
        <v>314</v>
      </c>
      <c r="AT56" s="357"/>
      <c r="AU56" s="121">
        <f t="shared" si="46"/>
        <v>479.2</v>
      </c>
      <c r="AV56" s="121">
        <f t="shared" si="47"/>
        <v>0</v>
      </c>
      <c r="AW56" s="155">
        <f t="shared" si="48"/>
        <v>0</v>
      </c>
    </row>
    <row r="57" spans="1:49" s="31" customFormat="1" ht="36">
      <c r="A57" s="344"/>
      <c r="B57" s="347"/>
      <c r="C57" s="350"/>
      <c r="D57" s="356"/>
      <c r="E57" s="108" t="s">
        <v>3</v>
      </c>
      <c r="F57" s="123">
        <f>I57+L57+O57+R57+U57+X57+AA57+AD57+AG57+AJ57+AM57+AP57</f>
        <v>0</v>
      </c>
      <c r="G57" s="123">
        <f>J57+M57+P57+S57+V57+Y57+AB57+AE57+AH57+AK57+AN57+AQ57</f>
        <v>0</v>
      </c>
      <c r="H57" s="123">
        <v>0</v>
      </c>
      <c r="I57" s="123">
        <v>0</v>
      </c>
      <c r="J57" s="123">
        <v>0</v>
      </c>
      <c r="K57" s="123">
        <v>0</v>
      </c>
      <c r="L57" s="150">
        <v>0</v>
      </c>
      <c r="M57" s="123">
        <v>0</v>
      </c>
      <c r="N57" s="138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23">
        <v>0</v>
      </c>
      <c r="AK57" s="123">
        <v>0</v>
      </c>
      <c r="AL57" s="123">
        <v>0</v>
      </c>
      <c r="AM57" s="117">
        <v>0</v>
      </c>
      <c r="AN57" s="117">
        <v>0</v>
      </c>
      <c r="AO57" s="117">
        <v>0</v>
      </c>
      <c r="AP57" s="123">
        <v>0</v>
      </c>
      <c r="AQ57" s="104"/>
      <c r="AR57" s="104"/>
      <c r="AS57" s="353"/>
      <c r="AT57" s="358"/>
      <c r="AU57" s="121"/>
      <c r="AV57" s="121"/>
      <c r="AW57" s="155"/>
    </row>
    <row r="58" spans="1:49" s="31" customFormat="1" ht="12.75">
      <c r="A58" s="344"/>
      <c r="B58" s="347"/>
      <c r="C58" s="350"/>
      <c r="D58" s="356"/>
      <c r="E58" s="108" t="s">
        <v>44</v>
      </c>
      <c r="F58" s="123">
        <f t="shared" ref="F58:F59" si="69">I58+L58+O58+R58+U58+X58+AA58+AD58+AG58+AJ58+AM58+AP58</f>
        <v>599.4</v>
      </c>
      <c r="G58" s="123">
        <f t="shared" ref="G58:G59" si="70">J58+M58+P58+S58+V58+Y58+AB58+AE58+AH58+AK58+AN58+AQ58</f>
        <v>0</v>
      </c>
      <c r="H58" s="123">
        <f>G58/F58*100</f>
        <v>0</v>
      </c>
      <c r="I58" s="123">
        <v>0</v>
      </c>
      <c r="J58" s="123">
        <v>0</v>
      </c>
      <c r="K58" s="123">
        <v>0</v>
      </c>
      <c r="L58" s="150">
        <v>0</v>
      </c>
      <c r="M58" s="123">
        <v>0</v>
      </c>
      <c r="N58" s="138">
        <v>0</v>
      </c>
      <c r="O58" s="123">
        <v>119.8</v>
      </c>
      <c r="P58" s="123">
        <v>0</v>
      </c>
      <c r="Q58" s="123">
        <f t="shared" si="68"/>
        <v>0</v>
      </c>
      <c r="R58" s="123">
        <v>0</v>
      </c>
      <c r="S58" s="123">
        <v>0</v>
      </c>
      <c r="T58" s="123">
        <v>0</v>
      </c>
      <c r="U58" s="117">
        <v>0</v>
      </c>
      <c r="V58" s="117">
        <v>0</v>
      </c>
      <c r="W58" s="123">
        <v>0</v>
      </c>
      <c r="X58" s="117">
        <v>179.7</v>
      </c>
      <c r="Y58" s="117">
        <v>0</v>
      </c>
      <c r="Z58" s="117">
        <f>Y58/X58*100</f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179.7</v>
      </c>
      <c r="AH58" s="117">
        <v>0</v>
      </c>
      <c r="AI58" s="117">
        <f>AH58/AG58*100</f>
        <v>0</v>
      </c>
      <c r="AJ58" s="123">
        <v>0</v>
      </c>
      <c r="AK58" s="123">
        <v>0</v>
      </c>
      <c r="AL58" s="123">
        <v>0</v>
      </c>
      <c r="AM58" s="117">
        <v>120.2</v>
      </c>
      <c r="AN58" s="117">
        <v>0</v>
      </c>
      <c r="AO58" s="117">
        <v>0</v>
      </c>
      <c r="AP58" s="123">
        <v>0</v>
      </c>
      <c r="AQ58" s="104"/>
      <c r="AR58" s="104"/>
      <c r="AS58" s="353"/>
      <c r="AT58" s="358"/>
      <c r="AU58" s="121">
        <f t="shared" si="46"/>
        <v>479.2</v>
      </c>
      <c r="AV58" s="121">
        <f t="shared" si="47"/>
        <v>0</v>
      </c>
      <c r="AW58" s="155">
        <f t="shared" si="48"/>
        <v>0</v>
      </c>
    </row>
    <row r="59" spans="1:49" s="31" customFormat="1" ht="24">
      <c r="A59" s="345"/>
      <c r="B59" s="348"/>
      <c r="C59" s="351"/>
      <c r="D59" s="362"/>
      <c r="E59" s="109" t="s">
        <v>257</v>
      </c>
      <c r="F59" s="123">
        <f t="shared" si="69"/>
        <v>0</v>
      </c>
      <c r="G59" s="123">
        <f t="shared" si="70"/>
        <v>0</v>
      </c>
      <c r="H59" s="123">
        <v>0</v>
      </c>
      <c r="I59" s="123">
        <v>0</v>
      </c>
      <c r="J59" s="123">
        <v>0</v>
      </c>
      <c r="K59" s="123">
        <v>0</v>
      </c>
      <c r="L59" s="150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123">
        <v>0</v>
      </c>
      <c r="T59" s="123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23">
        <v>0</v>
      </c>
      <c r="AK59" s="123">
        <v>0</v>
      </c>
      <c r="AL59" s="123">
        <v>0</v>
      </c>
      <c r="AM59" s="117">
        <v>0</v>
      </c>
      <c r="AN59" s="117">
        <v>0</v>
      </c>
      <c r="AO59" s="117">
        <v>0</v>
      </c>
      <c r="AP59" s="123">
        <v>0</v>
      </c>
      <c r="AQ59" s="104"/>
      <c r="AR59" s="104"/>
      <c r="AS59" s="354"/>
      <c r="AT59" s="396"/>
      <c r="AU59" s="121"/>
      <c r="AV59" s="121"/>
      <c r="AW59" s="155"/>
    </row>
    <row r="60" spans="1:49" s="31" customFormat="1" ht="15.75">
      <c r="A60" s="325" t="s">
        <v>384</v>
      </c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7"/>
      <c r="AU60" s="121"/>
      <c r="AV60" s="121"/>
      <c r="AW60" s="155"/>
    </row>
    <row r="61" spans="1:49" s="31" customFormat="1" ht="15.75">
      <c r="A61" s="325" t="s">
        <v>385</v>
      </c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7"/>
      <c r="AU61" s="121"/>
      <c r="AV61" s="121"/>
      <c r="AW61" s="155"/>
    </row>
    <row r="62" spans="1:49" s="100" customFormat="1" ht="12.75">
      <c r="A62" s="366" t="s">
        <v>272</v>
      </c>
      <c r="B62" s="367"/>
      <c r="C62" s="367"/>
      <c r="D62" s="368"/>
      <c r="E62" s="129" t="s">
        <v>42</v>
      </c>
      <c r="F62" s="106">
        <f>F63+F64+F65</f>
        <v>10628.100000000002</v>
      </c>
      <c r="G62" s="106">
        <f t="shared" ref="G62:AP62" si="71">G63+G64+G65</f>
        <v>0</v>
      </c>
      <c r="H62" s="106">
        <f>G62/F62*100</f>
        <v>0</v>
      </c>
      <c r="I62" s="106">
        <f t="shared" si="71"/>
        <v>0</v>
      </c>
      <c r="J62" s="106">
        <f t="shared" si="71"/>
        <v>0</v>
      </c>
      <c r="K62" s="106">
        <v>0</v>
      </c>
      <c r="L62" s="106">
        <f t="shared" si="71"/>
        <v>2337.5</v>
      </c>
      <c r="M62" s="106">
        <f t="shared" si="71"/>
        <v>0</v>
      </c>
      <c r="N62" s="106">
        <f t="shared" si="71"/>
        <v>0</v>
      </c>
      <c r="O62" s="106">
        <f t="shared" si="71"/>
        <v>2141.4</v>
      </c>
      <c r="P62" s="106">
        <f t="shared" si="71"/>
        <v>0</v>
      </c>
      <c r="Q62" s="106">
        <f>P62/O62*100</f>
        <v>0</v>
      </c>
      <c r="R62" s="106">
        <f t="shared" si="71"/>
        <v>328.59999999999997</v>
      </c>
      <c r="S62" s="106">
        <f t="shared" si="71"/>
        <v>0</v>
      </c>
      <c r="T62" s="106">
        <f>S62/R62*100</f>
        <v>0</v>
      </c>
      <c r="U62" s="106">
        <f t="shared" si="71"/>
        <v>1220.6000000000001</v>
      </c>
      <c r="V62" s="106">
        <f t="shared" si="71"/>
        <v>0</v>
      </c>
      <c r="W62" s="106">
        <f t="shared" si="71"/>
        <v>0</v>
      </c>
      <c r="X62" s="106">
        <f t="shared" si="71"/>
        <v>1288.6000000000001</v>
      </c>
      <c r="Y62" s="106">
        <f t="shared" si="71"/>
        <v>0</v>
      </c>
      <c r="Z62" s="106">
        <f t="shared" si="71"/>
        <v>0</v>
      </c>
      <c r="AA62" s="106">
        <f t="shared" si="71"/>
        <v>1075.6000000000001</v>
      </c>
      <c r="AB62" s="106">
        <f t="shared" si="71"/>
        <v>0</v>
      </c>
      <c r="AC62" s="106">
        <f t="shared" si="71"/>
        <v>0</v>
      </c>
      <c r="AD62" s="106">
        <f t="shared" si="71"/>
        <v>150.6</v>
      </c>
      <c r="AE62" s="106">
        <f t="shared" si="71"/>
        <v>0</v>
      </c>
      <c r="AF62" s="106">
        <f t="shared" ref="AF62" si="72">AE62/AD62*100</f>
        <v>0</v>
      </c>
      <c r="AG62" s="106">
        <f t="shared" si="71"/>
        <v>200.6</v>
      </c>
      <c r="AH62" s="106">
        <f t="shared" si="71"/>
        <v>0</v>
      </c>
      <c r="AI62" s="106">
        <f t="shared" si="71"/>
        <v>0</v>
      </c>
      <c r="AJ62" s="106">
        <f t="shared" si="71"/>
        <v>162.6</v>
      </c>
      <c r="AK62" s="106">
        <f t="shared" si="71"/>
        <v>0</v>
      </c>
      <c r="AL62" s="106">
        <f t="shared" si="71"/>
        <v>0</v>
      </c>
      <c r="AM62" s="106">
        <f t="shared" si="71"/>
        <v>1350.0000000000002</v>
      </c>
      <c r="AN62" s="106">
        <f t="shared" si="71"/>
        <v>0</v>
      </c>
      <c r="AO62" s="106">
        <f t="shared" si="71"/>
        <v>0</v>
      </c>
      <c r="AP62" s="106">
        <f t="shared" si="71"/>
        <v>372</v>
      </c>
      <c r="AQ62" s="106">
        <f>AQ92+AQ100</f>
        <v>0</v>
      </c>
      <c r="AR62" s="106">
        <f>AR92+AR100</f>
        <v>0</v>
      </c>
      <c r="AS62" s="337"/>
      <c r="AT62" s="378"/>
      <c r="AU62" s="121">
        <f t="shared" si="46"/>
        <v>8743.5000000000018</v>
      </c>
      <c r="AV62" s="121">
        <f t="shared" si="47"/>
        <v>0</v>
      </c>
      <c r="AW62" s="155">
        <f t="shared" si="48"/>
        <v>0</v>
      </c>
    </row>
    <row r="63" spans="1:49" s="100" customFormat="1" ht="36">
      <c r="A63" s="369"/>
      <c r="B63" s="370"/>
      <c r="C63" s="370"/>
      <c r="D63" s="371"/>
      <c r="E63" s="111" t="s">
        <v>3</v>
      </c>
      <c r="F63" s="106">
        <f>F70+F74+F78</f>
        <v>0</v>
      </c>
      <c r="G63" s="106">
        <f t="shared" ref="G63:AR65" si="73">G70+G74+G78</f>
        <v>0</v>
      </c>
      <c r="H63" s="106">
        <v>0</v>
      </c>
      <c r="I63" s="106">
        <f t="shared" si="73"/>
        <v>0</v>
      </c>
      <c r="J63" s="106">
        <f t="shared" si="73"/>
        <v>0</v>
      </c>
      <c r="K63" s="106">
        <v>0</v>
      </c>
      <c r="L63" s="106">
        <f t="shared" si="73"/>
        <v>0</v>
      </c>
      <c r="M63" s="106">
        <f t="shared" si="73"/>
        <v>0</v>
      </c>
      <c r="N63" s="106">
        <f t="shared" si="73"/>
        <v>0</v>
      </c>
      <c r="O63" s="106">
        <f t="shared" si="73"/>
        <v>0</v>
      </c>
      <c r="P63" s="106">
        <f t="shared" si="73"/>
        <v>0</v>
      </c>
      <c r="Q63" s="106">
        <v>0</v>
      </c>
      <c r="R63" s="106">
        <f t="shared" si="73"/>
        <v>0</v>
      </c>
      <c r="S63" s="106">
        <f t="shared" si="73"/>
        <v>0</v>
      </c>
      <c r="T63" s="106">
        <v>0</v>
      </c>
      <c r="U63" s="106">
        <f t="shared" si="73"/>
        <v>0</v>
      </c>
      <c r="V63" s="106">
        <f t="shared" si="73"/>
        <v>0</v>
      </c>
      <c r="W63" s="106">
        <f t="shared" si="73"/>
        <v>0</v>
      </c>
      <c r="X63" s="106">
        <f t="shared" si="73"/>
        <v>0</v>
      </c>
      <c r="Y63" s="106">
        <f t="shared" si="73"/>
        <v>0</v>
      </c>
      <c r="Z63" s="106">
        <f t="shared" si="73"/>
        <v>0</v>
      </c>
      <c r="AA63" s="106">
        <f t="shared" si="73"/>
        <v>0</v>
      </c>
      <c r="AB63" s="106">
        <f t="shared" si="73"/>
        <v>0</v>
      </c>
      <c r="AC63" s="106">
        <f t="shared" si="73"/>
        <v>0</v>
      </c>
      <c r="AD63" s="106">
        <f t="shared" si="73"/>
        <v>0</v>
      </c>
      <c r="AE63" s="106">
        <f t="shared" si="73"/>
        <v>0</v>
      </c>
      <c r="AF63" s="106">
        <f t="shared" si="73"/>
        <v>0</v>
      </c>
      <c r="AG63" s="106">
        <f t="shared" si="73"/>
        <v>0</v>
      </c>
      <c r="AH63" s="106">
        <f t="shared" si="73"/>
        <v>0</v>
      </c>
      <c r="AI63" s="106">
        <f t="shared" si="73"/>
        <v>0</v>
      </c>
      <c r="AJ63" s="106">
        <f t="shared" si="73"/>
        <v>0</v>
      </c>
      <c r="AK63" s="106">
        <f t="shared" si="73"/>
        <v>0</v>
      </c>
      <c r="AL63" s="106">
        <f t="shared" si="73"/>
        <v>0</v>
      </c>
      <c r="AM63" s="106">
        <f t="shared" si="73"/>
        <v>0</v>
      </c>
      <c r="AN63" s="106">
        <f t="shared" si="73"/>
        <v>0</v>
      </c>
      <c r="AO63" s="106">
        <f t="shared" si="73"/>
        <v>0</v>
      </c>
      <c r="AP63" s="106">
        <f t="shared" si="73"/>
        <v>0</v>
      </c>
      <c r="AQ63" s="106">
        <f t="shared" si="73"/>
        <v>0</v>
      </c>
      <c r="AR63" s="106">
        <f t="shared" si="73"/>
        <v>0</v>
      </c>
      <c r="AS63" s="338"/>
      <c r="AT63" s="379"/>
      <c r="AU63" s="121"/>
      <c r="AV63" s="121"/>
      <c r="AW63" s="155"/>
    </row>
    <row r="64" spans="1:49" s="100" customFormat="1" ht="24">
      <c r="A64" s="369"/>
      <c r="B64" s="370"/>
      <c r="C64" s="370"/>
      <c r="D64" s="371"/>
      <c r="E64" s="111" t="s">
        <v>44</v>
      </c>
      <c r="F64" s="106">
        <f>F71+F75+F79</f>
        <v>10628.100000000002</v>
      </c>
      <c r="G64" s="106">
        <f t="shared" si="73"/>
        <v>0</v>
      </c>
      <c r="H64" s="106">
        <f>G64/F64*100</f>
        <v>0</v>
      </c>
      <c r="I64" s="106">
        <f t="shared" si="73"/>
        <v>0</v>
      </c>
      <c r="J64" s="106">
        <f t="shared" si="73"/>
        <v>0</v>
      </c>
      <c r="K64" s="106">
        <v>0</v>
      </c>
      <c r="L64" s="106">
        <f t="shared" si="73"/>
        <v>2337.5</v>
      </c>
      <c r="M64" s="106">
        <f t="shared" si="73"/>
        <v>0</v>
      </c>
      <c r="N64" s="106">
        <f t="shared" si="73"/>
        <v>0</v>
      </c>
      <c r="O64" s="106">
        <f t="shared" si="73"/>
        <v>2141.4</v>
      </c>
      <c r="P64" s="106">
        <f t="shared" si="73"/>
        <v>0</v>
      </c>
      <c r="Q64" s="106">
        <f t="shared" ref="Q64" si="74">P64/O64*100</f>
        <v>0</v>
      </c>
      <c r="R64" s="106">
        <f t="shared" si="73"/>
        <v>328.59999999999997</v>
      </c>
      <c r="S64" s="106">
        <f t="shared" si="73"/>
        <v>0</v>
      </c>
      <c r="T64" s="106">
        <f t="shared" ref="T64" si="75">S64/R64*100</f>
        <v>0</v>
      </c>
      <c r="U64" s="106">
        <f t="shared" si="73"/>
        <v>1220.6000000000001</v>
      </c>
      <c r="V64" s="106">
        <f t="shared" si="73"/>
        <v>0</v>
      </c>
      <c r="W64" s="106">
        <f t="shared" si="73"/>
        <v>0</v>
      </c>
      <c r="X64" s="106">
        <f t="shared" si="73"/>
        <v>1288.6000000000001</v>
      </c>
      <c r="Y64" s="106">
        <f t="shared" si="73"/>
        <v>0</v>
      </c>
      <c r="Z64" s="106">
        <f t="shared" si="73"/>
        <v>0</v>
      </c>
      <c r="AA64" s="106">
        <f t="shared" si="73"/>
        <v>1075.6000000000001</v>
      </c>
      <c r="AB64" s="106">
        <f t="shared" si="73"/>
        <v>0</v>
      </c>
      <c r="AC64" s="106">
        <f t="shared" si="73"/>
        <v>0</v>
      </c>
      <c r="AD64" s="106">
        <f t="shared" si="73"/>
        <v>150.6</v>
      </c>
      <c r="AE64" s="106">
        <f t="shared" si="73"/>
        <v>0</v>
      </c>
      <c r="AF64" s="106">
        <f t="shared" ref="AF64" si="76">AE64/AD64*100</f>
        <v>0</v>
      </c>
      <c r="AG64" s="106">
        <f t="shared" si="73"/>
        <v>200.6</v>
      </c>
      <c r="AH64" s="106">
        <f t="shared" si="73"/>
        <v>0</v>
      </c>
      <c r="AI64" s="106">
        <f t="shared" si="73"/>
        <v>0</v>
      </c>
      <c r="AJ64" s="106">
        <f t="shared" si="73"/>
        <v>162.6</v>
      </c>
      <c r="AK64" s="106">
        <f t="shared" si="73"/>
        <v>0</v>
      </c>
      <c r="AL64" s="106">
        <f t="shared" si="73"/>
        <v>0</v>
      </c>
      <c r="AM64" s="106">
        <f t="shared" si="73"/>
        <v>1350.0000000000002</v>
      </c>
      <c r="AN64" s="106">
        <f t="shared" si="73"/>
        <v>0</v>
      </c>
      <c r="AO64" s="106">
        <f t="shared" si="73"/>
        <v>0</v>
      </c>
      <c r="AP64" s="106">
        <f t="shared" si="73"/>
        <v>372</v>
      </c>
      <c r="AQ64" s="106">
        <f t="shared" si="73"/>
        <v>0</v>
      </c>
      <c r="AR64" s="106">
        <f t="shared" si="73"/>
        <v>0</v>
      </c>
      <c r="AS64" s="338"/>
      <c r="AT64" s="379"/>
      <c r="AU64" s="121">
        <f t="shared" si="46"/>
        <v>8743.5000000000018</v>
      </c>
      <c r="AV64" s="121">
        <f t="shared" si="47"/>
        <v>0</v>
      </c>
      <c r="AW64" s="155">
        <f t="shared" si="48"/>
        <v>0</v>
      </c>
    </row>
    <row r="65" spans="1:49" s="100" customFormat="1" ht="24">
      <c r="A65" s="372"/>
      <c r="B65" s="373"/>
      <c r="C65" s="373"/>
      <c r="D65" s="374"/>
      <c r="E65" s="110" t="s">
        <v>257</v>
      </c>
      <c r="F65" s="106">
        <f>F72+F76+F80</f>
        <v>0</v>
      </c>
      <c r="G65" s="106">
        <f t="shared" si="73"/>
        <v>0</v>
      </c>
      <c r="H65" s="106">
        <v>0</v>
      </c>
      <c r="I65" s="106">
        <f t="shared" si="73"/>
        <v>0</v>
      </c>
      <c r="J65" s="106">
        <f t="shared" si="73"/>
        <v>0</v>
      </c>
      <c r="K65" s="106">
        <v>0</v>
      </c>
      <c r="L65" s="106">
        <f t="shared" si="73"/>
        <v>0</v>
      </c>
      <c r="M65" s="106">
        <f t="shared" si="73"/>
        <v>0</v>
      </c>
      <c r="N65" s="106">
        <f t="shared" si="73"/>
        <v>0</v>
      </c>
      <c r="O65" s="106">
        <f t="shared" si="73"/>
        <v>0</v>
      </c>
      <c r="P65" s="106">
        <f t="shared" si="73"/>
        <v>0</v>
      </c>
      <c r="Q65" s="106">
        <v>0</v>
      </c>
      <c r="R65" s="106">
        <f t="shared" si="73"/>
        <v>0</v>
      </c>
      <c r="S65" s="106">
        <f t="shared" si="73"/>
        <v>0</v>
      </c>
      <c r="T65" s="106">
        <v>0</v>
      </c>
      <c r="U65" s="106">
        <f t="shared" si="73"/>
        <v>0</v>
      </c>
      <c r="V65" s="106">
        <f t="shared" si="73"/>
        <v>0</v>
      </c>
      <c r="W65" s="106">
        <f t="shared" si="73"/>
        <v>0</v>
      </c>
      <c r="X65" s="106">
        <f t="shared" si="73"/>
        <v>0</v>
      </c>
      <c r="Y65" s="106">
        <f t="shared" si="73"/>
        <v>0</v>
      </c>
      <c r="Z65" s="106">
        <f t="shared" si="73"/>
        <v>0</v>
      </c>
      <c r="AA65" s="106">
        <f t="shared" si="73"/>
        <v>0</v>
      </c>
      <c r="AB65" s="106">
        <f t="shared" si="73"/>
        <v>0</v>
      </c>
      <c r="AC65" s="106">
        <f t="shared" si="73"/>
        <v>0</v>
      </c>
      <c r="AD65" s="106">
        <f t="shared" si="73"/>
        <v>0</v>
      </c>
      <c r="AE65" s="106">
        <f t="shared" si="73"/>
        <v>0</v>
      </c>
      <c r="AF65" s="106">
        <f t="shared" si="73"/>
        <v>0</v>
      </c>
      <c r="AG65" s="106">
        <f t="shared" si="73"/>
        <v>0</v>
      </c>
      <c r="AH65" s="106">
        <f t="shared" si="73"/>
        <v>0</v>
      </c>
      <c r="AI65" s="106">
        <f t="shared" si="73"/>
        <v>0</v>
      </c>
      <c r="AJ65" s="106">
        <f t="shared" si="73"/>
        <v>0</v>
      </c>
      <c r="AK65" s="106">
        <f t="shared" si="73"/>
        <v>0</v>
      </c>
      <c r="AL65" s="106">
        <f t="shared" si="73"/>
        <v>0</v>
      </c>
      <c r="AM65" s="106">
        <f t="shared" si="73"/>
        <v>0</v>
      </c>
      <c r="AN65" s="106">
        <f t="shared" si="73"/>
        <v>0</v>
      </c>
      <c r="AO65" s="106">
        <f t="shared" si="73"/>
        <v>0</v>
      </c>
      <c r="AP65" s="106">
        <f t="shared" si="73"/>
        <v>0</v>
      </c>
      <c r="AQ65" s="106">
        <f t="shared" si="73"/>
        <v>0</v>
      </c>
      <c r="AR65" s="106">
        <f t="shared" si="73"/>
        <v>0</v>
      </c>
      <c r="AS65" s="339"/>
      <c r="AT65" s="380"/>
      <c r="AU65" s="121"/>
      <c r="AV65" s="121"/>
      <c r="AW65" s="155"/>
    </row>
    <row r="66" spans="1:49" s="100" customFormat="1" ht="138.75" customHeight="1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23" customHeight="1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93" t="s">
        <v>395</v>
      </c>
      <c r="B69" s="346" t="s">
        <v>396</v>
      </c>
      <c r="C69" s="349" t="s">
        <v>277</v>
      </c>
      <c r="D69" s="355" t="s">
        <v>397</v>
      </c>
      <c r="E69" s="107" t="s">
        <v>42</v>
      </c>
      <c r="F69" s="123">
        <f>SUM(F70:F72)</f>
        <v>1612.1</v>
      </c>
      <c r="G69" s="123">
        <f t="shared" ref="G69" si="77">SUM(G70:G72)</f>
        <v>0</v>
      </c>
      <c r="H69" s="123">
        <f>G69/F69*100</f>
        <v>0</v>
      </c>
      <c r="I69" s="138">
        <f t="shared" ref="I69:AP69" si="78">I70+I71+I72</f>
        <v>0</v>
      </c>
      <c r="J69" s="138">
        <f t="shared" si="78"/>
        <v>0</v>
      </c>
      <c r="K69" s="123">
        <v>0</v>
      </c>
      <c r="L69" s="138">
        <f t="shared" si="78"/>
        <v>61.4</v>
      </c>
      <c r="M69" s="132">
        <f t="shared" si="78"/>
        <v>0</v>
      </c>
      <c r="N69" s="132">
        <f>M69/L69*100</f>
        <v>0</v>
      </c>
      <c r="O69" s="132">
        <f t="shared" si="78"/>
        <v>207.4</v>
      </c>
      <c r="P69" s="132">
        <f t="shared" si="78"/>
        <v>0</v>
      </c>
      <c r="Q69" s="123">
        <f t="shared" ref="Q69:Q79" si="79">P69/O69*100</f>
        <v>0</v>
      </c>
      <c r="R69" s="132">
        <f t="shared" si="78"/>
        <v>61.4</v>
      </c>
      <c r="S69" s="132">
        <f t="shared" si="78"/>
        <v>0</v>
      </c>
      <c r="T69" s="132">
        <f>S69/R69*100</f>
        <v>0</v>
      </c>
      <c r="U69" s="138">
        <f t="shared" si="78"/>
        <v>61.4</v>
      </c>
      <c r="V69" s="138">
        <f t="shared" si="78"/>
        <v>0</v>
      </c>
      <c r="W69" s="132">
        <f t="shared" ref="W69" si="80">V69/U69*100</f>
        <v>0</v>
      </c>
      <c r="X69" s="132">
        <f t="shared" si="78"/>
        <v>61.4</v>
      </c>
      <c r="Y69" s="132">
        <f t="shared" si="78"/>
        <v>0</v>
      </c>
      <c r="Z69" s="132">
        <f t="shared" ref="Z69" si="81">Y69/X69*100</f>
        <v>0</v>
      </c>
      <c r="AA69" s="132">
        <f t="shared" si="78"/>
        <v>61.4</v>
      </c>
      <c r="AB69" s="132">
        <f t="shared" si="78"/>
        <v>0</v>
      </c>
      <c r="AC69" s="132">
        <f t="shared" ref="AC69" si="82">AB69/AA69*100</f>
        <v>0</v>
      </c>
      <c r="AD69" s="132">
        <f t="shared" si="78"/>
        <v>61.4</v>
      </c>
      <c r="AE69" s="138">
        <f t="shared" si="78"/>
        <v>0</v>
      </c>
      <c r="AF69" s="104">
        <f t="shared" ref="AF69" si="83">AE69/AD69*100</f>
        <v>0</v>
      </c>
      <c r="AG69" s="138">
        <f t="shared" si="78"/>
        <v>61.4</v>
      </c>
      <c r="AH69" s="138">
        <f t="shared" si="78"/>
        <v>0</v>
      </c>
      <c r="AI69" s="132">
        <f t="shared" ref="AI69" si="84">AH69/AG69*100</f>
        <v>0</v>
      </c>
      <c r="AJ69" s="138">
        <f t="shared" si="78"/>
        <v>61.4</v>
      </c>
      <c r="AK69" s="138">
        <f t="shared" si="78"/>
        <v>0</v>
      </c>
      <c r="AL69" s="138">
        <f t="shared" si="78"/>
        <v>0</v>
      </c>
      <c r="AM69" s="138">
        <f t="shared" si="78"/>
        <v>790.7</v>
      </c>
      <c r="AN69" s="138">
        <f t="shared" si="78"/>
        <v>0</v>
      </c>
      <c r="AO69" s="138">
        <f t="shared" si="78"/>
        <v>0</v>
      </c>
      <c r="AP69" s="138">
        <f t="shared" si="78"/>
        <v>122.8</v>
      </c>
      <c r="AQ69" s="104"/>
      <c r="AR69" s="104"/>
      <c r="AS69" s="352" t="s">
        <v>317</v>
      </c>
      <c r="AT69" s="357"/>
      <c r="AU69" s="121">
        <f t="shared" si="46"/>
        <v>637.19999999999993</v>
      </c>
      <c r="AV69" s="121">
        <f t="shared" si="47"/>
        <v>0</v>
      </c>
      <c r="AW69" s="155">
        <f t="shared" si="48"/>
        <v>0</v>
      </c>
    </row>
    <row r="70" spans="1:49" s="31" customFormat="1" ht="36">
      <c r="A70" s="394"/>
      <c r="B70" s="347"/>
      <c r="C70" s="350"/>
      <c r="D70" s="356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53"/>
      <c r="AT70" s="358"/>
      <c r="AU70" s="121"/>
      <c r="AV70" s="121"/>
      <c r="AW70" s="155"/>
    </row>
    <row r="71" spans="1:49" s="31" customFormat="1" ht="12.75">
      <c r="A71" s="394"/>
      <c r="B71" s="347"/>
      <c r="C71" s="350"/>
      <c r="D71" s="356"/>
      <c r="E71" s="108" t="s">
        <v>44</v>
      </c>
      <c r="F71" s="123">
        <f t="shared" ref="F71:F72" si="85">I71+L71+O71+R71+U71+X71+AA71+AD71+AG71+AJ71+AM71+AP71</f>
        <v>1612.1</v>
      </c>
      <c r="G71" s="123">
        <f t="shared" ref="G71:G72" si="86">J71+M71+P71+S71+V71+Y71+AB71+AE71+AH71+AK71+AN71+AQ71</f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87">M71/L71*100</f>
        <v>0</v>
      </c>
      <c r="O71" s="123">
        <v>207.4</v>
      </c>
      <c r="P71" s="123">
        <v>0</v>
      </c>
      <c r="Q71" s="123">
        <f t="shared" si="79"/>
        <v>0</v>
      </c>
      <c r="R71" s="123">
        <v>61.4</v>
      </c>
      <c r="S71" s="123">
        <v>0</v>
      </c>
      <c r="T71" s="132">
        <f t="shared" ref="T71:T79" si="88">S71/R71*100</f>
        <v>0</v>
      </c>
      <c r="U71" s="117">
        <v>61.4</v>
      </c>
      <c r="V71" s="117">
        <v>0</v>
      </c>
      <c r="W71" s="132">
        <f t="shared" ref="W71" si="89">V71/U71*100</f>
        <v>0</v>
      </c>
      <c r="X71" s="117">
        <v>61.4</v>
      </c>
      <c r="Y71" s="117">
        <v>0</v>
      </c>
      <c r="Z71" s="132">
        <f t="shared" ref="Z71" si="90">Y71/X71*100</f>
        <v>0</v>
      </c>
      <c r="AA71" s="117">
        <v>61.4</v>
      </c>
      <c r="AB71" s="117">
        <v>0</v>
      </c>
      <c r="AC71" s="132">
        <f t="shared" ref="AC71" si="91">AB71/AA71*100</f>
        <v>0</v>
      </c>
      <c r="AD71" s="117">
        <v>61.4</v>
      </c>
      <c r="AE71" s="117">
        <v>0</v>
      </c>
      <c r="AF71" s="132">
        <f t="shared" ref="AF71" si="92">AE71/AD71*100</f>
        <v>0</v>
      </c>
      <c r="AG71" s="117">
        <v>61.4</v>
      </c>
      <c r="AH71" s="117">
        <v>0</v>
      </c>
      <c r="AI71" s="132">
        <f t="shared" ref="AI71" si="93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53"/>
      <c r="AT71" s="358"/>
      <c r="AU71" s="121">
        <f t="shared" si="46"/>
        <v>637.19999999999993</v>
      </c>
      <c r="AV71" s="121">
        <f t="shared" si="47"/>
        <v>0</v>
      </c>
      <c r="AW71" s="155">
        <f t="shared" si="48"/>
        <v>0</v>
      </c>
    </row>
    <row r="72" spans="1:49" s="31" customFormat="1" ht="24">
      <c r="A72" s="395"/>
      <c r="B72" s="348"/>
      <c r="C72" s="351"/>
      <c r="D72" s="362"/>
      <c r="E72" s="109" t="s">
        <v>257</v>
      </c>
      <c r="F72" s="123">
        <f t="shared" si="85"/>
        <v>0</v>
      </c>
      <c r="G72" s="123">
        <f t="shared" si="86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54"/>
      <c r="AT72" s="396"/>
      <c r="AU72" s="121"/>
      <c r="AV72" s="121"/>
      <c r="AW72" s="155"/>
    </row>
    <row r="73" spans="1:49" s="31" customFormat="1" ht="12.75" customHeight="1">
      <c r="A73" s="393" t="s">
        <v>398</v>
      </c>
      <c r="B73" s="346" t="s">
        <v>258</v>
      </c>
      <c r="C73" s="349" t="s">
        <v>277</v>
      </c>
      <c r="D73" s="355" t="s">
        <v>400</v>
      </c>
      <c r="E73" s="107" t="s">
        <v>42</v>
      </c>
      <c r="F73" s="123">
        <f>SUM(F74:F76)</f>
        <v>455.1</v>
      </c>
      <c r="G73" s="123">
        <f t="shared" ref="G73" si="94">SUM(G74:G76)</f>
        <v>0</v>
      </c>
      <c r="H73" s="123">
        <f>G73/F73*100</f>
        <v>0</v>
      </c>
      <c r="I73" s="138">
        <f t="shared" ref="I73:AP73" si="95">I74+I75+I76</f>
        <v>0</v>
      </c>
      <c r="J73" s="138">
        <f t="shared" si="95"/>
        <v>0</v>
      </c>
      <c r="K73" s="123">
        <v>0</v>
      </c>
      <c r="L73" s="138">
        <f t="shared" si="95"/>
        <v>0</v>
      </c>
      <c r="M73" s="132">
        <f t="shared" si="95"/>
        <v>0</v>
      </c>
      <c r="N73" s="132">
        <v>0</v>
      </c>
      <c r="O73" s="132">
        <f t="shared" si="95"/>
        <v>0</v>
      </c>
      <c r="P73" s="132">
        <f t="shared" si="95"/>
        <v>0</v>
      </c>
      <c r="Q73" s="123">
        <v>0</v>
      </c>
      <c r="R73" s="132">
        <f t="shared" si="95"/>
        <v>0</v>
      </c>
      <c r="S73" s="132">
        <f t="shared" si="95"/>
        <v>0</v>
      </c>
      <c r="T73" s="132">
        <v>0</v>
      </c>
      <c r="U73" s="132">
        <f t="shared" si="95"/>
        <v>0</v>
      </c>
      <c r="V73" s="132">
        <f t="shared" si="95"/>
        <v>0</v>
      </c>
      <c r="W73" s="132">
        <f t="shared" si="95"/>
        <v>0</v>
      </c>
      <c r="X73" s="132">
        <f t="shared" si="95"/>
        <v>0</v>
      </c>
      <c r="Y73" s="132">
        <f t="shared" si="95"/>
        <v>0</v>
      </c>
      <c r="Z73" s="138">
        <f t="shared" si="95"/>
        <v>0</v>
      </c>
      <c r="AA73" s="138">
        <f t="shared" si="95"/>
        <v>0</v>
      </c>
      <c r="AB73" s="138">
        <f t="shared" si="95"/>
        <v>0</v>
      </c>
      <c r="AC73" s="138">
        <f t="shared" si="95"/>
        <v>0</v>
      </c>
      <c r="AD73" s="132">
        <f t="shared" si="95"/>
        <v>0</v>
      </c>
      <c r="AE73" s="132">
        <f t="shared" si="95"/>
        <v>0</v>
      </c>
      <c r="AF73" s="132">
        <f t="shared" si="95"/>
        <v>0</v>
      </c>
      <c r="AG73" s="132">
        <f t="shared" si="95"/>
        <v>0</v>
      </c>
      <c r="AH73" s="132">
        <f t="shared" si="95"/>
        <v>0</v>
      </c>
      <c r="AI73" s="132">
        <f t="shared" si="95"/>
        <v>0</v>
      </c>
      <c r="AJ73" s="132">
        <f t="shared" si="95"/>
        <v>0</v>
      </c>
      <c r="AK73" s="132">
        <f t="shared" si="95"/>
        <v>0</v>
      </c>
      <c r="AL73" s="132">
        <f t="shared" si="95"/>
        <v>0</v>
      </c>
      <c r="AM73" s="132">
        <f t="shared" si="95"/>
        <v>455.1</v>
      </c>
      <c r="AN73" s="132">
        <f t="shared" si="95"/>
        <v>0</v>
      </c>
      <c r="AO73" s="132">
        <f t="shared" si="95"/>
        <v>0</v>
      </c>
      <c r="AP73" s="132">
        <f t="shared" si="95"/>
        <v>0</v>
      </c>
      <c r="AQ73" s="104"/>
      <c r="AR73" s="104"/>
      <c r="AS73" s="397" t="s">
        <v>281</v>
      </c>
      <c r="AT73" s="363" t="s">
        <v>300</v>
      </c>
      <c r="AU73" s="121"/>
      <c r="AV73" s="121"/>
      <c r="AW73" s="155"/>
    </row>
    <row r="74" spans="1:49" s="31" customFormat="1" ht="39" customHeight="1">
      <c r="A74" s="394"/>
      <c r="B74" s="347"/>
      <c r="C74" s="350"/>
      <c r="D74" s="356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98"/>
      <c r="AT74" s="364"/>
      <c r="AU74" s="121"/>
      <c r="AV74" s="121"/>
      <c r="AW74" s="155"/>
    </row>
    <row r="75" spans="1:49" s="31" customFormat="1" ht="13.5" customHeight="1">
      <c r="A75" s="394"/>
      <c r="B75" s="347"/>
      <c r="C75" s="350"/>
      <c r="D75" s="356"/>
      <c r="E75" s="108" t="s">
        <v>44</v>
      </c>
      <c r="F75" s="123">
        <f t="shared" ref="F75:F76" si="96">I75+L75+O75+R75+U75+X75+AA75+AD75+AG75+AJ75+AM75+AP75</f>
        <v>455.1</v>
      </c>
      <c r="G75" s="123">
        <f t="shared" ref="G75:G76" si="97">J75+M75+P75+S75+V75+Y75+AB75+AE75+AH75+AK75+AN75+AQ75</f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98"/>
      <c r="AT75" s="364"/>
      <c r="AU75" s="121"/>
      <c r="AV75" s="121"/>
      <c r="AW75" s="155"/>
    </row>
    <row r="76" spans="1:49" s="31" customFormat="1" ht="31.5" customHeight="1">
      <c r="A76" s="395"/>
      <c r="B76" s="348"/>
      <c r="C76" s="351"/>
      <c r="D76" s="362"/>
      <c r="E76" s="109" t="s">
        <v>257</v>
      </c>
      <c r="F76" s="123">
        <f t="shared" si="96"/>
        <v>0</v>
      </c>
      <c r="G76" s="123">
        <f t="shared" si="97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99"/>
      <c r="AT76" s="365"/>
      <c r="AU76" s="121"/>
      <c r="AV76" s="121"/>
      <c r="AW76" s="155"/>
    </row>
    <row r="77" spans="1:49" s="31" customFormat="1" ht="12.75" customHeight="1">
      <c r="A77" s="393" t="s">
        <v>399</v>
      </c>
      <c r="B77" s="346" t="s">
        <v>295</v>
      </c>
      <c r="C77" s="349" t="s">
        <v>401</v>
      </c>
      <c r="D77" s="355" t="s">
        <v>402</v>
      </c>
      <c r="E77" s="107" t="s">
        <v>42</v>
      </c>
      <c r="F77" s="123">
        <f>SUM(F78:F80)</f>
        <v>8560.9000000000015</v>
      </c>
      <c r="G77" s="123">
        <f t="shared" ref="G77" si="98">SUM(G78:G80)</f>
        <v>0</v>
      </c>
      <c r="H77" s="123">
        <f>G77/F77*100</f>
        <v>0</v>
      </c>
      <c r="I77" s="132">
        <f t="shared" ref="I77:AP77" si="99">I78+I79+I80</f>
        <v>0</v>
      </c>
      <c r="J77" s="132">
        <f t="shared" si="99"/>
        <v>0</v>
      </c>
      <c r="K77" s="123">
        <v>0</v>
      </c>
      <c r="L77" s="132">
        <f t="shared" si="99"/>
        <v>2276.1</v>
      </c>
      <c r="M77" s="132">
        <f t="shared" si="99"/>
        <v>0</v>
      </c>
      <c r="N77" s="132">
        <f>M77/L77*100</f>
        <v>0</v>
      </c>
      <c r="O77" s="132">
        <f t="shared" si="99"/>
        <v>1934</v>
      </c>
      <c r="P77" s="132">
        <f t="shared" si="99"/>
        <v>0</v>
      </c>
      <c r="Q77" s="123">
        <f t="shared" si="79"/>
        <v>0</v>
      </c>
      <c r="R77" s="132">
        <f t="shared" si="99"/>
        <v>267.2</v>
      </c>
      <c r="S77" s="132">
        <f t="shared" si="99"/>
        <v>0</v>
      </c>
      <c r="T77" s="132">
        <f t="shared" si="88"/>
        <v>0</v>
      </c>
      <c r="U77" s="132">
        <f t="shared" si="99"/>
        <v>1159.2</v>
      </c>
      <c r="V77" s="132">
        <f t="shared" si="99"/>
        <v>0</v>
      </c>
      <c r="W77" s="138">
        <f t="shared" ref="W77" si="100">V77/U77*100</f>
        <v>0</v>
      </c>
      <c r="X77" s="132">
        <f t="shared" si="99"/>
        <v>1227.2</v>
      </c>
      <c r="Y77" s="132">
        <f t="shared" si="99"/>
        <v>0</v>
      </c>
      <c r="Z77" s="132">
        <f t="shared" si="99"/>
        <v>0</v>
      </c>
      <c r="AA77" s="132">
        <f t="shared" si="99"/>
        <v>1014.2</v>
      </c>
      <c r="AB77" s="132">
        <f t="shared" si="99"/>
        <v>0</v>
      </c>
      <c r="AC77" s="117">
        <f>AB77/AA77*100</f>
        <v>0</v>
      </c>
      <c r="AD77" s="132">
        <f t="shared" si="99"/>
        <v>89.2</v>
      </c>
      <c r="AE77" s="132">
        <f t="shared" si="99"/>
        <v>0</v>
      </c>
      <c r="AF77" s="104">
        <f t="shared" ref="AF77" si="101">AE77/AD77*100</f>
        <v>0</v>
      </c>
      <c r="AG77" s="132">
        <f t="shared" si="99"/>
        <v>139.19999999999999</v>
      </c>
      <c r="AH77" s="132">
        <f t="shared" si="99"/>
        <v>0</v>
      </c>
      <c r="AI77" s="104">
        <f t="shared" ref="AI77" si="102">AH77/AG77*100</f>
        <v>0</v>
      </c>
      <c r="AJ77" s="132">
        <f t="shared" si="99"/>
        <v>101.2</v>
      </c>
      <c r="AK77" s="132">
        <f t="shared" si="99"/>
        <v>0</v>
      </c>
      <c r="AL77" s="132">
        <f t="shared" si="99"/>
        <v>0</v>
      </c>
      <c r="AM77" s="132">
        <f t="shared" si="99"/>
        <v>104.2</v>
      </c>
      <c r="AN77" s="132">
        <f t="shared" si="99"/>
        <v>0</v>
      </c>
      <c r="AO77" s="132">
        <f t="shared" si="99"/>
        <v>0</v>
      </c>
      <c r="AP77" s="132">
        <f t="shared" si="99"/>
        <v>249.20000000000002</v>
      </c>
      <c r="AQ77" s="104"/>
      <c r="AR77" s="104"/>
      <c r="AS77" s="352" t="s">
        <v>320</v>
      </c>
      <c r="AT77" s="357"/>
      <c r="AU77" s="121">
        <f t="shared" si="46"/>
        <v>8106.2999999999993</v>
      </c>
      <c r="AV77" s="121">
        <f t="shared" si="47"/>
        <v>0</v>
      </c>
      <c r="AW77" s="155">
        <f t="shared" si="48"/>
        <v>0</v>
      </c>
    </row>
    <row r="78" spans="1:49" s="31" customFormat="1" ht="36">
      <c r="A78" s="394"/>
      <c r="B78" s="347"/>
      <c r="C78" s="350"/>
      <c r="D78" s="356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53"/>
      <c r="AT78" s="358"/>
      <c r="AU78" s="121"/>
      <c r="AV78" s="121"/>
      <c r="AW78" s="155"/>
    </row>
    <row r="79" spans="1:49" s="31" customFormat="1" ht="12.75">
      <c r="A79" s="394"/>
      <c r="B79" s="347"/>
      <c r="C79" s="350"/>
      <c r="D79" s="356"/>
      <c r="E79" s="108" t="s">
        <v>44</v>
      </c>
      <c r="F79" s="123">
        <f t="shared" ref="F79:F80" si="103">I79+L79+O79+R79+U79+X79+AA79+AD79+AG79+AJ79+AM79+AP79</f>
        <v>8560.9000000000015</v>
      </c>
      <c r="G79" s="123">
        <f t="shared" ref="G79:G80" si="104">J79+M79+P79+S79+V79+Y79+AB79+AE79+AH79+AK79+AN79+AQ79</f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105">M79/L79*100</f>
        <v>0</v>
      </c>
      <c r="O79" s="123">
        <f>1844+40+50</f>
        <v>1934</v>
      </c>
      <c r="P79" s="123">
        <v>0</v>
      </c>
      <c r="Q79" s="123">
        <f t="shared" si="79"/>
        <v>0</v>
      </c>
      <c r="R79" s="123">
        <f>229.2+38</f>
        <v>267.2</v>
      </c>
      <c r="S79" s="123">
        <v>0</v>
      </c>
      <c r="T79" s="138">
        <f t="shared" si="88"/>
        <v>0</v>
      </c>
      <c r="U79" s="117">
        <f>1129.2+30</f>
        <v>1159.2</v>
      </c>
      <c r="V79" s="117">
        <v>0</v>
      </c>
      <c r="W79" s="138">
        <f t="shared" ref="W79" si="106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107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53"/>
      <c r="AT79" s="358"/>
      <c r="AU79" s="121">
        <f t="shared" si="46"/>
        <v>8106.2999999999993</v>
      </c>
      <c r="AV79" s="121">
        <f t="shared" si="47"/>
        <v>0</v>
      </c>
      <c r="AW79" s="155">
        <f t="shared" si="48"/>
        <v>0</v>
      </c>
    </row>
    <row r="80" spans="1:49" s="31" customFormat="1" ht="24">
      <c r="A80" s="395"/>
      <c r="B80" s="348"/>
      <c r="C80" s="351"/>
      <c r="D80" s="362"/>
      <c r="E80" s="109" t="s">
        <v>257</v>
      </c>
      <c r="F80" s="123">
        <f t="shared" si="103"/>
        <v>0</v>
      </c>
      <c r="G80" s="123">
        <f t="shared" si="104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54"/>
      <c r="AT80" s="396"/>
      <c r="AU80" s="121"/>
      <c r="AV80" s="121"/>
      <c r="AW80" s="155"/>
    </row>
    <row r="81" spans="1:48" s="100" customFormat="1" ht="12.75" customHeight="1">
      <c r="A81" s="401" t="s">
        <v>256</v>
      </c>
      <c r="B81" s="402"/>
      <c r="C81" s="402"/>
      <c r="D81" s="403"/>
      <c r="E81" s="110" t="s">
        <v>42</v>
      </c>
      <c r="F81" s="106">
        <f>F82+F83+F84</f>
        <v>433024.19999999995</v>
      </c>
      <c r="G81" s="106">
        <f t="shared" ref="G81:AP81" si="108">G82+G83+G84</f>
        <v>0</v>
      </c>
      <c r="H81" s="106">
        <f>G81/F81*100</f>
        <v>0</v>
      </c>
      <c r="I81" s="106">
        <f t="shared" si="108"/>
        <v>14819.3</v>
      </c>
      <c r="J81" s="106">
        <f t="shared" si="108"/>
        <v>0</v>
      </c>
      <c r="K81" s="106">
        <f>J81/I81*100</f>
        <v>0</v>
      </c>
      <c r="L81" s="106">
        <f t="shared" si="108"/>
        <v>45743.000000000007</v>
      </c>
      <c r="M81" s="106">
        <f t="shared" si="108"/>
        <v>0</v>
      </c>
      <c r="N81" s="106">
        <f>M81/L81*100</f>
        <v>0</v>
      </c>
      <c r="O81" s="106">
        <f t="shared" si="108"/>
        <v>37909.200000000004</v>
      </c>
      <c r="P81" s="106">
        <f t="shared" si="108"/>
        <v>0</v>
      </c>
      <c r="Q81" s="106">
        <f>P81/O81*100</f>
        <v>0</v>
      </c>
      <c r="R81" s="106">
        <f t="shared" si="108"/>
        <v>43738.3</v>
      </c>
      <c r="S81" s="106">
        <f t="shared" si="108"/>
        <v>0</v>
      </c>
      <c r="T81" s="106">
        <f>S81/R81*100</f>
        <v>0</v>
      </c>
      <c r="U81" s="106">
        <f t="shared" si="108"/>
        <v>35345.399999999994</v>
      </c>
      <c r="V81" s="106">
        <f t="shared" si="108"/>
        <v>0</v>
      </c>
      <c r="W81" s="106">
        <f t="shared" si="108"/>
        <v>0</v>
      </c>
      <c r="X81" s="106">
        <f t="shared" si="108"/>
        <v>38689.799999999996</v>
      </c>
      <c r="Y81" s="106">
        <f t="shared" si="108"/>
        <v>0</v>
      </c>
      <c r="Z81" s="106" t="e">
        <f t="shared" si="108"/>
        <v>#REF!</v>
      </c>
      <c r="AA81" s="106">
        <f t="shared" si="108"/>
        <v>50633.4</v>
      </c>
      <c r="AB81" s="106">
        <f t="shared" si="108"/>
        <v>0</v>
      </c>
      <c r="AC81" s="106" t="e">
        <f t="shared" si="108"/>
        <v>#REF!</v>
      </c>
      <c r="AD81" s="106">
        <f t="shared" si="108"/>
        <v>36461.199999999997</v>
      </c>
      <c r="AE81" s="106">
        <f t="shared" si="108"/>
        <v>0</v>
      </c>
      <c r="AF81" s="103">
        <f t="shared" ref="AF81:AF84" si="109">AE81/AD81*100</f>
        <v>0</v>
      </c>
      <c r="AG81" s="106">
        <f t="shared" si="108"/>
        <v>28451.69999999999</v>
      </c>
      <c r="AH81" s="106">
        <f t="shared" si="108"/>
        <v>0</v>
      </c>
      <c r="AI81" s="106" t="e">
        <f t="shared" si="108"/>
        <v>#REF!</v>
      </c>
      <c r="AJ81" s="106">
        <f t="shared" si="108"/>
        <v>24958.799999999999</v>
      </c>
      <c r="AK81" s="106">
        <f t="shared" si="108"/>
        <v>0</v>
      </c>
      <c r="AL81" s="106" t="e">
        <f t="shared" si="108"/>
        <v>#REF!</v>
      </c>
      <c r="AM81" s="106">
        <f t="shared" si="108"/>
        <v>25565.599999999995</v>
      </c>
      <c r="AN81" s="106">
        <f t="shared" si="108"/>
        <v>0</v>
      </c>
      <c r="AO81" s="106" t="e">
        <f t="shared" si="108"/>
        <v>#REF!</v>
      </c>
      <c r="AP81" s="106">
        <f t="shared" si="108"/>
        <v>50708.5</v>
      </c>
      <c r="AQ81" s="103">
        <f t="shared" ref="AQ81:AR81" si="110">SUM(AQ82:AQ84)</f>
        <v>0</v>
      </c>
      <c r="AR81" s="103" t="e">
        <f t="shared" si="110"/>
        <v>#REF!</v>
      </c>
      <c r="AS81" s="337"/>
      <c r="AT81" s="410"/>
      <c r="AU81" s="121"/>
      <c r="AV81" s="127"/>
    </row>
    <row r="82" spans="1:48" s="100" customFormat="1" ht="36">
      <c r="A82" s="404"/>
      <c r="B82" s="405"/>
      <c r="C82" s="405"/>
      <c r="D82" s="406"/>
      <c r="E82" s="111" t="s">
        <v>3</v>
      </c>
      <c r="F82" s="106">
        <f t="shared" ref="F82:G84" si="111">F10+F34+F49+F63</f>
        <v>124591.59999999998</v>
      </c>
      <c r="G82" s="106">
        <f t="shared" si="111"/>
        <v>0</v>
      </c>
      <c r="H82" s="106">
        <f>G82/F82*100</f>
        <v>0</v>
      </c>
      <c r="I82" s="106">
        <f t="shared" ref="I82:J84" si="112">I10+I34+I49+I63</f>
        <v>949.6</v>
      </c>
      <c r="J82" s="106">
        <f t="shared" si="112"/>
        <v>0</v>
      </c>
      <c r="K82" s="106">
        <f t="shared" ref="K82:K84" si="113">J82/I82*100</f>
        <v>0</v>
      </c>
      <c r="L82" s="106">
        <f t="shared" ref="L82:M84" si="114">L10+L34+L49+L63</f>
        <v>8876.4</v>
      </c>
      <c r="M82" s="106">
        <f t="shared" si="114"/>
        <v>0</v>
      </c>
      <c r="N82" s="106">
        <f t="shared" ref="N82:N84" si="115">M82/L82*100</f>
        <v>0</v>
      </c>
      <c r="O82" s="106">
        <f t="shared" ref="O82:P84" si="116">O10+O34+O49+O63</f>
        <v>9349.1999999999989</v>
      </c>
      <c r="P82" s="106">
        <f t="shared" si="116"/>
        <v>0</v>
      </c>
      <c r="Q82" s="106">
        <f t="shared" ref="Q82:Q84" si="117">P82/O82*100</f>
        <v>0</v>
      </c>
      <c r="R82" s="106">
        <f t="shared" ref="R82:S84" si="118">R10+R34+R49+R63</f>
        <v>10145.4</v>
      </c>
      <c r="S82" s="106">
        <f t="shared" si="118"/>
        <v>0</v>
      </c>
      <c r="T82" s="106">
        <f t="shared" ref="T82:T84" si="119">S82/R82*100</f>
        <v>0</v>
      </c>
      <c r="U82" s="106">
        <f t="shared" ref="U82:AE82" si="120">U10+U34+U49+U63</f>
        <v>8496.3999999999978</v>
      </c>
      <c r="V82" s="106">
        <f t="shared" si="120"/>
        <v>0</v>
      </c>
      <c r="W82" s="106">
        <f t="shared" si="120"/>
        <v>0</v>
      </c>
      <c r="X82" s="106">
        <f t="shared" si="120"/>
        <v>10177.699999999999</v>
      </c>
      <c r="Y82" s="106">
        <f t="shared" si="120"/>
        <v>0</v>
      </c>
      <c r="Z82" s="106" t="e">
        <f t="shared" si="120"/>
        <v>#REF!</v>
      </c>
      <c r="AA82" s="106">
        <f t="shared" si="120"/>
        <v>11495.900000000001</v>
      </c>
      <c r="AB82" s="106">
        <f t="shared" si="120"/>
        <v>0</v>
      </c>
      <c r="AC82" s="106" t="e">
        <f t="shared" si="120"/>
        <v>#REF!</v>
      </c>
      <c r="AD82" s="106">
        <f t="shared" si="120"/>
        <v>11156.3</v>
      </c>
      <c r="AE82" s="106">
        <f t="shared" si="120"/>
        <v>0</v>
      </c>
      <c r="AF82" s="103">
        <f t="shared" si="109"/>
        <v>0</v>
      </c>
      <c r="AG82" s="106">
        <f t="shared" ref="AG82:AR82" si="121">AG10+AG34+AG49+AG63</f>
        <v>9422.9</v>
      </c>
      <c r="AH82" s="106">
        <f t="shared" si="121"/>
        <v>0</v>
      </c>
      <c r="AI82" s="106" t="e">
        <f t="shared" si="121"/>
        <v>#REF!</v>
      </c>
      <c r="AJ82" s="106">
        <f t="shared" si="121"/>
        <v>9978.1999999999989</v>
      </c>
      <c r="AK82" s="106">
        <f t="shared" si="121"/>
        <v>0</v>
      </c>
      <c r="AL82" s="106" t="e">
        <f t="shared" si="121"/>
        <v>#REF!</v>
      </c>
      <c r="AM82" s="106">
        <f t="shared" si="121"/>
        <v>8872.0999999999985</v>
      </c>
      <c r="AN82" s="106">
        <f t="shared" si="121"/>
        <v>0</v>
      </c>
      <c r="AO82" s="106" t="e">
        <f t="shared" si="121"/>
        <v>#REF!</v>
      </c>
      <c r="AP82" s="106">
        <f t="shared" si="121"/>
        <v>25671.5</v>
      </c>
      <c r="AQ82" s="106">
        <f t="shared" si="121"/>
        <v>0</v>
      </c>
      <c r="AR82" s="106" t="e">
        <f t="shared" si="121"/>
        <v>#REF!</v>
      </c>
      <c r="AS82" s="338"/>
      <c r="AT82" s="411"/>
      <c r="AU82" s="121"/>
      <c r="AV82" s="127"/>
    </row>
    <row r="83" spans="1:48" s="100" customFormat="1" ht="24">
      <c r="A83" s="404"/>
      <c r="B83" s="405"/>
      <c r="C83" s="405"/>
      <c r="D83" s="406"/>
      <c r="E83" s="111" t="s">
        <v>44</v>
      </c>
      <c r="F83" s="106">
        <f t="shared" si="111"/>
        <v>302600.5</v>
      </c>
      <c r="G83" s="106">
        <f t="shared" si="111"/>
        <v>0</v>
      </c>
      <c r="H83" s="106">
        <f>G83/F83*100</f>
        <v>0</v>
      </c>
      <c r="I83" s="106">
        <f t="shared" si="112"/>
        <v>13607.9</v>
      </c>
      <c r="J83" s="106">
        <f t="shared" si="112"/>
        <v>0</v>
      </c>
      <c r="K83" s="106">
        <f t="shared" si="113"/>
        <v>0</v>
      </c>
      <c r="L83" s="106">
        <f t="shared" si="114"/>
        <v>36530.100000000006</v>
      </c>
      <c r="M83" s="106">
        <f t="shared" si="114"/>
        <v>0</v>
      </c>
      <c r="N83" s="106">
        <f t="shared" si="115"/>
        <v>0</v>
      </c>
      <c r="O83" s="106">
        <f t="shared" si="116"/>
        <v>27748.7</v>
      </c>
      <c r="P83" s="106">
        <f t="shared" si="116"/>
        <v>0</v>
      </c>
      <c r="Q83" s="106">
        <f t="shared" si="117"/>
        <v>0</v>
      </c>
      <c r="R83" s="106">
        <f t="shared" si="118"/>
        <v>32852.300000000003</v>
      </c>
      <c r="S83" s="106">
        <f t="shared" si="118"/>
        <v>0</v>
      </c>
      <c r="T83" s="106">
        <f t="shared" si="119"/>
        <v>0</v>
      </c>
      <c r="U83" s="106">
        <f t="shared" ref="U83:AE83" si="122">U11+U35+U50+U64</f>
        <v>26369.299999999996</v>
      </c>
      <c r="V83" s="106">
        <f t="shared" si="122"/>
        <v>0</v>
      </c>
      <c r="W83" s="106">
        <f t="shared" si="122"/>
        <v>0</v>
      </c>
      <c r="X83" s="106">
        <f t="shared" si="122"/>
        <v>28159.299999999992</v>
      </c>
      <c r="Y83" s="106">
        <f t="shared" si="122"/>
        <v>0</v>
      </c>
      <c r="Z83" s="106" t="e">
        <f t="shared" si="122"/>
        <v>#REF!</v>
      </c>
      <c r="AA83" s="106">
        <f t="shared" si="122"/>
        <v>38312</v>
      </c>
      <c r="AB83" s="106">
        <f t="shared" si="122"/>
        <v>0</v>
      </c>
      <c r="AC83" s="106" t="e">
        <f t="shared" si="122"/>
        <v>#REF!</v>
      </c>
      <c r="AD83" s="106">
        <f t="shared" si="122"/>
        <v>24785.899999999998</v>
      </c>
      <c r="AE83" s="106">
        <f t="shared" si="122"/>
        <v>0</v>
      </c>
      <c r="AF83" s="106">
        <f t="shared" si="109"/>
        <v>0</v>
      </c>
      <c r="AG83" s="106">
        <f t="shared" ref="AG83:AR83" si="123">AG11+AG35+AG50+AG64</f>
        <v>18727.199999999993</v>
      </c>
      <c r="AH83" s="106">
        <f t="shared" si="123"/>
        <v>0</v>
      </c>
      <c r="AI83" s="106" t="e">
        <f t="shared" si="123"/>
        <v>#REF!</v>
      </c>
      <c r="AJ83" s="106">
        <f t="shared" si="123"/>
        <v>14416.000000000002</v>
      </c>
      <c r="AK83" s="106">
        <f t="shared" si="123"/>
        <v>0</v>
      </c>
      <c r="AL83" s="106" t="e">
        <f t="shared" si="123"/>
        <v>#REF!</v>
      </c>
      <c r="AM83" s="106">
        <f t="shared" si="123"/>
        <v>16251.799999999997</v>
      </c>
      <c r="AN83" s="106">
        <f t="shared" si="123"/>
        <v>0</v>
      </c>
      <c r="AO83" s="106" t="e">
        <f t="shared" si="123"/>
        <v>#REF!</v>
      </c>
      <c r="AP83" s="106">
        <f t="shared" si="123"/>
        <v>24839.999999999996</v>
      </c>
      <c r="AQ83" s="106">
        <f t="shared" si="123"/>
        <v>0</v>
      </c>
      <c r="AR83" s="106" t="e">
        <f t="shared" si="123"/>
        <v>#REF!</v>
      </c>
      <c r="AS83" s="338"/>
      <c r="AT83" s="411"/>
      <c r="AU83" s="121"/>
      <c r="AV83" s="127"/>
    </row>
    <row r="84" spans="1:48" s="100" customFormat="1" ht="24">
      <c r="A84" s="407"/>
      <c r="B84" s="408"/>
      <c r="C84" s="408"/>
      <c r="D84" s="409"/>
      <c r="E84" s="110" t="s">
        <v>257</v>
      </c>
      <c r="F84" s="106">
        <f t="shared" si="111"/>
        <v>5832.1</v>
      </c>
      <c r="G84" s="106">
        <f t="shared" si="111"/>
        <v>0</v>
      </c>
      <c r="H84" s="106">
        <f>G84/F84*100</f>
        <v>0</v>
      </c>
      <c r="I84" s="106">
        <f t="shared" si="112"/>
        <v>261.8</v>
      </c>
      <c r="J84" s="106">
        <f t="shared" si="112"/>
        <v>0</v>
      </c>
      <c r="K84" s="106">
        <f t="shared" si="113"/>
        <v>0</v>
      </c>
      <c r="L84" s="106">
        <f t="shared" si="114"/>
        <v>336.5</v>
      </c>
      <c r="M84" s="106">
        <f t="shared" si="114"/>
        <v>0</v>
      </c>
      <c r="N84" s="106">
        <f t="shared" si="115"/>
        <v>0</v>
      </c>
      <c r="O84" s="106">
        <f t="shared" si="116"/>
        <v>811.3</v>
      </c>
      <c r="P84" s="106">
        <f t="shared" si="116"/>
        <v>0</v>
      </c>
      <c r="Q84" s="106">
        <f t="shared" si="117"/>
        <v>0</v>
      </c>
      <c r="R84" s="106">
        <f t="shared" si="118"/>
        <v>740.6</v>
      </c>
      <c r="S84" s="106">
        <f t="shared" si="118"/>
        <v>0</v>
      </c>
      <c r="T84" s="106">
        <f t="shared" si="119"/>
        <v>0</v>
      </c>
      <c r="U84" s="106">
        <f t="shared" ref="U84:AE84" si="124">U12+U36+U51+U65</f>
        <v>479.7</v>
      </c>
      <c r="V84" s="106">
        <f t="shared" si="124"/>
        <v>0</v>
      </c>
      <c r="W84" s="106">
        <f t="shared" si="124"/>
        <v>0</v>
      </c>
      <c r="X84" s="106">
        <f t="shared" si="124"/>
        <v>352.8</v>
      </c>
      <c r="Y84" s="106">
        <f t="shared" si="124"/>
        <v>0</v>
      </c>
      <c r="Z84" s="106" t="e">
        <f t="shared" si="124"/>
        <v>#REF!</v>
      </c>
      <c r="AA84" s="106">
        <f t="shared" si="124"/>
        <v>825.5</v>
      </c>
      <c r="AB84" s="106">
        <f t="shared" si="124"/>
        <v>0</v>
      </c>
      <c r="AC84" s="106" t="e">
        <f t="shared" si="124"/>
        <v>#REF!</v>
      </c>
      <c r="AD84" s="106">
        <f t="shared" si="124"/>
        <v>519</v>
      </c>
      <c r="AE84" s="106">
        <f t="shared" si="124"/>
        <v>0</v>
      </c>
      <c r="AF84" s="106">
        <f t="shared" si="109"/>
        <v>0</v>
      </c>
      <c r="AG84" s="106">
        <f t="shared" ref="AG84:AR84" si="125">AG12+AG36+AG51+AG65</f>
        <v>301.60000000000002</v>
      </c>
      <c r="AH84" s="106">
        <f t="shared" si="125"/>
        <v>0</v>
      </c>
      <c r="AI84" s="106" t="e">
        <f t="shared" si="125"/>
        <v>#REF!</v>
      </c>
      <c r="AJ84" s="106">
        <f t="shared" si="125"/>
        <v>564.6</v>
      </c>
      <c r="AK84" s="106">
        <f t="shared" si="125"/>
        <v>0</v>
      </c>
      <c r="AL84" s="106" t="e">
        <f t="shared" si="125"/>
        <v>#REF!</v>
      </c>
      <c r="AM84" s="106">
        <f t="shared" si="125"/>
        <v>441.7</v>
      </c>
      <c r="AN84" s="106">
        <f t="shared" si="125"/>
        <v>0</v>
      </c>
      <c r="AO84" s="106" t="e">
        <f t="shared" si="125"/>
        <v>#REF!</v>
      </c>
      <c r="AP84" s="106">
        <f t="shared" si="125"/>
        <v>197</v>
      </c>
      <c r="AQ84" s="106">
        <f t="shared" si="125"/>
        <v>0</v>
      </c>
      <c r="AR84" s="106" t="e">
        <f t="shared" si="125"/>
        <v>#REF!</v>
      </c>
      <c r="AS84" s="339"/>
      <c r="AT84" s="412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413"/>
      <c r="C86" s="413"/>
      <c r="D86" s="413"/>
      <c r="E86" s="414"/>
      <c r="F86" s="415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400" t="s">
        <v>282</v>
      </c>
      <c r="B88" s="400"/>
      <c r="C88" s="400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400" t="s">
        <v>283</v>
      </c>
      <c r="B89" s="400"/>
      <c r="C89" s="400"/>
      <c r="D89" s="400"/>
      <c r="E89" s="400"/>
      <c r="F89" s="400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400"/>
      <c r="B90" s="400"/>
      <c r="C90" s="400"/>
      <c r="D90" s="400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400"/>
      <c r="B92" s="400"/>
      <c r="C92" s="400"/>
      <c r="D92" s="400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400" t="s">
        <v>290</v>
      </c>
      <c r="B96" s="400"/>
      <c r="C96" s="400"/>
      <c r="D96" s="400"/>
      <c r="AS96" s="131"/>
    </row>
    <row r="97" spans="1:45">
      <c r="A97" s="400" t="s">
        <v>291</v>
      </c>
      <c r="B97" s="400"/>
      <c r="C97" s="400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</mergeCells>
  <conditionalFormatting sqref="H91 H69:H80 H56:H59 H48:H51 H42:H45 H30:H31 H27:H28 H24 H14 H19">
    <cfRule type="cellIs" dxfId="3" priority="2" stopIfTrue="1" operator="notEqual">
      <formula>#REF!</formula>
    </cfRule>
  </conditionalFormatting>
  <pageMargins left="0.70866141732283472" right="0.11811023622047245" top="0.31496062992125984" bottom="0.23622047244094491" header="0.31496062992125984" footer="0.31496062992125984"/>
  <pageSetup paperSize="9" scale="58" fitToHeight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U9" activePane="bottomRight" state="frozen"/>
      <selection pane="topRight" activeCell="E1" sqref="E1"/>
      <selection pane="bottomLeft" activeCell="A9" sqref="A9"/>
      <selection pane="bottomRight" activeCell="R80" sqref="R80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318" t="s">
        <v>403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173"/>
    </row>
    <row r="3" spans="1:49" s="118" customFormat="1" ht="15.75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174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25.5" customHeight="1">
      <c r="A5" s="320" t="s">
        <v>0</v>
      </c>
      <c r="B5" s="320" t="s">
        <v>261</v>
      </c>
      <c r="C5" s="321" t="s">
        <v>47</v>
      </c>
      <c r="D5" s="321" t="s">
        <v>262</v>
      </c>
      <c r="E5" s="320" t="s">
        <v>1</v>
      </c>
      <c r="F5" s="320" t="s">
        <v>263</v>
      </c>
      <c r="G5" s="320"/>
      <c r="H5" s="320"/>
      <c r="I5" s="320" t="s">
        <v>18</v>
      </c>
      <c r="J5" s="320"/>
      <c r="K5" s="320"/>
      <c r="L5" s="320" t="s">
        <v>19</v>
      </c>
      <c r="M5" s="320"/>
      <c r="N5" s="320"/>
      <c r="O5" s="320" t="s">
        <v>23</v>
      </c>
      <c r="P5" s="320"/>
      <c r="Q5" s="320"/>
      <c r="R5" s="320" t="s">
        <v>25</v>
      </c>
      <c r="S5" s="320"/>
      <c r="T5" s="320"/>
      <c r="U5" s="320" t="s">
        <v>26</v>
      </c>
      <c r="V5" s="320"/>
      <c r="W5" s="320"/>
      <c r="X5" s="320" t="s">
        <v>27</v>
      </c>
      <c r="Y5" s="320"/>
      <c r="Z5" s="320"/>
      <c r="AA5" s="320" t="s">
        <v>29</v>
      </c>
      <c r="AB5" s="320"/>
      <c r="AC5" s="320"/>
      <c r="AD5" s="320" t="s">
        <v>30</v>
      </c>
      <c r="AE5" s="320"/>
      <c r="AF5" s="320"/>
      <c r="AG5" s="320" t="s">
        <v>31</v>
      </c>
      <c r="AH5" s="320"/>
      <c r="AI5" s="320"/>
      <c r="AJ5" s="320" t="s">
        <v>33</v>
      </c>
      <c r="AK5" s="320"/>
      <c r="AL5" s="320"/>
      <c r="AM5" s="320" t="s">
        <v>34</v>
      </c>
      <c r="AN5" s="320"/>
      <c r="AO5" s="320"/>
      <c r="AP5" s="320" t="s">
        <v>35</v>
      </c>
      <c r="AQ5" s="320"/>
      <c r="AR5" s="320"/>
      <c r="AS5" s="323" t="s">
        <v>273</v>
      </c>
      <c r="AT5" s="324" t="s">
        <v>274</v>
      </c>
      <c r="AU5" s="32"/>
      <c r="AV5" s="32"/>
    </row>
    <row r="6" spans="1:49" s="31" customFormat="1" ht="25.5">
      <c r="A6" s="320"/>
      <c r="B6" s="320"/>
      <c r="C6" s="322"/>
      <c r="D6" s="322"/>
      <c r="E6" s="320"/>
      <c r="F6" s="175" t="s">
        <v>264</v>
      </c>
      <c r="G6" s="175" t="s">
        <v>265</v>
      </c>
      <c r="H6" s="128" t="s">
        <v>266</v>
      </c>
      <c r="I6" s="175" t="s">
        <v>264</v>
      </c>
      <c r="J6" s="175" t="s">
        <v>265</v>
      </c>
      <c r="K6" s="128" t="s">
        <v>266</v>
      </c>
      <c r="L6" s="175" t="s">
        <v>264</v>
      </c>
      <c r="M6" s="175" t="s">
        <v>265</v>
      </c>
      <c r="N6" s="128" t="s">
        <v>266</v>
      </c>
      <c r="O6" s="175" t="s">
        <v>264</v>
      </c>
      <c r="P6" s="175" t="s">
        <v>265</v>
      </c>
      <c r="Q6" s="128" t="s">
        <v>266</v>
      </c>
      <c r="R6" s="175" t="s">
        <v>264</v>
      </c>
      <c r="S6" s="175" t="s">
        <v>265</v>
      </c>
      <c r="T6" s="128" t="s">
        <v>266</v>
      </c>
      <c r="U6" s="175" t="s">
        <v>264</v>
      </c>
      <c r="V6" s="175" t="s">
        <v>265</v>
      </c>
      <c r="W6" s="128" t="s">
        <v>266</v>
      </c>
      <c r="X6" s="175" t="s">
        <v>264</v>
      </c>
      <c r="Y6" s="175" t="s">
        <v>265</v>
      </c>
      <c r="Z6" s="128" t="s">
        <v>266</v>
      </c>
      <c r="AA6" s="175" t="s">
        <v>264</v>
      </c>
      <c r="AB6" s="175" t="s">
        <v>265</v>
      </c>
      <c r="AC6" s="128" t="s">
        <v>266</v>
      </c>
      <c r="AD6" s="175" t="s">
        <v>264</v>
      </c>
      <c r="AE6" s="175" t="s">
        <v>265</v>
      </c>
      <c r="AF6" s="128" t="s">
        <v>266</v>
      </c>
      <c r="AG6" s="175" t="s">
        <v>264</v>
      </c>
      <c r="AH6" s="175" t="s">
        <v>265</v>
      </c>
      <c r="AI6" s="128" t="s">
        <v>266</v>
      </c>
      <c r="AJ6" s="175" t="s">
        <v>264</v>
      </c>
      <c r="AK6" s="175" t="s">
        <v>265</v>
      </c>
      <c r="AL6" s="128" t="s">
        <v>266</v>
      </c>
      <c r="AM6" s="175" t="s">
        <v>264</v>
      </c>
      <c r="AN6" s="175" t="s">
        <v>265</v>
      </c>
      <c r="AO6" s="128" t="s">
        <v>266</v>
      </c>
      <c r="AP6" s="175" t="s">
        <v>264</v>
      </c>
      <c r="AQ6" s="175" t="s">
        <v>265</v>
      </c>
      <c r="AR6" s="128" t="s">
        <v>266</v>
      </c>
      <c r="AS6" s="323"/>
      <c r="AT6" s="324"/>
    </row>
    <row r="7" spans="1:49" s="31" customFormat="1" ht="15.75">
      <c r="A7" s="325" t="s">
        <v>322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7"/>
    </row>
    <row r="8" spans="1:49" s="31" customFormat="1" ht="15.75">
      <c r="A8" s="325" t="s">
        <v>294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7"/>
    </row>
    <row r="9" spans="1:49" s="100" customFormat="1" ht="12.75">
      <c r="A9" s="328" t="s">
        <v>267</v>
      </c>
      <c r="B9" s="329"/>
      <c r="C9" s="329"/>
      <c r="D9" s="330"/>
      <c r="E9" s="129" t="s">
        <v>42</v>
      </c>
      <c r="F9" s="106">
        <f>F10+F11+F12</f>
        <v>387855.89999999991</v>
      </c>
      <c r="G9" s="106">
        <f t="shared" ref="G9:AP9" si="0">G10+G11+G12</f>
        <v>24711</v>
      </c>
      <c r="H9" s="106">
        <f>G9/F9*100</f>
        <v>6.3711806369324293</v>
      </c>
      <c r="I9" s="106">
        <f t="shared" si="0"/>
        <v>14386.5</v>
      </c>
      <c r="J9" s="106">
        <f t="shared" si="0"/>
        <v>24711</v>
      </c>
      <c r="K9" s="106">
        <f>J9/I9*100</f>
        <v>171.76519653842143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33490.6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34470.699999999997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43652.299999999996</v>
      </c>
      <c r="AQ9" s="106" t="e">
        <f>#REF!+#REF!</f>
        <v>#REF!</v>
      </c>
      <c r="AR9" s="106" t="e">
        <f>#REF!+#REF!</f>
        <v>#REF!</v>
      </c>
      <c r="AS9" s="337"/>
      <c r="AT9" s="340"/>
      <c r="AU9" s="127"/>
    </row>
    <row r="10" spans="1:49" s="100" customFormat="1" ht="36">
      <c r="A10" s="331"/>
      <c r="B10" s="332"/>
      <c r="C10" s="332"/>
      <c r="D10" s="333"/>
      <c r="E10" s="111" t="s">
        <v>3</v>
      </c>
      <c r="F10" s="106">
        <f>F14+F18+F23+F26+F30</f>
        <v>93990.699999999983</v>
      </c>
      <c r="G10" s="106">
        <f>G14+G18+G23+G26+G30</f>
        <v>924.5</v>
      </c>
      <c r="H10" s="106">
        <f>G10/F10*100</f>
        <v>0.98360795270170365</v>
      </c>
      <c r="I10" s="106">
        <f>I14+I18+I23+I26+I30</f>
        <v>949.99999999999989</v>
      </c>
      <c r="J10" s="106">
        <f>J14+J18+J23+J26+J30</f>
        <v>924.5</v>
      </c>
      <c r="K10" s="106">
        <f t="shared" ref="K10:K12" si="1">J10/I10*100</f>
        <v>97.31578947368422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7444.7999999999993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19660.599999999999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38"/>
      <c r="AT10" s="341"/>
      <c r="AU10" s="127"/>
    </row>
    <row r="11" spans="1:49" s="100" customFormat="1" ht="24">
      <c r="A11" s="331"/>
      <c r="B11" s="332"/>
      <c r="C11" s="332"/>
      <c r="D11" s="333"/>
      <c r="E11" s="111" t="s">
        <v>44</v>
      </c>
      <c r="F11" s="106">
        <f>F15+F19+F24+F27+F31</f>
        <v>288033.09999999998</v>
      </c>
      <c r="G11" s="106">
        <f>G15+G19+G24+G27+G31</f>
        <v>23786.5</v>
      </c>
      <c r="H11" s="106">
        <f>G11/F11*100</f>
        <v>8.2582522633683428</v>
      </c>
      <c r="I11" s="106">
        <f>I15+I19+I24+I27+I31</f>
        <v>13174.7</v>
      </c>
      <c r="J11" s="106">
        <f>J15+J19+J24+J27+J31</f>
        <v>23786.5</v>
      </c>
      <c r="K11" s="106">
        <f t="shared" si="1"/>
        <v>180.54680561986228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26518.199999999997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38"/>
      <c r="AT11" s="341"/>
      <c r="AU11" s="127"/>
    </row>
    <row r="12" spans="1:49" s="100" customFormat="1" ht="24">
      <c r="A12" s="334"/>
      <c r="B12" s="335"/>
      <c r="C12" s="335"/>
      <c r="D12" s="336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39"/>
      <c r="AT12" s="342"/>
      <c r="AU12" s="127"/>
    </row>
    <row r="13" spans="1:49" s="31" customFormat="1" ht="12.75">
      <c r="A13" s="343" t="s">
        <v>323</v>
      </c>
      <c r="B13" s="346" t="s">
        <v>324</v>
      </c>
      <c r="C13" s="349" t="s">
        <v>325</v>
      </c>
      <c r="D13" s="349" t="s">
        <v>326</v>
      </c>
      <c r="E13" s="107" t="s">
        <v>42</v>
      </c>
      <c r="F13" s="104">
        <f>SUM(F14:F16)</f>
        <v>300702.99999999994</v>
      </c>
      <c r="G13" s="123">
        <f t="shared" ref="G13:P13" si="7">SUM(G14:G16)</f>
        <v>18204.3</v>
      </c>
      <c r="H13" s="123">
        <f>G13/F13*100</f>
        <v>6.053913662317969</v>
      </c>
      <c r="I13" s="123">
        <f t="shared" si="7"/>
        <v>6660.1</v>
      </c>
      <c r="J13" s="123">
        <f t="shared" si="7"/>
        <v>18204.3</v>
      </c>
      <c r="K13" s="123">
        <f>J13/I13*100</f>
        <v>273.33373372772178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26037.399999999998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26537.299999999996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36594.6</v>
      </c>
      <c r="AQ13" s="123">
        <f t="shared" si="8"/>
        <v>0</v>
      </c>
      <c r="AR13" s="123">
        <f t="shared" si="8"/>
        <v>0</v>
      </c>
      <c r="AS13" s="352" t="s">
        <v>309</v>
      </c>
      <c r="AT13" s="359" t="s">
        <v>308</v>
      </c>
      <c r="AU13" s="121"/>
      <c r="AV13" s="121"/>
      <c r="AW13" s="155"/>
    </row>
    <row r="14" spans="1:49" s="31" customFormat="1" ht="36">
      <c r="A14" s="344"/>
      <c r="B14" s="347"/>
      <c r="C14" s="350"/>
      <c r="D14" s="350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826.6</v>
      </c>
      <c r="H14" s="123">
        <v>0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0</v>
      </c>
      <c r="N14" s="123">
        <v>0</v>
      </c>
      <c r="O14" s="123">
        <f>5300+79.4+1165.4-6.3+184.6</f>
        <v>6723.0999999999995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</f>
        <v>19440.599999999999</v>
      </c>
      <c r="AQ14" s="123"/>
      <c r="AR14" s="123"/>
      <c r="AS14" s="353"/>
      <c r="AT14" s="360"/>
      <c r="AU14" s="121"/>
      <c r="AV14" s="121"/>
      <c r="AW14" s="155"/>
    </row>
    <row r="15" spans="1:49" s="31" customFormat="1" ht="12.75">
      <c r="A15" s="344"/>
      <c r="B15" s="347"/>
      <c r="C15" s="350"/>
      <c r="D15" s="350"/>
      <c r="E15" s="108" t="s">
        <v>44</v>
      </c>
      <c r="F15" s="123">
        <f t="shared" ref="F15:G16" si="9">I15+L15+O15+R15+U15+X15+AA15+AD15+AG15+AJ15+AM15+AP15</f>
        <v>203427.59999999998</v>
      </c>
      <c r="G15" s="123">
        <f t="shared" si="9"/>
        <v>17377.7</v>
      </c>
      <c r="H15" s="123">
        <f>G15/F15*100</f>
        <v>8.5424495004610996</v>
      </c>
      <c r="I15" s="123">
        <f>40+428.8+4937+6.7+13+122.8</f>
        <v>5548.3</v>
      </c>
      <c r="J15" s="123">
        <v>17377.7</v>
      </c>
      <c r="K15" s="123">
        <f>J15/I15*100</f>
        <v>313.20764918984196</v>
      </c>
      <c r="L15" s="123">
        <f>517.2+2195.7+21252+496.8+361.9+645.7</f>
        <v>25469.300000000003</v>
      </c>
      <c r="M15" s="123">
        <v>0</v>
      </c>
      <c r="N15" s="123">
        <f t="shared" ref="N15:N22" si="10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1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2">S15/R15*100</f>
        <v>0</v>
      </c>
      <c r="U15" s="117">
        <f>114.6+1286.2+14324.5+500+499.1+290.4+293</f>
        <v>17307.8</v>
      </c>
      <c r="V15" s="117">
        <v>0</v>
      </c>
      <c r="W15" s="123">
        <f t="shared" ref="W15" si="13">V15/U15*100</f>
        <v>0</v>
      </c>
      <c r="X15" s="117">
        <f>334.2+1608.2+15696.6+500+535.6+174.6-0.2-122.8</f>
        <v>18726.199999999997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53"/>
      <c r="AT15" s="360"/>
      <c r="AU15" s="121"/>
      <c r="AV15" s="121"/>
      <c r="AW15" s="155"/>
    </row>
    <row r="16" spans="1:49" s="31" customFormat="1" ht="179.25" customHeight="1">
      <c r="A16" s="345"/>
      <c r="B16" s="348"/>
      <c r="C16" s="351"/>
      <c r="D16" s="351"/>
      <c r="E16" s="109" t="s">
        <v>257</v>
      </c>
      <c r="F16" s="123">
        <f t="shared" si="9"/>
        <v>5832.1</v>
      </c>
      <c r="G16" s="123">
        <f t="shared" si="9"/>
        <v>0</v>
      </c>
      <c r="H16" s="123">
        <v>0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54"/>
      <c r="AT16" s="361"/>
      <c r="AU16" s="121"/>
      <c r="AV16" s="121"/>
      <c r="AW16" s="155"/>
    </row>
    <row r="17" spans="1:49" s="31" customFormat="1" ht="12.75">
      <c r="A17" s="343" t="s">
        <v>327</v>
      </c>
      <c r="B17" s="346" t="s">
        <v>328</v>
      </c>
      <c r="C17" s="349" t="s">
        <v>329</v>
      </c>
      <c r="D17" s="355" t="s">
        <v>330</v>
      </c>
      <c r="E17" s="107" t="s">
        <v>42</v>
      </c>
      <c r="F17" s="123">
        <f>SUM(F18:F20)</f>
        <v>77800</v>
      </c>
      <c r="G17" s="123">
        <f t="shared" ref="G17:P17" si="14">SUM(G18:G20)</f>
        <v>6082.4</v>
      </c>
      <c r="H17" s="123">
        <f>G17/F17*100</f>
        <v>7.8179948586118249</v>
      </c>
      <c r="I17" s="123">
        <f t="shared" si="14"/>
        <v>7091.6</v>
      </c>
      <c r="J17" s="123">
        <f t="shared" si="14"/>
        <v>6082.4</v>
      </c>
      <c r="K17" s="123">
        <f>J17/I17*100</f>
        <v>85.769078910260021</v>
      </c>
      <c r="L17" s="123">
        <f t="shared" si="14"/>
        <v>7886.9</v>
      </c>
      <c r="M17" s="123">
        <f t="shared" si="14"/>
        <v>0</v>
      </c>
      <c r="N17" s="123">
        <f t="shared" si="10"/>
        <v>0</v>
      </c>
      <c r="O17" s="123">
        <f t="shared" si="14"/>
        <v>6038</v>
      </c>
      <c r="P17" s="123">
        <f t="shared" si="14"/>
        <v>0</v>
      </c>
      <c r="Q17" s="123">
        <f t="shared" si="11"/>
        <v>0</v>
      </c>
      <c r="R17" s="123">
        <f t="shared" ref="R17:AB17" si="15">SUM(R18:R20)</f>
        <v>6900</v>
      </c>
      <c r="S17" s="123">
        <f t="shared" si="15"/>
        <v>0</v>
      </c>
      <c r="T17" s="123">
        <f t="shared" si="12"/>
        <v>0</v>
      </c>
      <c r="U17" s="123">
        <f t="shared" si="15"/>
        <v>6826.3</v>
      </c>
      <c r="V17" s="123">
        <f t="shared" si="15"/>
        <v>0</v>
      </c>
      <c r="W17" s="123">
        <f t="shared" ref="W17" si="16">V17/U17*100</f>
        <v>0</v>
      </c>
      <c r="X17" s="123">
        <f t="shared" si="15"/>
        <v>7190.9</v>
      </c>
      <c r="Y17" s="123">
        <f t="shared" si="15"/>
        <v>0</v>
      </c>
      <c r="Z17" s="123">
        <f>Y17/X17*100</f>
        <v>0</v>
      </c>
      <c r="AA17" s="104">
        <f t="shared" si="15"/>
        <v>7431.5</v>
      </c>
      <c r="AB17" s="123">
        <f t="shared" si="15"/>
        <v>0</v>
      </c>
      <c r="AC17" s="123">
        <f>SUM(AC18:AC20)</f>
        <v>0</v>
      </c>
      <c r="AD17" s="104">
        <f t="shared" ref="AD17:AR17" si="17">SUM(AD18:AD20)</f>
        <v>6016.2</v>
      </c>
      <c r="AE17" s="104">
        <f t="shared" si="17"/>
        <v>0</v>
      </c>
      <c r="AF17" s="104">
        <f t="shared" si="6"/>
        <v>0</v>
      </c>
      <c r="AG17" s="104">
        <f t="shared" si="17"/>
        <v>5470</v>
      </c>
      <c r="AH17" s="123">
        <f t="shared" si="17"/>
        <v>0</v>
      </c>
      <c r="AI17" s="123">
        <f t="shared" si="17"/>
        <v>0</v>
      </c>
      <c r="AJ17" s="123">
        <f t="shared" si="17"/>
        <v>5540.8</v>
      </c>
      <c r="AK17" s="123">
        <f t="shared" si="17"/>
        <v>0</v>
      </c>
      <c r="AL17" s="123">
        <f t="shared" si="17"/>
        <v>0</v>
      </c>
      <c r="AM17" s="104">
        <f t="shared" si="17"/>
        <v>5036.7</v>
      </c>
      <c r="AN17" s="123">
        <f t="shared" si="17"/>
        <v>0</v>
      </c>
      <c r="AO17" s="123">
        <f t="shared" si="17"/>
        <v>0</v>
      </c>
      <c r="AP17" s="104">
        <f t="shared" si="17"/>
        <v>6371.1</v>
      </c>
      <c r="AQ17" s="123">
        <f t="shared" si="17"/>
        <v>0</v>
      </c>
      <c r="AR17" s="123">
        <f t="shared" si="17"/>
        <v>0</v>
      </c>
      <c r="AS17" s="352" t="s">
        <v>299</v>
      </c>
      <c r="AT17" s="359" t="s">
        <v>296</v>
      </c>
      <c r="AU17" s="121"/>
      <c r="AV17" s="121"/>
      <c r="AW17" s="155"/>
    </row>
    <row r="18" spans="1:49" s="31" customFormat="1" ht="36">
      <c r="A18" s="344"/>
      <c r="B18" s="347"/>
      <c r="C18" s="350"/>
      <c r="D18" s="356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53"/>
      <c r="AT18" s="360"/>
      <c r="AU18" s="121"/>
      <c r="AV18" s="121"/>
      <c r="AW18" s="155"/>
    </row>
    <row r="19" spans="1:49" s="31" customFormat="1" ht="12.75">
      <c r="A19" s="344"/>
      <c r="B19" s="347"/>
      <c r="C19" s="350"/>
      <c r="D19" s="356"/>
      <c r="E19" s="108" t="s">
        <v>44</v>
      </c>
      <c r="F19" s="123">
        <f t="shared" ref="F19:G20" si="18">I19+L19+O19+R19+U19+X19+AA19+AD19+AG19+AJ19+AM19+AP19</f>
        <v>77800</v>
      </c>
      <c r="G19" s="123">
        <f t="shared" si="18"/>
        <v>6082.4</v>
      </c>
      <c r="H19" s="123">
        <v>0</v>
      </c>
      <c r="I19" s="123">
        <v>7091.6</v>
      </c>
      <c r="J19" s="123">
        <v>6082.4</v>
      </c>
      <c r="K19" s="123">
        <f t="shared" ref="K19" si="19">J19/I19*100</f>
        <v>85.769078910260021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53"/>
      <c r="AT19" s="360"/>
      <c r="AU19" s="121"/>
      <c r="AV19" s="121"/>
      <c r="AW19" s="155"/>
    </row>
    <row r="20" spans="1:49" s="31" customFormat="1" ht="24">
      <c r="A20" s="345"/>
      <c r="B20" s="348"/>
      <c r="C20" s="351"/>
      <c r="D20" s="362"/>
      <c r="E20" s="109" t="s">
        <v>257</v>
      </c>
      <c r="F20" s="123">
        <f t="shared" si="18"/>
        <v>0</v>
      </c>
      <c r="G20" s="123">
        <f t="shared" si="18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54"/>
      <c r="AT20" s="361"/>
      <c r="AU20" s="121"/>
      <c r="AV20" s="121"/>
      <c r="AW20" s="155"/>
    </row>
    <row r="21" spans="1:49" s="31" customFormat="1" ht="409.5">
      <c r="A21" s="176" t="s">
        <v>331</v>
      </c>
      <c r="B21" s="177" t="s">
        <v>332</v>
      </c>
      <c r="C21" s="178" t="s">
        <v>333</v>
      </c>
      <c r="D21" s="180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79" t="s">
        <v>319</v>
      </c>
      <c r="AT21" s="181" t="s">
        <v>297</v>
      </c>
      <c r="AU21" s="121"/>
      <c r="AV21" s="121"/>
      <c r="AW21" s="155"/>
    </row>
    <row r="22" spans="1:49" s="31" customFormat="1" ht="12.75">
      <c r="A22" s="343" t="s">
        <v>334</v>
      </c>
      <c r="B22" s="346" t="s">
        <v>335</v>
      </c>
      <c r="C22" s="349" t="s">
        <v>268</v>
      </c>
      <c r="D22" s="355" t="s">
        <v>336</v>
      </c>
      <c r="E22" s="107" t="s">
        <v>42</v>
      </c>
      <c r="F22" s="123">
        <f>SUM(F23:F24)</f>
        <v>3987.3</v>
      </c>
      <c r="G22" s="123">
        <f>SUM(G23:G24)</f>
        <v>326.39999999999998</v>
      </c>
      <c r="H22" s="123">
        <f>G22/F22*100</f>
        <v>8.1859905199006828</v>
      </c>
      <c r="I22" s="123">
        <f>SUM(I23:I24)</f>
        <v>326</v>
      </c>
      <c r="J22" s="123">
        <f>SUM(J23:J24)</f>
        <v>326.39999999999998</v>
      </c>
      <c r="K22" s="123">
        <f t="shared" ref="K22:K26" si="20">J22/I22*100</f>
        <v>100.12269938650307</v>
      </c>
      <c r="L22" s="123">
        <f>SUM(L23:L24)</f>
        <v>326</v>
      </c>
      <c r="M22" s="123">
        <f>SUM(M23:M24)</f>
        <v>0</v>
      </c>
      <c r="N22" s="123">
        <f t="shared" si="10"/>
        <v>0</v>
      </c>
      <c r="O22" s="123">
        <f>SUM(O23:O24)</f>
        <v>326</v>
      </c>
      <c r="P22" s="123">
        <f>SUM(P23:P24)</f>
        <v>0</v>
      </c>
      <c r="Q22" s="123">
        <f t="shared" si="11"/>
        <v>0</v>
      </c>
      <c r="R22" s="123">
        <f>SUM(R23:R24)</f>
        <v>326</v>
      </c>
      <c r="S22" s="123">
        <f>SUM(S23:S24)</f>
        <v>0</v>
      </c>
      <c r="T22" s="123">
        <f t="shared" si="12"/>
        <v>0</v>
      </c>
      <c r="U22" s="123">
        <f>SUM(U23:U24)</f>
        <v>326</v>
      </c>
      <c r="V22" s="123">
        <f>SUM(V23:V24)</f>
        <v>0</v>
      </c>
      <c r="W22" s="123">
        <f t="shared" ref="W22" si="21">V22/U22*100</f>
        <v>0</v>
      </c>
      <c r="X22" s="123">
        <f t="shared" ref="X22:AE22" si="22">SUM(X23:X24)</f>
        <v>326</v>
      </c>
      <c r="Y22" s="123">
        <f t="shared" si="22"/>
        <v>0</v>
      </c>
      <c r="Z22" s="123">
        <f t="shared" si="22"/>
        <v>0</v>
      </c>
      <c r="AA22" s="104">
        <f t="shared" si="22"/>
        <v>326</v>
      </c>
      <c r="AB22" s="123">
        <f t="shared" si="22"/>
        <v>0</v>
      </c>
      <c r="AC22" s="123">
        <f t="shared" si="22"/>
        <v>0</v>
      </c>
      <c r="AD22" s="104">
        <f t="shared" si="22"/>
        <v>326</v>
      </c>
      <c r="AE22" s="104">
        <f t="shared" si="22"/>
        <v>0</v>
      </c>
      <c r="AF22" s="104">
        <f t="shared" si="6"/>
        <v>0</v>
      </c>
      <c r="AG22" s="104">
        <f t="shared" ref="AG22:AR22" si="23">SUM(AG23:AG24)</f>
        <v>326</v>
      </c>
      <c r="AH22" s="123">
        <f t="shared" si="23"/>
        <v>0</v>
      </c>
      <c r="AI22" s="123">
        <f t="shared" si="23"/>
        <v>0</v>
      </c>
      <c r="AJ22" s="123">
        <f t="shared" si="23"/>
        <v>326</v>
      </c>
      <c r="AK22" s="123">
        <f t="shared" si="23"/>
        <v>0</v>
      </c>
      <c r="AL22" s="123">
        <f t="shared" si="23"/>
        <v>0</v>
      </c>
      <c r="AM22" s="104">
        <f t="shared" si="23"/>
        <v>326</v>
      </c>
      <c r="AN22" s="123">
        <f t="shared" si="23"/>
        <v>0</v>
      </c>
      <c r="AO22" s="123">
        <f t="shared" si="23"/>
        <v>0</v>
      </c>
      <c r="AP22" s="104">
        <f t="shared" si="23"/>
        <v>401.3</v>
      </c>
      <c r="AQ22" s="123">
        <f t="shared" si="23"/>
        <v>0</v>
      </c>
      <c r="AR22" s="123">
        <f t="shared" si="23"/>
        <v>0</v>
      </c>
      <c r="AS22" s="352" t="s">
        <v>319</v>
      </c>
      <c r="AT22" s="357" t="s">
        <v>297</v>
      </c>
      <c r="AU22" s="121"/>
      <c r="AV22" s="121"/>
      <c r="AW22" s="155"/>
    </row>
    <row r="23" spans="1:49" s="31" customFormat="1" ht="36">
      <c r="A23" s="344"/>
      <c r="B23" s="347"/>
      <c r="C23" s="350"/>
      <c r="D23" s="356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53"/>
      <c r="AT23" s="358"/>
      <c r="AU23" s="121"/>
      <c r="AV23" s="121"/>
      <c r="AW23" s="155"/>
    </row>
    <row r="24" spans="1:49" s="31" customFormat="1" ht="12.75">
      <c r="A24" s="344"/>
      <c r="B24" s="347"/>
      <c r="C24" s="350"/>
      <c r="D24" s="356"/>
      <c r="E24" s="108" t="s">
        <v>44</v>
      </c>
      <c r="F24" s="123">
        <f t="shared" ref="F24:G24" si="24">I24+L24+O24+R24+U24+X24+AA24+AD24+AG24+AJ24+AM24+AP24</f>
        <v>3987.3</v>
      </c>
      <c r="G24" s="123">
        <f t="shared" si="24"/>
        <v>326.39999999999998</v>
      </c>
      <c r="H24" s="123">
        <v>0</v>
      </c>
      <c r="I24" s="123">
        <v>326</v>
      </c>
      <c r="J24" s="123">
        <v>326.39999999999998</v>
      </c>
      <c r="K24" s="123">
        <f t="shared" si="20"/>
        <v>100.12269938650307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53"/>
      <c r="AT24" s="358"/>
      <c r="AU24" s="121"/>
      <c r="AV24" s="121"/>
      <c r="AW24" s="155"/>
    </row>
    <row r="25" spans="1:49" s="31" customFormat="1" ht="12.75">
      <c r="A25" s="343" t="s">
        <v>337</v>
      </c>
      <c r="B25" s="346" t="s">
        <v>338</v>
      </c>
      <c r="C25" s="349" t="s">
        <v>339</v>
      </c>
      <c r="D25" s="355" t="s">
        <v>340</v>
      </c>
      <c r="E25" s="107" t="s">
        <v>42</v>
      </c>
      <c r="F25" s="123">
        <f>SUM(F26:F28)</f>
        <v>5215.6000000000004</v>
      </c>
      <c r="G25" s="123">
        <f t="shared" ref="G25:P25" si="25">SUM(G26:G28)</f>
        <v>97.9</v>
      </c>
      <c r="H25" s="123">
        <f>G25/F25*100</f>
        <v>1.8770611243193496</v>
      </c>
      <c r="I25" s="123">
        <f t="shared" si="25"/>
        <v>308.8</v>
      </c>
      <c r="J25" s="123">
        <f t="shared" si="25"/>
        <v>97.9</v>
      </c>
      <c r="K25" s="123">
        <f t="shared" si="20"/>
        <v>31.703367875647672</v>
      </c>
      <c r="L25" s="123">
        <f t="shared" si="25"/>
        <v>384.9</v>
      </c>
      <c r="M25" s="123">
        <f t="shared" si="25"/>
        <v>0</v>
      </c>
      <c r="N25" s="123">
        <v>0</v>
      </c>
      <c r="O25" s="123">
        <f t="shared" si="25"/>
        <v>939.2</v>
      </c>
      <c r="P25" s="123">
        <f t="shared" si="25"/>
        <v>0</v>
      </c>
      <c r="Q25" s="123">
        <v>0</v>
      </c>
      <c r="R25" s="123">
        <f t="shared" ref="R25:Z25" si="26">SUM(R26:R28)</f>
        <v>353</v>
      </c>
      <c r="S25" s="123">
        <f t="shared" si="26"/>
        <v>0</v>
      </c>
      <c r="T25" s="123">
        <v>0</v>
      </c>
      <c r="U25" s="123">
        <f t="shared" si="26"/>
        <v>378</v>
      </c>
      <c r="V25" s="123">
        <f t="shared" si="26"/>
        <v>0</v>
      </c>
      <c r="W25" s="123">
        <f t="shared" si="26"/>
        <v>0</v>
      </c>
      <c r="X25" s="123">
        <f t="shared" si="26"/>
        <v>416.5</v>
      </c>
      <c r="Y25" s="123">
        <f t="shared" si="26"/>
        <v>0</v>
      </c>
      <c r="Z25" s="123">
        <f t="shared" si="26"/>
        <v>0</v>
      </c>
      <c r="AA25" s="104">
        <f t="shared" ref="AA25:AB25" si="27">SUM(AA26:AA28)</f>
        <v>482.40000000000003</v>
      </c>
      <c r="AB25" s="123">
        <f t="shared" si="27"/>
        <v>0</v>
      </c>
      <c r="AC25" s="123">
        <f>SUM(AC26:AC28)</f>
        <v>0</v>
      </c>
      <c r="AD25" s="104">
        <f t="shared" ref="AD25:AR25" si="28">SUM(AD26:AD28)</f>
        <v>451.1</v>
      </c>
      <c r="AE25" s="104">
        <f t="shared" si="28"/>
        <v>0</v>
      </c>
      <c r="AF25" s="104">
        <f t="shared" si="6"/>
        <v>0</v>
      </c>
      <c r="AG25" s="104">
        <f t="shared" si="28"/>
        <v>471.79999999999995</v>
      </c>
      <c r="AH25" s="123">
        <f t="shared" si="28"/>
        <v>0</v>
      </c>
      <c r="AI25" s="104">
        <f t="shared" ref="AI25" si="29">AH25/AG25*100</f>
        <v>0</v>
      </c>
      <c r="AJ25" s="123">
        <f t="shared" si="28"/>
        <v>517.1</v>
      </c>
      <c r="AK25" s="123">
        <f t="shared" si="28"/>
        <v>0</v>
      </c>
      <c r="AL25" s="123">
        <f t="shared" si="28"/>
        <v>0</v>
      </c>
      <c r="AM25" s="104">
        <f t="shared" si="28"/>
        <v>227.5</v>
      </c>
      <c r="AN25" s="123">
        <f t="shared" si="28"/>
        <v>0</v>
      </c>
      <c r="AO25" s="123">
        <f t="shared" si="28"/>
        <v>0</v>
      </c>
      <c r="AP25" s="104">
        <f t="shared" si="28"/>
        <v>285.3</v>
      </c>
      <c r="AQ25" s="123">
        <f t="shared" si="28"/>
        <v>0</v>
      </c>
      <c r="AR25" s="123">
        <f t="shared" si="28"/>
        <v>0</v>
      </c>
      <c r="AS25" s="352" t="s">
        <v>318</v>
      </c>
      <c r="AT25" s="363"/>
      <c r="AU25" s="121"/>
      <c r="AV25" s="121"/>
      <c r="AW25" s="155"/>
    </row>
    <row r="26" spans="1:49" s="31" customFormat="1" ht="36">
      <c r="A26" s="344"/>
      <c r="B26" s="347"/>
      <c r="C26" s="350"/>
      <c r="D26" s="356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97.9</v>
      </c>
      <c r="H26" s="123">
        <f>G26/F26*100</f>
        <v>3.8431341760226112</v>
      </c>
      <c r="I26" s="104">
        <v>100</v>
      </c>
      <c r="J26" s="104">
        <v>97.9</v>
      </c>
      <c r="K26" s="123">
        <f t="shared" si="20"/>
        <v>97.9</v>
      </c>
      <c r="L26" s="126">
        <v>124.5</v>
      </c>
      <c r="M26" s="104">
        <v>0</v>
      </c>
      <c r="N26" s="123">
        <v>0</v>
      </c>
      <c r="O26" s="104">
        <f>124.5+697.2-100</f>
        <v>721.7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53"/>
      <c r="AT26" s="364"/>
      <c r="AU26" s="121"/>
      <c r="AV26" s="121"/>
      <c r="AW26" s="155"/>
    </row>
    <row r="27" spans="1:49" s="31" customFormat="1" ht="12.75">
      <c r="A27" s="344"/>
      <c r="B27" s="347"/>
      <c r="C27" s="350"/>
      <c r="D27" s="356"/>
      <c r="E27" s="108" t="s">
        <v>44</v>
      </c>
      <c r="F27" s="123">
        <f t="shared" ref="F27:G28" si="30">I27+L27+O27+R27+U27+X27+AA27+AD27+AG27+AJ27+AM27+AP27</f>
        <v>2668.2000000000003</v>
      </c>
      <c r="G27" s="123">
        <f t="shared" si="30"/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53"/>
      <c r="AT27" s="364"/>
      <c r="AU27" s="121"/>
      <c r="AV27" s="121"/>
      <c r="AW27" s="155"/>
    </row>
    <row r="28" spans="1:49" s="31" customFormat="1" ht="34.5" customHeight="1">
      <c r="A28" s="345"/>
      <c r="B28" s="348"/>
      <c r="C28" s="351"/>
      <c r="D28" s="362"/>
      <c r="E28" s="109" t="s">
        <v>257</v>
      </c>
      <c r="F28" s="123">
        <f t="shared" si="30"/>
        <v>0</v>
      </c>
      <c r="G28" s="123">
        <f t="shared" si="30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54"/>
      <c r="AT28" s="365"/>
      <c r="AU28" s="121"/>
      <c r="AV28" s="121"/>
      <c r="AW28" s="155"/>
    </row>
    <row r="29" spans="1:49" s="31" customFormat="1" ht="12.75">
      <c r="A29" s="343" t="s">
        <v>341</v>
      </c>
      <c r="B29" s="346" t="s">
        <v>342</v>
      </c>
      <c r="C29" s="349" t="s">
        <v>268</v>
      </c>
      <c r="D29" s="355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1">SUM(U30:U31)</f>
        <v>0</v>
      </c>
      <c r="V29" s="123">
        <f t="shared" si="31"/>
        <v>0</v>
      </c>
      <c r="W29" s="123">
        <f t="shared" si="31"/>
        <v>0</v>
      </c>
      <c r="X29" s="123">
        <f t="shared" si="31"/>
        <v>0</v>
      </c>
      <c r="Y29" s="123">
        <f t="shared" si="31"/>
        <v>0</v>
      </c>
      <c r="Z29" s="123">
        <f t="shared" si="31"/>
        <v>0</v>
      </c>
      <c r="AA29" s="104">
        <f t="shared" si="31"/>
        <v>0</v>
      </c>
      <c r="AB29" s="123">
        <f t="shared" si="31"/>
        <v>0</v>
      </c>
      <c r="AC29" s="123">
        <f t="shared" si="31"/>
        <v>0</v>
      </c>
      <c r="AD29" s="104">
        <f t="shared" si="31"/>
        <v>0</v>
      </c>
      <c r="AE29" s="104">
        <f t="shared" si="31"/>
        <v>0</v>
      </c>
      <c r="AF29" s="104">
        <f t="shared" si="31"/>
        <v>0</v>
      </c>
      <c r="AG29" s="104">
        <f t="shared" si="31"/>
        <v>0</v>
      </c>
      <c r="AH29" s="123">
        <f t="shared" si="31"/>
        <v>0</v>
      </c>
      <c r="AI29" s="117">
        <v>0</v>
      </c>
      <c r="AJ29" s="123">
        <f t="shared" ref="AJ29:AR29" si="32">SUM(AJ30:AJ31)</f>
        <v>0</v>
      </c>
      <c r="AK29" s="123">
        <f t="shared" si="32"/>
        <v>0</v>
      </c>
      <c r="AL29" s="123">
        <f t="shared" si="32"/>
        <v>0</v>
      </c>
      <c r="AM29" s="104">
        <f t="shared" si="32"/>
        <v>0</v>
      </c>
      <c r="AN29" s="123">
        <f t="shared" si="32"/>
        <v>0</v>
      </c>
      <c r="AO29" s="123">
        <f t="shared" si="32"/>
        <v>0</v>
      </c>
      <c r="AP29" s="104">
        <f t="shared" si="32"/>
        <v>0</v>
      </c>
      <c r="AQ29" s="123">
        <f t="shared" si="32"/>
        <v>0</v>
      </c>
      <c r="AR29" s="123">
        <f t="shared" si="32"/>
        <v>0</v>
      </c>
      <c r="AS29" s="352" t="s">
        <v>298</v>
      </c>
      <c r="AT29" s="363"/>
      <c r="AU29" s="121"/>
      <c r="AV29" s="121"/>
      <c r="AW29" s="155"/>
    </row>
    <row r="30" spans="1:49" s="31" customFormat="1" ht="36">
      <c r="A30" s="344"/>
      <c r="B30" s="347"/>
      <c r="C30" s="350"/>
      <c r="D30" s="356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53"/>
      <c r="AT30" s="364"/>
      <c r="AU30" s="121"/>
      <c r="AV30" s="121"/>
      <c r="AW30" s="155"/>
    </row>
    <row r="31" spans="1:49" s="31" customFormat="1" ht="41.25" customHeight="1">
      <c r="A31" s="344"/>
      <c r="B31" s="347"/>
      <c r="C31" s="350"/>
      <c r="D31" s="356"/>
      <c r="E31" s="108" t="s">
        <v>44</v>
      </c>
      <c r="F31" s="123">
        <f t="shared" ref="F31:G31" si="33">I31+L31+O31+R31+U31+X31+AA31+AD31+AG31+AJ31+AM31+AP31</f>
        <v>150</v>
      </c>
      <c r="G31" s="123">
        <f t="shared" si="33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53"/>
      <c r="AT31" s="364"/>
      <c r="AU31" s="121"/>
      <c r="AV31" s="121"/>
      <c r="AW31" s="155"/>
    </row>
    <row r="32" spans="1:49" s="31" customFormat="1" ht="15.75">
      <c r="A32" s="325" t="s">
        <v>344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7"/>
    </row>
    <row r="33" spans="1:49" s="100" customFormat="1" ht="12.75">
      <c r="A33" s="366" t="s">
        <v>345</v>
      </c>
      <c r="B33" s="367"/>
      <c r="C33" s="367"/>
      <c r="D33" s="368"/>
      <c r="E33" s="129" t="s">
        <v>42</v>
      </c>
      <c r="F33" s="106">
        <f>F34+F35+F36</f>
        <v>33940.800000000003</v>
      </c>
      <c r="G33" s="106">
        <f t="shared" ref="G33:AR33" si="34">G34+G35+G36</f>
        <v>556</v>
      </c>
      <c r="H33" s="106">
        <f>G33/F33*100</f>
        <v>1.6381464196483286</v>
      </c>
      <c r="I33" s="106">
        <f t="shared" si="34"/>
        <v>556</v>
      </c>
      <c r="J33" s="106">
        <f t="shared" si="34"/>
        <v>556</v>
      </c>
      <c r="K33" s="106">
        <f>J33/I33*100</f>
        <v>100</v>
      </c>
      <c r="L33" s="106">
        <f t="shared" si="34"/>
        <v>2428</v>
      </c>
      <c r="M33" s="106">
        <f t="shared" si="34"/>
        <v>0</v>
      </c>
      <c r="N33" s="106">
        <f>M33/L33*100</f>
        <v>0</v>
      </c>
      <c r="O33" s="106">
        <f t="shared" si="34"/>
        <v>2242</v>
      </c>
      <c r="P33" s="106">
        <f t="shared" si="34"/>
        <v>0</v>
      </c>
      <c r="Q33" s="106">
        <f>P33/O33*100</f>
        <v>0</v>
      </c>
      <c r="R33" s="106">
        <f t="shared" si="34"/>
        <v>3060</v>
      </c>
      <c r="S33" s="106">
        <f t="shared" si="34"/>
        <v>0</v>
      </c>
      <c r="T33" s="106">
        <f>S33/R33*100</f>
        <v>0</v>
      </c>
      <c r="U33" s="106">
        <f t="shared" si="34"/>
        <v>2489</v>
      </c>
      <c r="V33" s="106">
        <f t="shared" si="34"/>
        <v>0</v>
      </c>
      <c r="W33" s="106">
        <f t="shared" si="34"/>
        <v>0</v>
      </c>
      <c r="X33" s="106">
        <f t="shared" si="34"/>
        <v>2628</v>
      </c>
      <c r="Y33" s="106">
        <f t="shared" si="34"/>
        <v>0</v>
      </c>
      <c r="Z33" s="106">
        <f t="shared" si="34"/>
        <v>0</v>
      </c>
      <c r="AA33" s="106">
        <f t="shared" si="34"/>
        <v>3576</v>
      </c>
      <c r="AB33" s="106">
        <f t="shared" si="34"/>
        <v>0</v>
      </c>
      <c r="AC33" s="106">
        <f t="shared" si="34"/>
        <v>0</v>
      </c>
      <c r="AD33" s="106">
        <f t="shared" si="34"/>
        <v>2569</v>
      </c>
      <c r="AE33" s="106">
        <f t="shared" si="34"/>
        <v>0</v>
      </c>
      <c r="AF33" s="106">
        <f t="shared" ref="AF33:AF35" si="35">AE33/AD33*100</f>
        <v>0</v>
      </c>
      <c r="AG33" s="106">
        <f t="shared" si="34"/>
        <v>2544</v>
      </c>
      <c r="AH33" s="106">
        <f t="shared" si="34"/>
        <v>0</v>
      </c>
      <c r="AI33" s="106">
        <f t="shared" si="34"/>
        <v>0</v>
      </c>
      <c r="AJ33" s="106">
        <f t="shared" si="34"/>
        <v>2984</v>
      </c>
      <c r="AK33" s="106">
        <f t="shared" si="34"/>
        <v>0</v>
      </c>
      <c r="AL33" s="106">
        <f t="shared" si="34"/>
        <v>0</v>
      </c>
      <c r="AM33" s="106">
        <f t="shared" si="34"/>
        <v>2265.6</v>
      </c>
      <c r="AN33" s="106">
        <f t="shared" si="34"/>
        <v>0</v>
      </c>
      <c r="AO33" s="106">
        <f t="shared" si="34"/>
        <v>0</v>
      </c>
      <c r="AP33" s="106">
        <f t="shared" si="34"/>
        <v>6599.2</v>
      </c>
      <c r="AQ33" s="106">
        <f t="shared" si="34"/>
        <v>0</v>
      </c>
      <c r="AR33" s="106">
        <f t="shared" si="34"/>
        <v>0</v>
      </c>
      <c r="AS33" s="375"/>
      <c r="AT33" s="378"/>
      <c r="AU33" s="121"/>
      <c r="AV33" s="121"/>
      <c r="AW33" s="155"/>
    </row>
    <row r="34" spans="1:49" s="100" customFormat="1" ht="36">
      <c r="A34" s="369"/>
      <c r="B34" s="370"/>
      <c r="C34" s="370"/>
      <c r="D34" s="371"/>
      <c r="E34" s="111" t="s">
        <v>3</v>
      </c>
      <c r="F34" s="106">
        <f>F43</f>
        <v>30600.9</v>
      </c>
      <c r="G34" s="106">
        <f t="shared" ref="G34:AR36" si="36">G43</f>
        <v>0</v>
      </c>
      <c r="H34" s="106">
        <f>G34/F34*100</f>
        <v>0</v>
      </c>
      <c r="I34" s="106">
        <f t="shared" si="36"/>
        <v>0</v>
      </c>
      <c r="J34" s="106">
        <f t="shared" si="36"/>
        <v>0</v>
      </c>
      <c r="K34" s="106" t="e">
        <f t="shared" ref="K34:K35" si="37">J34/I34*100</f>
        <v>#DIV/0!</v>
      </c>
      <c r="L34" s="106">
        <f t="shared" si="36"/>
        <v>2178</v>
      </c>
      <c r="M34" s="106">
        <f t="shared" si="36"/>
        <v>0</v>
      </c>
      <c r="N34" s="106">
        <f t="shared" ref="N34:N35" si="38">M34/L34*100</f>
        <v>0</v>
      </c>
      <c r="O34" s="106">
        <f t="shared" si="36"/>
        <v>1989</v>
      </c>
      <c r="P34" s="106">
        <f t="shared" si="36"/>
        <v>0</v>
      </c>
      <c r="Q34" s="106">
        <f t="shared" ref="Q34:Q35" si="39">P34/O34*100</f>
        <v>0</v>
      </c>
      <c r="R34" s="106">
        <f t="shared" si="36"/>
        <v>3010</v>
      </c>
      <c r="S34" s="106">
        <f t="shared" si="36"/>
        <v>0</v>
      </c>
      <c r="T34" s="106">
        <f t="shared" ref="T34:T35" si="40">S34/R34*100</f>
        <v>0</v>
      </c>
      <c r="U34" s="106">
        <f t="shared" si="36"/>
        <v>2037</v>
      </c>
      <c r="V34" s="106">
        <f t="shared" si="36"/>
        <v>0</v>
      </c>
      <c r="W34" s="106">
        <f t="shared" si="36"/>
        <v>0</v>
      </c>
      <c r="X34" s="106">
        <f t="shared" si="36"/>
        <v>2578</v>
      </c>
      <c r="Y34" s="106">
        <f t="shared" si="36"/>
        <v>0</v>
      </c>
      <c r="Z34" s="106">
        <f t="shared" si="36"/>
        <v>0</v>
      </c>
      <c r="AA34" s="106">
        <f t="shared" si="36"/>
        <v>3526</v>
      </c>
      <c r="AB34" s="106">
        <f t="shared" si="36"/>
        <v>0</v>
      </c>
      <c r="AC34" s="106">
        <f t="shared" si="36"/>
        <v>0</v>
      </c>
      <c r="AD34" s="106">
        <f t="shared" si="36"/>
        <v>2117</v>
      </c>
      <c r="AE34" s="106">
        <f t="shared" si="36"/>
        <v>0</v>
      </c>
      <c r="AF34" s="106">
        <f t="shared" si="35"/>
        <v>0</v>
      </c>
      <c r="AG34" s="106">
        <f t="shared" si="36"/>
        <v>2494</v>
      </c>
      <c r="AH34" s="106">
        <f t="shared" si="36"/>
        <v>0</v>
      </c>
      <c r="AI34" s="106">
        <f t="shared" si="36"/>
        <v>0</v>
      </c>
      <c r="AJ34" s="106">
        <f t="shared" si="36"/>
        <v>2934</v>
      </c>
      <c r="AK34" s="106">
        <f t="shared" si="36"/>
        <v>0</v>
      </c>
      <c r="AL34" s="106">
        <f t="shared" si="36"/>
        <v>0</v>
      </c>
      <c r="AM34" s="106">
        <f t="shared" si="36"/>
        <v>1812</v>
      </c>
      <c r="AN34" s="106">
        <f t="shared" si="36"/>
        <v>0</v>
      </c>
      <c r="AO34" s="106">
        <f t="shared" si="36"/>
        <v>0</v>
      </c>
      <c r="AP34" s="106">
        <f t="shared" si="36"/>
        <v>5925.9</v>
      </c>
      <c r="AQ34" s="106">
        <f t="shared" si="36"/>
        <v>0</v>
      </c>
      <c r="AR34" s="106">
        <f t="shared" si="36"/>
        <v>0</v>
      </c>
      <c r="AS34" s="376"/>
      <c r="AT34" s="379"/>
      <c r="AU34" s="121"/>
      <c r="AV34" s="121"/>
      <c r="AW34" s="155"/>
    </row>
    <row r="35" spans="1:49" s="100" customFormat="1" ht="24">
      <c r="A35" s="369"/>
      <c r="B35" s="370"/>
      <c r="C35" s="370"/>
      <c r="D35" s="371"/>
      <c r="E35" s="111" t="s">
        <v>44</v>
      </c>
      <c r="F35" s="106">
        <f>F44</f>
        <v>3339.8999999999996</v>
      </c>
      <c r="G35" s="106">
        <f t="shared" si="36"/>
        <v>556</v>
      </c>
      <c r="H35" s="106">
        <f>G35/F35*100</f>
        <v>16.647205006137909</v>
      </c>
      <c r="I35" s="106">
        <f t="shared" si="36"/>
        <v>556</v>
      </c>
      <c r="J35" s="106">
        <f t="shared" si="36"/>
        <v>556</v>
      </c>
      <c r="K35" s="106">
        <f t="shared" si="37"/>
        <v>100</v>
      </c>
      <c r="L35" s="106">
        <f t="shared" si="36"/>
        <v>250</v>
      </c>
      <c r="M35" s="106">
        <f t="shared" si="36"/>
        <v>0</v>
      </c>
      <c r="N35" s="106">
        <f t="shared" si="38"/>
        <v>0</v>
      </c>
      <c r="O35" s="106">
        <f t="shared" si="36"/>
        <v>253</v>
      </c>
      <c r="P35" s="106">
        <f t="shared" si="36"/>
        <v>0</v>
      </c>
      <c r="Q35" s="106">
        <f t="shared" si="39"/>
        <v>0</v>
      </c>
      <c r="R35" s="106">
        <f t="shared" si="36"/>
        <v>50</v>
      </c>
      <c r="S35" s="106">
        <f t="shared" si="36"/>
        <v>0</v>
      </c>
      <c r="T35" s="106">
        <f t="shared" si="40"/>
        <v>0</v>
      </c>
      <c r="U35" s="106">
        <f t="shared" si="36"/>
        <v>452</v>
      </c>
      <c r="V35" s="106">
        <f t="shared" si="36"/>
        <v>0</v>
      </c>
      <c r="W35" s="106">
        <f t="shared" si="36"/>
        <v>0</v>
      </c>
      <c r="X35" s="106">
        <f t="shared" si="36"/>
        <v>50</v>
      </c>
      <c r="Y35" s="106">
        <f t="shared" si="36"/>
        <v>0</v>
      </c>
      <c r="Z35" s="106">
        <f t="shared" si="36"/>
        <v>0</v>
      </c>
      <c r="AA35" s="106">
        <f t="shared" si="36"/>
        <v>50</v>
      </c>
      <c r="AB35" s="106">
        <f t="shared" si="36"/>
        <v>0</v>
      </c>
      <c r="AC35" s="106">
        <f t="shared" si="36"/>
        <v>0</v>
      </c>
      <c r="AD35" s="106">
        <f t="shared" si="36"/>
        <v>452</v>
      </c>
      <c r="AE35" s="106">
        <f t="shared" si="36"/>
        <v>0</v>
      </c>
      <c r="AF35" s="106">
        <f t="shared" si="35"/>
        <v>0</v>
      </c>
      <c r="AG35" s="106">
        <f t="shared" si="36"/>
        <v>50</v>
      </c>
      <c r="AH35" s="106">
        <f t="shared" si="36"/>
        <v>0</v>
      </c>
      <c r="AI35" s="106">
        <f t="shared" si="36"/>
        <v>0</v>
      </c>
      <c r="AJ35" s="106">
        <f t="shared" si="36"/>
        <v>50</v>
      </c>
      <c r="AK35" s="106">
        <f t="shared" si="36"/>
        <v>0</v>
      </c>
      <c r="AL35" s="106">
        <f t="shared" si="36"/>
        <v>0</v>
      </c>
      <c r="AM35" s="106">
        <f t="shared" si="36"/>
        <v>453.6</v>
      </c>
      <c r="AN35" s="106">
        <f t="shared" si="36"/>
        <v>0</v>
      </c>
      <c r="AO35" s="106">
        <f t="shared" si="36"/>
        <v>0</v>
      </c>
      <c r="AP35" s="106">
        <f t="shared" si="36"/>
        <v>673.3</v>
      </c>
      <c r="AQ35" s="106">
        <f t="shared" si="36"/>
        <v>0</v>
      </c>
      <c r="AR35" s="106">
        <f t="shared" si="36"/>
        <v>0</v>
      </c>
      <c r="AS35" s="376"/>
      <c r="AT35" s="379"/>
      <c r="AU35" s="121"/>
      <c r="AV35" s="121"/>
      <c r="AW35" s="155"/>
    </row>
    <row r="36" spans="1:49" s="100" customFormat="1" ht="24">
      <c r="A36" s="372"/>
      <c r="B36" s="373"/>
      <c r="C36" s="373"/>
      <c r="D36" s="374"/>
      <c r="E36" s="110" t="s">
        <v>257</v>
      </c>
      <c r="F36" s="106">
        <f>F45</f>
        <v>0</v>
      </c>
      <c r="G36" s="106">
        <f t="shared" si="36"/>
        <v>0</v>
      </c>
      <c r="H36" s="106">
        <v>0</v>
      </c>
      <c r="I36" s="106">
        <f t="shared" si="36"/>
        <v>0</v>
      </c>
      <c r="J36" s="106">
        <f t="shared" si="36"/>
        <v>0</v>
      </c>
      <c r="K36" s="106">
        <v>0</v>
      </c>
      <c r="L36" s="106">
        <f t="shared" si="36"/>
        <v>0</v>
      </c>
      <c r="M36" s="106">
        <f t="shared" si="36"/>
        <v>0</v>
      </c>
      <c r="N36" s="106">
        <v>0</v>
      </c>
      <c r="O36" s="106">
        <f t="shared" si="36"/>
        <v>0</v>
      </c>
      <c r="P36" s="106">
        <f t="shared" si="36"/>
        <v>0</v>
      </c>
      <c r="Q36" s="106">
        <f t="shared" si="36"/>
        <v>0</v>
      </c>
      <c r="R36" s="106">
        <f t="shared" si="36"/>
        <v>0</v>
      </c>
      <c r="S36" s="106">
        <f t="shared" si="36"/>
        <v>0</v>
      </c>
      <c r="T36" s="106">
        <v>0</v>
      </c>
      <c r="U36" s="106">
        <f t="shared" si="36"/>
        <v>0</v>
      </c>
      <c r="V36" s="106">
        <f t="shared" si="36"/>
        <v>0</v>
      </c>
      <c r="W36" s="106">
        <f t="shared" si="36"/>
        <v>0</v>
      </c>
      <c r="X36" s="106">
        <f t="shared" si="36"/>
        <v>0</v>
      </c>
      <c r="Y36" s="106">
        <f t="shared" si="36"/>
        <v>0</v>
      </c>
      <c r="Z36" s="106">
        <f t="shared" si="36"/>
        <v>0</v>
      </c>
      <c r="AA36" s="106">
        <f t="shared" si="36"/>
        <v>0</v>
      </c>
      <c r="AB36" s="106">
        <f t="shared" si="36"/>
        <v>0</v>
      </c>
      <c r="AC36" s="106">
        <f t="shared" si="36"/>
        <v>0</v>
      </c>
      <c r="AD36" s="106">
        <f t="shared" si="36"/>
        <v>0</v>
      </c>
      <c r="AE36" s="106">
        <f t="shared" si="36"/>
        <v>0</v>
      </c>
      <c r="AF36" s="106">
        <f t="shared" si="36"/>
        <v>0</v>
      </c>
      <c r="AG36" s="106">
        <f t="shared" si="36"/>
        <v>0</v>
      </c>
      <c r="AH36" s="106">
        <f t="shared" si="36"/>
        <v>0</v>
      </c>
      <c r="AI36" s="106">
        <f t="shared" si="36"/>
        <v>0</v>
      </c>
      <c r="AJ36" s="106">
        <f t="shared" si="36"/>
        <v>0</v>
      </c>
      <c r="AK36" s="106">
        <f t="shared" si="36"/>
        <v>0</v>
      </c>
      <c r="AL36" s="106">
        <f t="shared" si="36"/>
        <v>0</v>
      </c>
      <c r="AM36" s="106">
        <f t="shared" si="36"/>
        <v>0</v>
      </c>
      <c r="AN36" s="106">
        <f t="shared" si="36"/>
        <v>0</v>
      </c>
      <c r="AO36" s="106">
        <f t="shared" si="36"/>
        <v>0</v>
      </c>
      <c r="AP36" s="106">
        <f t="shared" si="36"/>
        <v>0</v>
      </c>
      <c r="AQ36" s="106">
        <f t="shared" si="36"/>
        <v>0</v>
      </c>
      <c r="AR36" s="106">
        <f t="shared" si="36"/>
        <v>0</v>
      </c>
      <c r="AS36" s="377"/>
      <c r="AT36" s="380"/>
      <c r="AU36" s="121"/>
      <c r="AV36" s="121"/>
      <c r="AW36" s="155"/>
    </row>
    <row r="37" spans="1:49" s="100" customFormat="1" ht="168">
      <c r="A37" s="182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84" t="s">
        <v>351</v>
      </c>
      <c r="B38" s="18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82" t="s">
        <v>355</v>
      </c>
      <c r="B39" s="18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82" t="s">
        <v>359</v>
      </c>
      <c r="B40" s="18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82" t="s">
        <v>361</v>
      </c>
      <c r="B41" s="18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81" t="s">
        <v>365</v>
      </c>
      <c r="B42" s="384" t="s">
        <v>366</v>
      </c>
      <c r="C42" s="387" t="s">
        <v>269</v>
      </c>
      <c r="D42" s="355" t="s">
        <v>367</v>
      </c>
      <c r="E42" s="107" t="s">
        <v>42</v>
      </c>
      <c r="F42" s="123">
        <f>SUM(F43:F45)</f>
        <v>33940.800000000003</v>
      </c>
      <c r="G42" s="123">
        <f t="shared" ref="G42" si="41">SUM(G43:G45)</f>
        <v>556</v>
      </c>
      <c r="H42" s="123">
        <f>G42/F42*100</f>
        <v>1.6381464196483286</v>
      </c>
      <c r="I42" s="132">
        <f>I43+I44+I45</f>
        <v>556</v>
      </c>
      <c r="J42" s="132">
        <f>J43+J44+J45</f>
        <v>556</v>
      </c>
      <c r="K42" s="123">
        <f t="shared" ref="K42:K44" si="42">J42/I42*100</f>
        <v>100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43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4">U43+U44+U45</f>
        <v>2489</v>
      </c>
      <c r="V42" s="132">
        <f t="shared" si="44"/>
        <v>0</v>
      </c>
      <c r="W42" s="132">
        <f>V42/U42*100</f>
        <v>0</v>
      </c>
      <c r="X42" s="132">
        <f t="shared" si="44"/>
        <v>2628</v>
      </c>
      <c r="Y42" s="132">
        <f t="shared" si="44"/>
        <v>0</v>
      </c>
      <c r="Z42" s="132">
        <f>Y42/X42*100</f>
        <v>0</v>
      </c>
      <c r="AA42" s="132">
        <f t="shared" si="44"/>
        <v>3576</v>
      </c>
      <c r="AB42" s="132">
        <f t="shared" si="44"/>
        <v>0</v>
      </c>
      <c r="AC42" s="132">
        <f>AB42/AA42*100</f>
        <v>0</v>
      </c>
      <c r="AD42" s="132">
        <f t="shared" si="44"/>
        <v>2569</v>
      </c>
      <c r="AE42" s="132">
        <f t="shared" si="44"/>
        <v>0</v>
      </c>
      <c r="AF42" s="132">
        <f>AE42/AD42*100</f>
        <v>0</v>
      </c>
      <c r="AG42" s="132">
        <f t="shared" si="44"/>
        <v>2544</v>
      </c>
      <c r="AH42" s="132">
        <f t="shared" si="44"/>
        <v>0</v>
      </c>
      <c r="AI42" s="117">
        <f>AH42/AG42*100</f>
        <v>0</v>
      </c>
      <c r="AJ42" s="132">
        <f t="shared" si="44"/>
        <v>2984</v>
      </c>
      <c r="AK42" s="132">
        <f t="shared" si="44"/>
        <v>0</v>
      </c>
      <c r="AL42" s="132">
        <f t="shared" si="44"/>
        <v>0</v>
      </c>
      <c r="AM42" s="132">
        <f t="shared" si="44"/>
        <v>2265.6</v>
      </c>
      <c r="AN42" s="132">
        <f t="shared" si="44"/>
        <v>0</v>
      </c>
      <c r="AO42" s="132">
        <f t="shared" si="44"/>
        <v>0</v>
      </c>
      <c r="AP42" s="132">
        <f t="shared" si="44"/>
        <v>6599.2</v>
      </c>
      <c r="AQ42" s="104"/>
      <c r="AR42" s="104"/>
      <c r="AS42" s="352" t="s">
        <v>310</v>
      </c>
      <c r="AT42" s="390"/>
      <c r="AU42" s="121"/>
      <c r="AV42" s="121"/>
      <c r="AW42" s="155"/>
    </row>
    <row r="43" spans="1:49" s="31" customFormat="1" ht="36">
      <c r="A43" s="382"/>
      <c r="B43" s="385"/>
      <c r="C43" s="388"/>
      <c r="D43" s="356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42"/>
        <v>#DIV/0!</v>
      </c>
      <c r="L43" s="150">
        <v>2178</v>
      </c>
      <c r="M43" s="123">
        <v>0</v>
      </c>
      <c r="N43" s="138">
        <f t="shared" ref="N43:N44" si="45">M43/L43*100</f>
        <v>0</v>
      </c>
      <c r="O43" s="123">
        <v>1989</v>
      </c>
      <c r="P43" s="123">
        <v>0</v>
      </c>
      <c r="Q43" s="123">
        <f t="shared" si="43"/>
        <v>0</v>
      </c>
      <c r="R43" s="123">
        <v>3010</v>
      </c>
      <c r="S43" s="123">
        <v>0</v>
      </c>
      <c r="T43" s="132">
        <f t="shared" ref="T43:T44" si="46">S43/R43*100</f>
        <v>0</v>
      </c>
      <c r="U43" s="117">
        <v>2037</v>
      </c>
      <c r="V43" s="117">
        <v>0</v>
      </c>
      <c r="W43" s="132">
        <f t="shared" ref="W43:W44" si="47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53"/>
      <c r="AT43" s="391"/>
      <c r="AU43" s="121"/>
      <c r="AV43" s="121"/>
      <c r="AW43" s="155"/>
    </row>
    <row r="44" spans="1:49" s="31" customFormat="1" ht="12.75">
      <c r="A44" s="382"/>
      <c r="B44" s="385"/>
      <c r="C44" s="388"/>
      <c r="D44" s="356"/>
      <c r="E44" s="108" t="s">
        <v>44</v>
      </c>
      <c r="F44" s="123">
        <f t="shared" ref="F44:G45" si="48">I44+L44+O44+R44+U44+X44+AA44+AD44+AG44+AJ44+AM44+AP44</f>
        <v>3339.8999999999996</v>
      </c>
      <c r="G44" s="123">
        <f t="shared" si="48"/>
        <v>556</v>
      </c>
      <c r="H44" s="123">
        <f>G44/F44*100</f>
        <v>16.647205006137909</v>
      </c>
      <c r="I44" s="123">
        <v>556</v>
      </c>
      <c r="J44" s="123">
        <v>556</v>
      </c>
      <c r="K44" s="123">
        <f t="shared" si="42"/>
        <v>100</v>
      </c>
      <c r="L44" s="150">
        <v>250</v>
      </c>
      <c r="M44" s="123">
        <v>0</v>
      </c>
      <c r="N44" s="138">
        <f t="shared" si="45"/>
        <v>0</v>
      </c>
      <c r="O44" s="123">
        <v>253</v>
      </c>
      <c r="P44" s="123">
        <v>0</v>
      </c>
      <c r="Q44" s="123">
        <f t="shared" si="43"/>
        <v>0</v>
      </c>
      <c r="R44" s="123">
        <v>50</v>
      </c>
      <c r="S44" s="123">
        <v>0</v>
      </c>
      <c r="T44" s="132">
        <f t="shared" si="46"/>
        <v>0</v>
      </c>
      <c r="U44" s="117">
        <v>452</v>
      </c>
      <c r="V44" s="117">
        <v>0</v>
      </c>
      <c r="W44" s="132">
        <f t="shared" si="47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53"/>
      <c r="AT44" s="391"/>
      <c r="AU44" s="121"/>
      <c r="AV44" s="121"/>
      <c r="AW44" s="155"/>
    </row>
    <row r="45" spans="1:49" s="31" customFormat="1" ht="24">
      <c r="A45" s="383"/>
      <c r="B45" s="386"/>
      <c r="C45" s="389"/>
      <c r="D45" s="362"/>
      <c r="E45" s="109" t="s">
        <v>257</v>
      </c>
      <c r="F45" s="123">
        <f t="shared" si="48"/>
        <v>0</v>
      </c>
      <c r="G45" s="123">
        <f t="shared" si="48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54"/>
      <c r="AT45" s="392"/>
      <c r="AU45" s="121"/>
      <c r="AV45" s="121"/>
      <c r="AW45" s="155"/>
    </row>
    <row r="46" spans="1:49" s="31" customFormat="1" ht="15.75">
      <c r="A46" s="325" t="s">
        <v>368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7"/>
      <c r="AU46" s="121"/>
      <c r="AV46" s="121"/>
      <c r="AW46" s="155"/>
    </row>
    <row r="47" spans="1:49" s="31" customFormat="1" ht="15.75">
      <c r="A47" s="325" t="s">
        <v>369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7"/>
      <c r="AU47" s="121"/>
      <c r="AV47" s="121"/>
      <c r="AW47" s="155"/>
    </row>
    <row r="48" spans="1:49" s="100" customFormat="1" ht="12.75">
      <c r="A48" s="419" t="s">
        <v>270</v>
      </c>
      <c r="B48" s="420"/>
      <c r="C48" s="420"/>
      <c r="D48" s="421"/>
      <c r="E48" s="202" t="s">
        <v>42</v>
      </c>
      <c r="F48" s="203">
        <f>F49+F50+F51</f>
        <v>599.4</v>
      </c>
      <c r="G48" s="203">
        <f t="shared" ref="G48:AR48" si="49">G49+G50+G51</f>
        <v>0</v>
      </c>
      <c r="H48" s="203">
        <f>G48/F48*100</f>
        <v>0</v>
      </c>
      <c r="I48" s="203">
        <f t="shared" si="49"/>
        <v>0</v>
      </c>
      <c r="J48" s="203">
        <f t="shared" si="49"/>
        <v>0</v>
      </c>
      <c r="K48" s="203">
        <v>0</v>
      </c>
      <c r="L48" s="203">
        <f t="shared" si="49"/>
        <v>0</v>
      </c>
      <c r="M48" s="203">
        <f t="shared" si="49"/>
        <v>0</v>
      </c>
      <c r="N48" s="203">
        <v>0</v>
      </c>
      <c r="O48" s="203">
        <f t="shared" si="49"/>
        <v>119.8</v>
      </c>
      <c r="P48" s="203">
        <f t="shared" si="49"/>
        <v>0</v>
      </c>
      <c r="Q48" s="203">
        <f>P48/O48*100</f>
        <v>0</v>
      </c>
      <c r="R48" s="203">
        <f t="shared" si="49"/>
        <v>0</v>
      </c>
      <c r="S48" s="203">
        <f t="shared" si="49"/>
        <v>0</v>
      </c>
      <c r="T48" s="203">
        <v>0</v>
      </c>
      <c r="U48" s="203">
        <f t="shared" si="49"/>
        <v>0</v>
      </c>
      <c r="V48" s="203">
        <f t="shared" si="49"/>
        <v>0</v>
      </c>
      <c r="W48" s="203">
        <f t="shared" si="49"/>
        <v>0</v>
      </c>
      <c r="X48" s="203">
        <f t="shared" si="49"/>
        <v>179.7</v>
      </c>
      <c r="Y48" s="203">
        <f t="shared" si="49"/>
        <v>0</v>
      </c>
      <c r="Z48" s="203">
        <f t="shared" si="49"/>
        <v>0</v>
      </c>
      <c r="AA48" s="203">
        <f t="shared" si="49"/>
        <v>0</v>
      </c>
      <c r="AB48" s="203">
        <f t="shared" si="49"/>
        <v>0</v>
      </c>
      <c r="AC48" s="203">
        <f t="shared" si="49"/>
        <v>0</v>
      </c>
      <c r="AD48" s="203">
        <f t="shared" si="49"/>
        <v>0</v>
      </c>
      <c r="AE48" s="203">
        <f t="shared" si="49"/>
        <v>0</v>
      </c>
      <c r="AF48" s="203">
        <f t="shared" si="49"/>
        <v>0</v>
      </c>
      <c r="AG48" s="203">
        <f t="shared" si="49"/>
        <v>179.7</v>
      </c>
      <c r="AH48" s="203">
        <f t="shared" si="49"/>
        <v>0</v>
      </c>
      <c r="AI48" s="203">
        <f t="shared" si="49"/>
        <v>0</v>
      </c>
      <c r="AJ48" s="203">
        <f t="shared" si="49"/>
        <v>0</v>
      </c>
      <c r="AK48" s="203">
        <f t="shared" si="49"/>
        <v>0</v>
      </c>
      <c r="AL48" s="203">
        <f t="shared" si="49"/>
        <v>0</v>
      </c>
      <c r="AM48" s="203">
        <f t="shared" si="49"/>
        <v>120.2</v>
      </c>
      <c r="AN48" s="203">
        <f t="shared" si="49"/>
        <v>0</v>
      </c>
      <c r="AO48" s="203">
        <f t="shared" si="49"/>
        <v>0</v>
      </c>
      <c r="AP48" s="203">
        <f t="shared" si="49"/>
        <v>0</v>
      </c>
      <c r="AQ48" s="203">
        <f t="shared" si="49"/>
        <v>0</v>
      </c>
      <c r="AR48" s="203">
        <f t="shared" si="49"/>
        <v>0</v>
      </c>
      <c r="AS48" s="337"/>
      <c r="AT48" s="378"/>
      <c r="AU48" s="121"/>
      <c r="AV48" s="121"/>
      <c r="AW48" s="155"/>
    </row>
    <row r="49" spans="1:49" s="100" customFormat="1" ht="36">
      <c r="A49" s="422"/>
      <c r="B49" s="423"/>
      <c r="C49" s="423"/>
      <c r="D49" s="424"/>
      <c r="E49" s="204" t="s">
        <v>3</v>
      </c>
      <c r="F49" s="203">
        <f>F57</f>
        <v>0</v>
      </c>
      <c r="G49" s="203">
        <f t="shared" ref="G49:AR51" si="50">G57</f>
        <v>0</v>
      </c>
      <c r="H49" s="203">
        <v>0</v>
      </c>
      <c r="I49" s="203">
        <f t="shared" si="50"/>
        <v>0</v>
      </c>
      <c r="J49" s="203">
        <f t="shared" si="50"/>
        <v>0</v>
      </c>
      <c r="K49" s="203">
        <v>0</v>
      </c>
      <c r="L49" s="203">
        <f t="shared" si="50"/>
        <v>0</v>
      </c>
      <c r="M49" s="203">
        <f t="shared" si="50"/>
        <v>0</v>
      </c>
      <c r="N49" s="203">
        <v>0</v>
      </c>
      <c r="O49" s="203">
        <f t="shared" si="50"/>
        <v>0</v>
      </c>
      <c r="P49" s="203">
        <f t="shared" si="50"/>
        <v>0</v>
      </c>
      <c r="Q49" s="203">
        <v>0</v>
      </c>
      <c r="R49" s="203">
        <f t="shared" si="50"/>
        <v>0</v>
      </c>
      <c r="S49" s="203">
        <f t="shared" si="50"/>
        <v>0</v>
      </c>
      <c r="T49" s="203">
        <f t="shared" si="50"/>
        <v>0</v>
      </c>
      <c r="U49" s="203">
        <f t="shared" si="50"/>
        <v>0</v>
      </c>
      <c r="V49" s="203">
        <f t="shared" si="50"/>
        <v>0</v>
      </c>
      <c r="W49" s="203">
        <f t="shared" si="50"/>
        <v>0</v>
      </c>
      <c r="X49" s="203">
        <f t="shared" si="50"/>
        <v>0</v>
      </c>
      <c r="Y49" s="203">
        <f t="shared" si="50"/>
        <v>0</v>
      </c>
      <c r="Z49" s="203">
        <f t="shared" si="50"/>
        <v>0</v>
      </c>
      <c r="AA49" s="203">
        <f t="shared" si="50"/>
        <v>0</v>
      </c>
      <c r="AB49" s="203">
        <f t="shared" si="50"/>
        <v>0</v>
      </c>
      <c r="AC49" s="203">
        <f t="shared" si="50"/>
        <v>0</v>
      </c>
      <c r="AD49" s="203">
        <f t="shared" si="50"/>
        <v>0</v>
      </c>
      <c r="AE49" s="203">
        <f t="shared" si="50"/>
        <v>0</v>
      </c>
      <c r="AF49" s="203">
        <f t="shared" si="50"/>
        <v>0</v>
      </c>
      <c r="AG49" s="203">
        <f t="shared" si="50"/>
        <v>0</v>
      </c>
      <c r="AH49" s="203">
        <f t="shared" si="50"/>
        <v>0</v>
      </c>
      <c r="AI49" s="203">
        <f t="shared" si="50"/>
        <v>0</v>
      </c>
      <c r="AJ49" s="203">
        <f t="shared" si="50"/>
        <v>0</v>
      </c>
      <c r="AK49" s="203">
        <f t="shared" si="50"/>
        <v>0</v>
      </c>
      <c r="AL49" s="203">
        <f t="shared" si="50"/>
        <v>0</v>
      </c>
      <c r="AM49" s="203">
        <f t="shared" si="50"/>
        <v>0</v>
      </c>
      <c r="AN49" s="203">
        <f t="shared" si="50"/>
        <v>0</v>
      </c>
      <c r="AO49" s="203">
        <f t="shared" si="50"/>
        <v>0</v>
      </c>
      <c r="AP49" s="203">
        <f t="shared" si="50"/>
        <v>0</v>
      </c>
      <c r="AQ49" s="203">
        <f t="shared" si="50"/>
        <v>0</v>
      </c>
      <c r="AR49" s="203">
        <f t="shared" si="50"/>
        <v>0</v>
      </c>
      <c r="AS49" s="338"/>
      <c r="AT49" s="379"/>
      <c r="AU49" s="121"/>
      <c r="AV49" s="121"/>
      <c r="AW49" s="155"/>
    </row>
    <row r="50" spans="1:49" s="100" customFormat="1" ht="24">
      <c r="A50" s="422"/>
      <c r="B50" s="423"/>
      <c r="C50" s="423"/>
      <c r="D50" s="424"/>
      <c r="E50" s="204" t="s">
        <v>44</v>
      </c>
      <c r="F50" s="203">
        <f>F58</f>
        <v>599.4</v>
      </c>
      <c r="G50" s="203">
        <f t="shared" si="50"/>
        <v>0</v>
      </c>
      <c r="H50" s="203">
        <f>G50/F50*100</f>
        <v>0</v>
      </c>
      <c r="I50" s="203">
        <f t="shared" si="50"/>
        <v>0</v>
      </c>
      <c r="J50" s="203">
        <f t="shared" si="50"/>
        <v>0</v>
      </c>
      <c r="K50" s="203">
        <v>0</v>
      </c>
      <c r="L50" s="203">
        <f t="shared" si="50"/>
        <v>0</v>
      </c>
      <c r="M50" s="203">
        <f t="shared" si="50"/>
        <v>0</v>
      </c>
      <c r="N50" s="203">
        <v>0</v>
      </c>
      <c r="O50" s="203">
        <f t="shared" si="50"/>
        <v>119.8</v>
      </c>
      <c r="P50" s="203">
        <f t="shared" si="50"/>
        <v>0</v>
      </c>
      <c r="Q50" s="203">
        <f t="shared" ref="Q50" si="51">P50/O50*100</f>
        <v>0</v>
      </c>
      <c r="R50" s="203">
        <f t="shared" si="50"/>
        <v>0</v>
      </c>
      <c r="S50" s="203">
        <f t="shared" si="50"/>
        <v>0</v>
      </c>
      <c r="T50" s="203">
        <f t="shared" si="50"/>
        <v>0</v>
      </c>
      <c r="U50" s="203">
        <f t="shared" si="50"/>
        <v>0</v>
      </c>
      <c r="V50" s="203">
        <f t="shared" si="50"/>
        <v>0</v>
      </c>
      <c r="W50" s="203">
        <f t="shared" si="50"/>
        <v>0</v>
      </c>
      <c r="X50" s="203">
        <f t="shared" si="50"/>
        <v>179.7</v>
      </c>
      <c r="Y50" s="203">
        <f t="shared" si="50"/>
        <v>0</v>
      </c>
      <c r="Z50" s="203">
        <f t="shared" si="50"/>
        <v>0</v>
      </c>
      <c r="AA50" s="203">
        <f t="shared" si="50"/>
        <v>0</v>
      </c>
      <c r="AB50" s="203">
        <f t="shared" si="50"/>
        <v>0</v>
      </c>
      <c r="AC50" s="203">
        <f t="shared" si="50"/>
        <v>0</v>
      </c>
      <c r="AD50" s="203">
        <f t="shared" si="50"/>
        <v>0</v>
      </c>
      <c r="AE50" s="203">
        <f t="shared" si="50"/>
        <v>0</v>
      </c>
      <c r="AF50" s="203">
        <f t="shared" si="50"/>
        <v>0</v>
      </c>
      <c r="AG50" s="203">
        <f t="shared" si="50"/>
        <v>179.7</v>
      </c>
      <c r="AH50" s="203">
        <f t="shared" si="50"/>
        <v>0</v>
      </c>
      <c r="AI50" s="203">
        <f t="shared" si="50"/>
        <v>0</v>
      </c>
      <c r="AJ50" s="203">
        <f t="shared" si="50"/>
        <v>0</v>
      </c>
      <c r="AK50" s="203">
        <f t="shared" si="50"/>
        <v>0</v>
      </c>
      <c r="AL50" s="203">
        <f t="shared" si="50"/>
        <v>0</v>
      </c>
      <c r="AM50" s="203">
        <f t="shared" si="50"/>
        <v>120.2</v>
      </c>
      <c r="AN50" s="203">
        <f t="shared" si="50"/>
        <v>0</v>
      </c>
      <c r="AO50" s="203">
        <f t="shared" si="50"/>
        <v>0</v>
      </c>
      <c r="AP50" s="203">
        <f t="shared" si="50"/>
        <v>0</v>
      </c>
      <c r="AQ50" s="203">
        <f t="shared" si="50"/>
        <v>0</v>
      </c>
      <c r="AR50" s="203">
        <f t="shared" si="50"/>
        <v>0</v>
      </c>
      <c r="AS50" s="338"/>
      <c r="AT50" s="379"/>
      <c r="AU50" s="121"/>
      <c r="AV50" s="121"/>
      <c r="AW50" s="155"/>
    </row>
    <row r="51" spans="1:49" s="100" customFormat="1" ht="24">
      <c r="A51" s="425"/>
      <c r="B51" s="426"/>
      <c r="C51" s="426"/>
      <c r="D51" s="427"/>
      <c r="E51" s="205" t="s">
        <v>257</v>
      </c>
      <c r="F51" s="203">
        <f>F59</f>
        <v>0</v>
      </c>
      <c r="G51" s="203">
        <f t="shared" si="50"/>
        <v>0</v>
      </c>
      <c r="H51" s="203">
        <v>0</v>
      </c>
      <c r="I51" s="203">
        <f t="shared" si="50"/>
        <v>0</v>
      </c>
      <c r="J51" s="203">
        <f t="shared" si="50"/>
        <v>0</v>
      </c>
      <c r="K51" s="203">
        <f t="shared" si="50"/>
        <v>0</v>
      </c>
      <c r="L51" s="203">
        <f t="shared" si="50"/>
        <v>0</v>
      </c>
      <c r="M51" s="203">
        <f t="shared" si="50"/>
        <v>0</v>
      </c>
      <c r="N51" s="203">
        <v>0</v>
      </c>
      <c r="O51" s="203">
        <f t="shared" si="50"/>
        <v>0</v>
      </c>
      <c r="P51" s="203">
        <f t="shared" si="50"/>
        <v>0</v>
      </c>
      <c r="Q51" s="203">
        <f t="shared" si="50"/>
        <v>0</v>
      </c>
      <c r="R51" s="203">
        <f t="shared" si="50"/>
        <v>0</v>
      </c>
      <c r="S51" s="203">
        <f t="shared" si="50"/>
        <v>0</v>
      </c>
      <c r="T51" s="203">
        <f t="shared" si="50"/>
        <v>0</v>
      </c>
      <c r="U51" s="203">
        <f t="shared" si="50"/>
        <v>0</v>
      </c>
      <c r="V51" s="203">
        <f t="shared" si="50"/>
        <v>0</v>
      </c>
      <c r="W51" s="203">
        <f t="shared" si="50"/>
        <v>0</v>
      </c>
      <c r="X51" s="203">
        <f t="shared" si="50"/>
        <v>0</v>
      </c>
      <c r="Y51" s="203">
        <f t="shared" si="50"/>
        <v>0</v>
      </c>
      <c r="Z51" s="203">
        <f t="shared" si="50"/>
        <v>0</v>
      </c>
      <c r="AA51" s="203">
        <f t="shared" si="50"/>
        <v>0</v>
      </c>
      <c r="AB51" s="203">
        <f t="shared" si="50"/>
        <v>0</v>
      </c>
      <c r="AC51" s="203">
        <f t="shared" si="50"/>
        <v>0</v>
      </c>
      <c r="AD51" s="203">
        <f t="shared" si="50"/>
        <v>0</v>
      </c>
      <c r="AE51" s="203">
        <f t="shared" si="50"/>
        <v>0</v>
      </c>
      <c r="AF51" s="203">
        <f t="shared" si="50"/>
        <v>0</v>
      </c>
      <c r="AG51" s="203">
        <f t="shared" si="50"/>
        <v>0</v>
      </c>
      <c r="AH51" s="203">
        <f t="shared" si="50"/>
        <v>0</v>
      </c>
      <c r="AI51" s="203">
        <f t="shared" si="50"/>
        <v>0</v>
      </c>
      <c r="AJ51" s="203">
        <f t="shared" si="50"/>
        <v>0</v>
      </c>
      <c r="AK51" s="203">
        <f t="shared" si="50"/>
        <v>0</v>
      </c>
      <c r="AL51" s="203">
        <f t="shared" si="50"/>
        <v>0</v>
      </c>
      <c r="AM51" s="203">
        <f t="shared" si="50"/>
        <v>0</v>
      </c>
      <c r="AN51" s="203">
        <f t="shared" si="50"/>
        <v>0</v>
      </c>
      <c r="AO51" s="203">
        <f t="shared" si="50"/>
        <v>0</v>
      </c>
      <c r="AP51" s="203">
        <f t="shared" si="50"/>
        <v>0</v>
      </c>
      <c r="AQ51" s="203">
        <f t="shared" si="50"/>
        <v>0</v>
      </c>
      <c r="AR51" s="203">
        <f t="shared" si="50"/>
        <v>0</v>
      </c>
      <c r="AS51" s="339"/>
      <c r="AT51" s="380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311</v>
      </c>
      <c r="AT52" s="198"/>
      <c r="AU52" s="121"/>
      <c r="AV52" s="121"/>
      <c r="AW52" s="155"/>
    </row>
    <row r="53" spans="1:49" s="100" customFormat="1" ht="264">
      <c r="A53" s="199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01" t="s">
        <v>306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200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312</v>
      </c>
      <c r="AT54" s="134"/>
      <c r="AU54" s="121"/>
      <c r="AV54" s="121"/>
      <c r="AW54" s="155"/>
    </row>
    <row r="55" spans="1:49" s="100" customFormat="1" ht="84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313</v>
      </c>
      <c r="AT55" s="134"/>
      <c r="AU55" s="121"/>
      <c r="AV55" s="121"/>
      <c r="AW55" s="155"/>
    </row>
    <row r="56" spans="1:49" s="31" customFormat="1" ht="12.75">
      <c r="A56" s="343" t="s">
        <v>382</v>
      </c>
      <c r="B56" s="384" t="s">
        <v>259</v>
      </c>
      <c r="C56" s="428" t="s">
        <v>271</v>
      </c>
      <c r="D56" s="431" t="s">
        <v>383</v>
      </c>
      <c r="E56" s="107" t="s">
        <v>42</v>
      </c>
      <c r="F56" s="104">
        <f>SUM(F57:F59)</f>
        <v>599.4</v>
      </c>
      <c r="G56" s="104">
        <f t="shared" ref="G56" si="52">SUM(G57:G59)</f>
        <v>0</v>
      </c>
      <c r="H56" s="104">
        <f>G56/F56*100</f>
        <v>0</v>
      </c>
      <c r="I56" s="207">
        <f t="shared" ref="I56:AP56" si="53">I57+I58+I59</f>
        <v>0</v>
      </c>
      <c r="J56" s="207">
        <f t="shared" si="53"/>
        <v>0</v>
      </c>
      <c r="K56" s="104">
        <v>0</v>
      </c>
      <c r="L56" s="207">
        <f t="shared" si="53"/>
        <v>0</v>
      </c>
      <c r="M56" s="207">
        <f t="shared" si="53"/>
        <v>0</v>
      </c>
      <c r="N56" s="207">
        <v>0</v>
      </c>
      <c r="O56" s="207">
        <f t="shared" si="53"/>
        <v>119.8</v>
      </c>
      <c r="P56" s="207">
        <f t="shared" si="53"/>
        <v>0</v>
      </c>
      <c r="Q56" s="104">
        <f t="shared" ref="Q56:Q58" si="54">P56/O56*100</f>
        <v>0</v>
      </c>
      <c r="R56" s="207">
        <f t="shared" si="53"/>
        <v>0</v>
      </c>
      <c r="S56" s="207">
        <f t="shared" si="53"/>
        <v>0</v>
      </c>
      <c r="T56" s="207">
        <f t="shared" si="53"/>
        <v>0</v>
      </c>
      <c r="U56" s="207">
        <f t="shared" si="53"/>
        <v>0</v>
      </c>
      <c r="V56" s="207">
        <f t="shared" si="53"/>
        <v>0</v>
      </c>
      <c r="W56" s="104">
        <v>0</v>
      </c>
      <c r="X56" s="207">
        <f t="shared" si="53"/>
        <v>179.7</v>
      </c>
      <c r="Y56" s="207">
        <f t="shared" si="53"/>
        <v>0</v>
      </c>
      <c r="Z56" s="207">
        <f t="shared" si="53"/>
        <v>0</v>
      </c>
      <c r="AA56" s="207">
        <f t="shared" si="53"/>
        <v>0</v>
      </c>
      <c r="AB56" s="207">
        <f t="shared" si="53"/>
        <v>0</v>
      </c>
      <c r="AC56" s="207">
        <f t="shared" si="53"/>
        <v>0</v>
      </c>
      <c r="AD56" s="207">
        <f t="shared" si="53"/>
        <v>0</v>
      </c>
      <c r="AE56" s="207">
        <f t="shared" si="53"/>
        <v>0</v>
      </c>
      <c r="AF56" s="207">
        <f t="shared" si="53"/>
        <v>0</v>
      </c>
      <c r="AG56" s="207">
        <f t="shared" si="53"/>
        <v>179.7</v>
      </c>
      <c r="AH56" s="207">
        <f t="shared" si="53"/>
        <v>0</v>
      </c>
      <c r="AI56" s="105">
        <f>AH56/AG56*100</f>
        <v>0</v>
      </c>
      <c r="AJ56" s="207">
        <f t="shared" si="53"/>
        <v>0</v>
      </c>
      <c r="AK56" s="207">
        <f t="shared" si="53"/>
        <v>0</v>
      </c>
      <c r="AL56" s="207">
        <f t="shared" si="53"/>
        <v>0</v>
      </c>
      <c r="AM56" s="207">
        <f t="shared" si="53"/>
        <v>120.2</v>
      </c>
      <c r="AN56" s="207">
        <f t="shared" si="53"/>
        <v>0</v>
      </c>
      <c r="AO56" s="207">
        <f t="shared" si="53"/>
        <v>0</v>
      </c>
      <c r="AP56" s="207">
        <f t="shared" si="53"/>
        <v>0</v>
      </c>
      <c r="AQ56" s="104"/>
      <c r="AR56" s="104"/>
      <c r="AS56" s="397" t="s">
        <v>314</v>
      </c>
      <c r="AT56" s="416"/>
      <c r="AU56" s="121"/>
      <c r="AV56" s="121"/>
      <c r="AW56" s="155"/>
    </row>
    <row r="57" spans="1:49" s="31" customFormat="1" ht="36">
      <c r="A57" s="344"/>
      <c r="B57" s="385"/>
      <c r="C57" s="429"/>
      <c r="D57" s="432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98"/>
      <c r="AT57" s="417"/>
      <c r="AU57" s="121"/>
      <c r="AV57" s="121"/>
      <c r="AW57" s="155"/>
    </row>
    <row r="58" spans="1:49" s="31" customFormat="1" ht="12.75">
      <c r="A58" s="344"/>
      <c r="B58" s="385"/>
      <c r="C58" s="429"/>
      <c r="D58" s="432"/>
      <c r="E58" s="108" t="s">
        <v>44</v>
      </c>
      <c r="F58" s="104">
        <f t="shared" ref="F58:G59" si="55">I58+L58+O58+R58+U58+X58+AA58+AD58+AG58+AJ58+AM58+AP58</f>
        <v>599.4</v>
      </c>
      <c r="G58" s="104">
        <f t="shared" si="55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v>119.8</v>
      </c>
      <c r="P58" s="104">
        <v>0</v>
      </c>
      <c r="Q58" s="104">
        <f t="shared" si="54"/>
        <v>0</v>
      </c>
      <c r="R58" s="104">
        <v>0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98"/>
      <c r="AT58" s="417"/>
      <c r="AU58" s="121"/>
      <c r="AV58" s="121"/>
      <c r="AW58" s="155"/>
    </row>
    <row r="59" spans="1:49" s="31" customFormat="1" ht="24">
      <c r="A59" s="345"/>
      <c r="B59" s="386"/>
      <c r="C59" s="430"/>
      <c r="D59" s="433"/>
      <c r="E59" s="109" t="s">
        <v>257</v>
      </c>
      <c r="F59" s="104">
        <f t="shared" si="55"/>
        <v>0</v>
      </c>
      <c r="G59" s="104">
        <f t="shared" si="55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99"/>
      <c r="AT59" s="418"/>
      <c r="AU59" s="121"/>
      <c r="AV59" s="121"/>
      <c r="AW59" s="155"/>
    </row>
    <row r="60" spans="1:49" s="31" customFormat="1" ht="15.75">
      <c r="A60" s="325" t="s">
        <v>384</v>
      </c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7"/>
      <c r="AU60" s="121"/>
      <c r="AV60" s="121"/>
      <c r="AW60" s="155"/>
    </row>
    <row r="61" spans="1:49" s="31" customFormat="1" ht="15.75">
      <c r="A61" s="325" t="s">
        <v>385</v>
      </c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7"/>
      <c r="AU61" s="121"/>
      <c r="AV61" s="121"/>
      <c r="AW61" s="155"/>
    </row>
    <row r="62" spans="1:49" s="100" customFormat="1" ht="12.75">
      <c r="A62" s="366" t="s">
        <v>272</v>
      </c>
      <c r="B62" s="367"/>
      <c r="C62" s="367"/>
      <c r="D62" s="368"/>
      <c r="E62" s="129" t="s">
        <v>42</v>
      </c>
      <c r="F62" s="106">
        <f>F63+F64+F65</f>
        <v>10628.100000000002</v>
      </c>
      <c r="G62" s="106">
        <f t="shared" ref="G62:AP62" si="56">G63+G64+G65</f>
        <v>0</v>
      </c>
      <c r="H62" s="106">
        <f>G62/F62*100</f>
        <v>0</v>
      </c>
      <c r="I62" s="106">
        <f t="shared" si="56"/>
        <v>0</v>
      </c>
      <c r="J62" s="106">
        <f t="shared" si="56"/>
        <v>0</v>
      </c>
      <c r="K62" s="106">
        <v>0</v>
      </c>
      <c r="L62" s="106">
        <f t="shared" si="56"/>
        <v>2337.5</v>
      </c>
      <c r="M62" s="106">
        <f t="shared" si="56"/>
        <v>0</v>
      </c>
      <c r="N62" s="106">
        <f t="shared" si="56"/>
        <v>0</v>
      </c>
      <c r="O62" s="106">
        <f t="shared" si="56"/>
        <v>2141.4</v>
      </c>
      <c r="P62" s="106">
        <f t="shared" si="56"/>
        <v>0</v>
      </c>
      <c r="Q62" s="106">
        <f>P62/O62*100</f>
        <v>0</v>
      </c>
      <c r="R62" s="106">
        <f t="shared" si="56"/>
        <v>328.59999999999997</v>
      </c>
      <c r="S62" s="106">
        <f t="shared" si="56"/>
        <v>0</v>
      </c>
      <c r="T62" s="106">
        <f>S62/R62*100</f>
        <v>0</v>
      </c>
      <c r="U62" s="106">
        <f t="shared" si="56"/>
        <v>1220.6000000000001</v>
      </c>
      <c r="V62" s="106">
        <f t="shared" si="56"/>
        <v>0</v>
      </c>
      <c r="W62" s="106">
        <f t="shared" si="56"/>
        <v>0</v>
      </c>
      <c r="X62" s="106">
        <f t="shared" si="56"/>
        <v>1288.6000000000001</v>
      </c>
      <c r="Y62" s="106">
        <f t="shared" si="56"/>
        <v>0</v>
      </c>
      <c r="Z62" s="106">
        <f t="shared" si="56"/>
        <v>0</v>
      </c>
      <c r="AA62" s="106">
        <f t="shared" si="56"/>
        <v>1075.6000000000001</v>
      </c>
      <c r="AB62" s="106">
        <f t="shared" si="56"/>
        <v>0</v>
      </c>
      <c r="AC62" s="106">
        <f t="shared" si="56"/>
        <v>0</v>
      </c>
      <c r="AD62" s="106">
        <f t="shared" si="56"/>
        <v>150.6</v>
      </c>
      <c r="AE62" s="106">
        <f t="shared" si="56"/>
        <v>0</v>
      </c>
      <c r="AF62" s="106">
        <f t="shared" ref="AF62" si="57">AE62/AD62*100</f>
        <v>0</v>
      </c>
      <c r="AG62" s="106">
        <f t="shared" si="56"/>
        <v>200.6</v>
      </c>
      <c r="AH62" s="106">
        <f t="shared" si="56"/>
        <v>0</v>
      </c>
      <c r="AI62" s="106">
        <f t="shared" si="56"/>
        <v>0</v>
      </c>
      <c r="AJ62" s="106">
        <f t="shared" si="56"/>
        <v>162.6</v>
      </c>
      <c r="AK62" s="106">
        <f t="shared" si="56"/>
        <v>0</v>
      </c>
      <c r="AL62" s="106">
        <f t="shared" si="56"/>
        <v>0</v>
      </c>
      <c r="AM62" s="106">
        <f t="shared" si="56"/>
        <v>1350.0000000000002</v>
      </c>
      <c r="AN62" s="106">
        <f t="shared" si="56"/>
        <v>0</v>
      </c>
      <c r="AO62" s="106">
        <f t="shared" si="56"/>
        <v>0</v>
      </c>
      <c r="AP62" s="106">
        <f t="shared" si="56"/>
        <v>372</v>
      </c>
      <c r="AQ62" s="106">
        <f>AQ92+AQ100</f>
        <v>0</v>
      </c>
      <c r="AR62" s="106">
        <f>AR92+AR100</f>
        <v>0</v>
      </c>
      <c r="AS62" s="337"/>
      <c r="AT62" s="378"/>
      <c r="AU62" s="121"/>
      <c r="AV62" s="121"/>
      <c r="AW62" s="155"/>
    </row>
    <row r="63" spans="1:49" s="100" customFormat="1" ht="36">
      <c r="A63" s="369"/>
      <c r="B63" s="370"/>
      <c r="C63" s="370"/>
      <c r="D63" s="371"/>
      <c r="E63" s="111" t="s">
        <v>3</v>
      </c>
      <c r="F63" s="106">
        <f>F70+F74+F78</f>
        <v>0</v>
      </c>
      <c r="G63" s="106">
        <f t="shared" ref="G63:AR65" si="58">G70+G74+G78</f>
        <v>0</v>
      </c>
      <c r="H63" s="106">
        <v>0</v>
      </c>
      <c r="I63" s="106">
        <f t="shared" si="58"/>
        <v>0</v>
      </c>
      <c r="J63" s="106">
        <f t="shared" si="58"/>
        <v>0</v>
      </c>
      <c r="K63" s="106">
        <v>0</v>
      </c>
      <c r="L63" s="106">
        <f t="shared" si="58"/>
        <v>0</v>
      </c>
      <c r="M63" s="106">
        <f t="shared" si="58"/>
        <v>0</v>
      </c>
      <c r="N63" s="106">
        <f t="shared" si="58"/>
        <v>0</v>
      </c>
      <c r="O63" s="106">
        <f t="shared" si="58"/>
        <v>0</v>
      </c>
      <c r="P63" s="106">
        <f t="shared" si="58"/>
        <v>0</v>
      </c>
      <c r="Q63" s="106">
        <v>0</v>
      </c>
      <c r="R63" s="106">
        <f t="shared" si="58"/>
        <v>0</v>
      </c>
      <c r="S63" s="106">
        <f t="shared" si="58"/>
        <v>0</v>
      </c>
      <c r="T63" s="106">
        <v>0</v>
      </c>
      <c r="U63" s="106">
        <f t="shared" si="58"/>
        <v>0</v>
      </c>
      <c r="V63" s="106">
        <f t="shared" si="58"/>
        <v>0</v>
      </c>
      <c r="W63" s="106">
        <f t="shared" si="58"/>
        <v>0</v>
      </c>
      <c r="X63" s="106">
        <f t="shared" si="58"/>
        <v>0</v>
      </c>
      <c r="Y63" s="106">
        <f t="shared" si="58"/>
        <v>0</v>
      </c>
      <c r="Z63" s="106">
        <f t="shared" si="58"/>
        <v>0</v>
      </c>
      <c r="AA63" s="106">
        <f t="shared" si="58"/>
        <v>0</v>
      </c>
      <c r="AB63" s="106">
        <f t="shared" si="58"/>
        <v>0</v>
      </c>
      <c r="AC63" s="106">
        <f t="shared" si="58"/>
        <v>0</v>
      </c>
      <c r="AD63" s="106">
        <f t="shared" si="58"/>
        <v>0</v>
      </c>
      <c r="AE63" s="106">
        <f t="shared" si="58"/>
        <v>0</v>
      </c>
      <c r="AF63" s="106">
        <f t="shared" si="58"/>
        <v>0</v>
      </c>
      <c r="AG63" s="106">
        <f t="shared" si="58"/>
        <v>0</v>
      </c>
      <c r="AH63" s="106">
        <f t="shared" si="58"/>
        <v>0</v>
      </c>
      <c r="AI63" s="106">
        <f t="shared" si="58"/>
        <v>0</v>
      </c>
      <c r="AJ63" s="106">
        <f t="shared" si="58"/>
        <v>0</v>
      </c>
      <c r="AK63" s="106">
        <f t="shared" si="58"/>
        <v>0</v>
      </c>
      <c r="AL63" s="106">
        <f t="shared" si="58"/>
        <v>0</v>
      </c>
      <c r="AM63" s="106">
        <f t="shared" si="58"/>
        <v>0</v>
      </c>
      <c r="AN63" s="106">
        <f t="shared" si="58"/>
        <v>0</v>
      </c>
      <c r="AO63" s="106">
        <f t="shared" si="58"/>
        <v>0</v>
      </c>
      <c r="AP63" s="106">
        <f t="shared" si="58"/>
        <v>0</v>
      </c>
      <c r="AQ63" s="106">
        <f t="shared" si="58"/>
        <v>0</v>
      </c>
      <c r="AR63" s="106">
        <f t="shared" si="58"/>
        <v>0</v>
      </c>
      <c r="AS63" s="338"/>
      <c r="AT63" s="379"/>
      <c r="AU63" s="121"/>
      <c r="AV63" s="121"/>
      <c r="AW63" s="155"/>
    </row>
    <row r="64" spans="1:49" s="100" customFormat="1" ht="24">
      <c r="A64" s="369"/>
      <c r="B64" s="370"/>
      <c r="C64" s="370"/>
      <c r="D64" s="371"/>
      <c r="E64" s="111" t="s">
        <v>44</v>
      </c>
      <c r="F64" s="106">
        <f>F71+F75+F79</f>
        <v>10628.100000000002</v>
      </c>
      <c r="G64" s="106">
        <f t="shared" si="58"/>
        <v>0</v>
      </c>
      <c r="H64" s="106">
        <f>G64/F64*100</f>
        <v>0</v>
      </c>
      <c r="I64" s="106">
        <f t="shared" si="58"/>
        <v>0</v>
      </c>
      <c r="J64" s="106">
        <f t="shared" si="58"/>
        <v>0</v>
      </c>
      <c r="K64" s="106">
        <v>0</v>
      </c>
      <c r="L64" s="106">
        <f t="shared" si="58"/>
        <v>2337.5</v>
      </c>
      <c r="M64" s="106">
        <f t="shared" si="58"/>
        <v>0</v>
      </c>
      <c r="N64" s="106">
        <f t="shared" si="58"/>
        <v>0</v>
      </c>
      <c r="O64" s="106">
        <f t="shared" si="58"/>
        <v>2141.4</v>
      </c>
      <c r="P64" s="106">
        <f t="shared" si="58"/>
        <v>0</v>
      </c>
      <c r="Q64" s="106">
        <f t="shared" ref="Q64" si="59">P64/O64*100</f>
        <v>0</v>
      </c>
      <c r="R64" s="106">
        <f t="shared" si="58"/>
        <v>328.59999999999997</v>
      </c>
      <c r="S64" s="106">
        <f t="shared" si="58"/>
        <v>0</v>
      </c>
      <c r="T64" s="106">
        <f t="shared" ref="T64" si="60">S64/R64*100</f>
        <v>0</v>
      </c>
      <c r="U64" s="106">
        <f t="shared" si="58"/>
        <v>1220.6000000000001</v>
      </c>
      <c r="V64" s="106">
        <f t="shared" si="58"/>
        <v>0</v>
      </c>
      <c r="W64" s="106">
        <f t="shared" si="58"/>
        <v>0</v>
      </c>
      <c r="X64" s="106">
        <f t="shared" si="58"/>
        <v>1288.6000000000001</v>
      </c>
      <c r="Y64" s="106">
        <f t="shared" si="58"/>
        <v>0</v>
      </c>
      <c r="Z64" s="106">
        <f t="shared" si="58"/>
        <v>0</v>
      </c>
      <c r="AA64" s="106">
        <f t="shared" si="58"/>
        <v>1075.6000000000001</v>
      </c>
      <c r="AB64" s="106">
        <f t="shared" si="58"/>
        <v>0</v>
      </c>
      <c r="AC64" s="106">
        <f t="shared" si="58"/>
        <v>0</v>
      </c>
      <c r="AD64" s="106">
        <f t="shared" si="58"/>
        <v>150.6</v>
      </c>
      <c r="AE64" s="106">
        <f t="shared" si="58"/>
        <v>0</v>
      </c>
      <c r="AF64" s="106">
        <f t="shared" ref="AF64" si="61">AE64/AD64*100</f>
        <v>0</v>
      </c>
      <c r="AG64" s="106">
        <f t="shared" si="58"/>
        <v>200.6</v>
      </c>
      <c r="AH64" s="106">
        <f t="shared" si="58"/>
        <v>0</v>
      </c>
      <c r="AI64" s="106">
        <f t="shared" si="58"/>
        <v>0</v>
      </c>
      <c r="AJ64" s="106">
        <f t="shared" si="58"/>
        <v>162.6</v>
      </c>
      <c r="AK64" s="106">
        <f t="shared" si="58"/>
        <v>0</v>
      </c>
      <c r="AL64" s="106">
        <f t="shared" si="58"/>
        <v>0</v>
      </c>
      <c r="AM64" s="106">
        <f t="shared" si="58"/>
        <v>1350.0000000000002</v>
      </c>
      <c r="AN64" s="106">
        <f t="shared" si="58"/>
        <v>0</v>
      </c>
      <c r="AO64" s="106">
        <f t="shared" si="58"/>
        <v>0</v>
      </c>
      <c r="AP64" s="106">
        <f t="shared" si="58"/>
        <v>372</v>
      </c>
      <c r="AQ64" s="106">
        <f t="shared" si="58"/>
        <v>0</v>
      </c>
      <c r="AR64" s="106">
        <f t="shared" si="58"/>
        <v>0</v>
      </c>
      <c r="AS64" s="338"/>
      <c r="AT64" s="379"/>
      <c r="AU64" s="121"/>
      <c r="AV64" s="121"/>
      <c r="AW64" s="155"/>
    </row>
    <row r="65" spans="1:49" s="100" customFormat="1" ht="24">
      <c r="A65" s="372"/>
      <c r="B65" s="373"/>
      <c r="C65" s="373"/>
      <c r="D65" s="374"/>
      <c r="E65" s="110" t="s">
        <v>257</v>
      </c>
      <c r="F65" s="106">
        <f>F72+F76+F80</f>
        <v>0</v>
      </c>
      <c r="G65" s="106">
        <f t="shared" si="58"/>
        <v>0</v>
      </c>
      <c r="H65" s="106">
        <v>0</v>
      </c>
      <c r="I65" s="106">
        <f t="shared" si="58"/>
        <v>0</v>
      </c>
      <c r="J65" s="106">
        <f t="shared" si="58"/>
        <v>0</v>
      </c>
      <c r="K65" s="106">
        <v>0</v>
      </c>
      <c r="L65" s="106">
        <f t="shared" si="58"/>
        <v>0</v>
      </c>
      <c r="M65" s="106">
        <f t="shared" si="58"/>
        <v>0</v>
      </c>
      <c r="N65" s="106">
        <f t="shared" si="58"/>
        <v>0</v>
      </c>
      <c r="O65" s="106">
        <f t="shared" si="58"/>
        <v>0</v>
      </c>
      <c r="P65" s="106">
        <f t="shared" si="58"/>
        <v>0</v>
      </c>
      <c r="Q65" s="106">
        <v>0</v>
      </c>
      <c r="R65" s="106">
        <f t="shared" si="58"/>
        <v>0</v>
      </c>
      <c r="S65" s="106">
        <f t="shared" si="58"/>
        <v>0</v>
      </c>
      <c r="T65" s="106">
        <v>0</v>
      </c>
      <c r="U65" s="106">
        <f t="shared" si="58"/>
        <v>0</v>
      </c>
      <c r="V65" s="106">
        <f t="shared" si="58"/>
        <v>0</v>
      </c>
      <c r="W65" s="106">
        <f t="shared" si="58"/>
        <v>0</v>
      </c>
      <c r="X65" s="106">
        <f t="shared" si="58"/>
        <v>0</v>
      </c>
      <c r="Y65" s="106">
        <f t="shared" si="58"/>
        <v>0</v>
      </c>
      <c r="Z65" s="106">
        <f t="shared" si="58"/>
        <v>0</v>
      </c>
      <c r="AA65" s="106">
        <f t="shared" si="58"/>
        <v>0</v>
      </c>
      <c r="AB65" s="106">
        <f t="shared" si="58"/>
        <v>0</v>
      </c>
      <c r="AC65" s="106">
        <f t="shared" si="58"/>
        <v>0</v>
      </c>
      <c r="AD65" s="106">
        <f t="shared" si="58"/>
        <v>0</v>
      </c>
      <c r="AE65" s="106">
        <f t="shared" si="58"/>
        <v>0</v>
      </c>
      <c r="AF65" s="106">
        <f t="shared" si="58"/>
        <v>0</v>
      </c>
      <c r="AG65" s="106">
        <f t="shared" si="58"/>
        <v>0</v>
      </c>
      <c r="AH65" s="106">
        <f t="shared" si="58"/>
        <v>0</v>
      </c>
      <c r="AI65" s="106">
        <f t="shared" si="58"/>
        <v>0</v>
      </c>
      <c r="AJ65" s="106">
        <f t="shared" si="58"/>
        <v>0</v>
      </c>
      <c r="AK65" s="106">
        <f t="shared" si="58"/>
        <v>0</v>
      </c>
      <c r="AL65" s="106">
        <f t="shared" si="58"/>
        <v>0</v>
      </c>
      <c r="AM65" s="106">
        <f t="shared" si="58"/>
        <v>0</v>
      </c>
      <c r="AN65" s="106">
        <f t="shared" si="58"/>
        <v>0</v>
      </c>
      <c r="AO65" s="106">
        <f t="shared" si="58"/>
        <v>0</v>
      </c>
      <c r="AP65" s="106">
        <f t="shared" si="58"/>
        <v>0</v>
      </c>
      <c r="AQ65" s="106">
        <f t="shared" si="58"/>
        <v>0</v>
      </c>
      <c r="AR65" s="106">
        <f t="shared" si="58"/>
        <v>0</v>
      </c>
      <c r="AS65" s="339"/>
      <c r="AT65" s="380"/>
      <c r="AU65" s="121"/>
      <c r="AV65" s="121"/>
      <c r="AW65" s="155"/>
    </row>
    <row r="66" spans="1:49" s="100" customFormat="1" ht="144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32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93" t="s">
        <v>395</v>
      </c>
      <c r="B69" s="346" t="s">
        <v>396</v>
      </c>
      <c r="C69" s="349" t="s">
        <v>277</v>
      </c>
      <c r="D69" s="355" t="s">
        <v>397</v>
      </c>
      <c r="E69" s="107" t="s">
        <v>42</v>
      </c>
      <c r="F69" s="123">
        <f>SUM(F70:F72)</f>
        <v>1612.1</v>
      </c>
      <c r="G69" s="123">
        <f t="shared" ref="G69" si="62">SUM(G70:G72)</f>
        <v>0</v>
      </c>
      <c r="H69" s="123">
        <f>G69/F69*100</f>
        <v>0</v>
      </c>
      <c r="I69" s="138">
        <f t="shared" ref="I69:AP69" si="63">I70+I71+I72</f>
        <v>0</v>
      </c>
      <c r="J69" s="138">
        <f t="shared" si="63"/>
        <v>0</v>
      </c>
      <c r="K69" s="123">
        <v>0</v>
      </c>
      <c r="L69" s="138">
        <f t="shared" si="63"/>
        <v>61.4</v>
      </c>
      <c r="M69" s="132">
        <f t="shared" si="63"/>
        <v>0</v>
      </c>
      <c r="N69" s="132">
        <f>M69/L69*100</f>
        <v>0</v>
      </c>
      <c r="O69" s="132">
        <f t="shared" si="63"/>
        <v>207.4</v>
      </c>
      <c r="P69" s="132">
        <f t="shared" si="63"/>
        <v>0</v>
      </c>
      <c r="Q69" s="123">
        <f t="shared" ref="Q69:Q79" si="64">P69/O69*100</f>
        <v>0</v>
      </c>
      <c r="R69" s="132">
        <f t="shared" si="63"/>
        <v>61.4</v>
      </c>
      <c r="S69" s="132">
        <f t="shared" si="63"/>
        <v>0</v>
      </c>
      <c r="T69" s="132">
        <f>S69/R69*100</f>
        <v>0</v>
      </c>
      <c r="U69" s="138">
        <f t="shared" si="63"/>
        <v>61.4</v>
      </c>
      <c r="V69" s="138">
        <f t="shared" si="63"/>
        <v>0</v>
      </c>
      <c r="W69" s="132">
        <f t="shared" ref="W69" si="65">V69/U69*100</f>
        <v>0</v>
      </c>
      <c r="X69" s="132">
        <f t="shared" si="63"/>
        <v>61.4</v>
      </c>
      <c r="Y69" s="132">
        <f t="shared" si="63"/>
        <v>0</v>
      </c>
      <c r="Z69" s="132">
        <f t="shared" ref="Z69" si="66">Y69/X69*100</f>
        <v>0</v>
      </c>
      <c r="AA69" s="132">
        <f t="shared" si="63"/>
        <v>61.4</v>
      </c>
      <c r="AB69" s="132">
        <f t="shared" si="63"/>
        <v>0</v>
      </c>
      <c r="AC69" s="132">
        <f t="shared" ref="AC69" si="67">AB69/AA69*100</f>
        <v>0</v>
      </c>
      <c r="AD69" s="132">
        <f t="shared" si="63"/>
        <v>61.4</v>
      </c>
      <c r="AE69" s="138">
        <f t="shared" si="63"/>
        <v>0</v>
      </c>
      <c r="AF69" s="104">
        <f t="shared" ref="AF69" si="68">AE69/AD69*100</f>
        <v>0</v>
      </c>
      <c r="AG69" s="138">
        <f t="shared" si="63"/>
        <v>61.4</v>
      </c>
      <c r="AH69" s="138">
        <f t="shared" si="63"/>
        <v>0</v>
      </c>
      <c r="AI69" s="132">
        <f t="shared" ref="AI69" si="69">AH69/AG69*100</f>
        <v>0</v>
      </c>
      <c r="AJ69" s="138">
        <f t="shared" si="63"/>
        <v>61.4</v>
      </c>
      <c r="AK69" s="138">
        <f t="shared" si="63"/>
        <v>0</v>
      </c>
      <c r="AL69" s="138">
        <f t="shared" si="63"/>
        <v>0</v>
      </c>
      <c r="AM69" s="138">
        <f t="shared" si="63"/>
        <v>790.7</v>
      </c>
      <c r="AN69" s="138">
        <f t="shared" si="63"/>
        <v>0</v>
      </c>
      <c r="AO69" s="138">
        <f t="shared" si="63"/>
        <v>0</v>
      </c>
      <c r="AP69" s="138">
        <f t="shared" si="63"/>
        <v>122.8</v>
      </c>
      <c r="AQ69" s="104"/>
      <c r="AR69" s="104"/>
      <c r="AS69" s="352" t="s">
        <v>317</v>
      </c>
      <c r="AT69" s="357"/>
      <c r="AU69" s="121"/>
      <c r="AV69" s="121"/>
      <c r="AW69" s="155"/>
    </row>
    <row r="70" spans="1:49" s="31" customFormat="1" ht="36">
      <c r="A70" s="394"/>
      <c r="B70" s="347"/>
      <c r="C70" s="350"/>
      <c r="D70" s="356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53"/>
      <c r="AT70" s="358"/>
      <c r="AU70" s="121"/>
      <c r="AV70" s="121"/>
      <c r="AW70" s="155"/>
    </row>
    <row r="71" spans="1:49" s="31" customFormat="1" ht="12.75">
      <c r="A71" s="394"/>
      <c r="B71" s="347"/>
      <c r="C71" s="350"/>
      <c r="D71" s="356"/>
      <c r="E71" s="108" t="s">
        <v>44</v>
      </c>
      <c r="F71" s="123">
        <f t="shared" ref="F71:G72" si="70">I71+L71+O71+R71+U71+X71+AA71+AD71+AG71+AJ71+AM71+AP71</f>
        <v>1612.1</v>
      </c>
      <c r="G71" s="123">
        <f t="shared" si="70"/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71">M71/L71*100</f>
        <v>0</v>
      </c>
      <c r="O71" s="123">
        <v>207.4</v>
      </c>
      <c r="P71" s="123">
        <v>0</v>
      </c>
      <c r="Q71" s="123">
        <f t="shared" si="64"/>
        <v>0</v>
      </c>
      <c r="R71" s="123">
        <v>61.4</v>
      </c>
      <c r="S71" s="123">
        <v>0</v>
      </c>
      <c r="T71" s="132">
        <f t="shared" ref="T71:T79" si="72">S71/R71*100</f>
        <v>0</v>
      </c>
      <c r="U71" s="117">
        <v>61.4</v>
      </c>
      <c r="V71" s="117">
        <v>0</v>
      </c>
      <c r="W71" s="132">
        <f t="shared" ref="W71" si="73">V71/U71*100</f>
        <v>0</v>
      </c>
      <c r="X71" s="117">
        <v>61.4</v>
      </c>
      <c r="Y71" s="117">
        <v>0</v>
      </c>
      <c r="Z71" s="132">
        <f t="shared" ref="Z71" si="74">Y71/X71*100</f>
        <v>0</v>
      </c>
      <c r="AA71" s="117">
        <v>61.4</v>
      </c>
      <c r="AB71" s="117">
        <v>0</v>
      </c>
      <c r="AC71" s="132">
        <f t="shared" ref="AC71" si="75">AB71/AA71*100</f>
        <v>0</v>
      </c>
      <c r="AD71" s="117">
        <v>61.4</v>
      </c>
      <c r="AE71" s="117">
        <v>0</v>
      </c>
      <c r="AF71" s="132">
        <f t="shared" ref="AF71" si="76">AE71/AD71*100</f>
        <v>0</v>
      </c>
      <c r="AG71" s="117">
        <v>61.4</v>
      </c>
      <c r="AH71" s="117">
        <v>0</v>
      </c>
      <c r="AI71" s="132">
        <f t="shared" ref="AI71" si="77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53"/>
      <c r="AT71" s="358"/>
      <c r="AU71" s="121"/>
      <c r="AV71" s="121"/>
      <c r="AW71" s="155"/>
    </row>
    <row r="72" spans="1:49" s="31" customFormat="1" ht="24">
      <c r="A72" s="395"/>
      <c r="B72" s="348"/>
      <c r="C72" s="351"/>
      <c r="D72" s="362"/>
      <c r="E72" s="109" t="s">
        <v>257</v>
      </c>
      <c r="F72" s="123">
        <f t="shared" si="70"/>
        <v>0</v>
      </c>
      <c r="G72" s="123">
        <f t="shared" si="70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54"/>
      <c r="AT72" s="396"/>
      <c r="AU72" s="121"/>
      <c r="AV72" s="121"/>
      <c r="AW72" s="155"/>
    </row>
    <row r="73" spans="1:49" s="31" customFormat="1" ht="12.75">
      <c r="A73" s="393" t="s">
        <v>398</v>
      </c>
      <c r="B73" s="346" t="s">
        <v>258</v>
      </c>
      <c r="C73" s="349" t="s">
        <v>277</v>
      </c>
      <c r="D73" s="355" t="s">
        <v>400</v>
      </c>
      <c r="E73" s="107" t="s">
        <v>42</v>
      </c>
      <c r="F73" s="123">
        <f>SUM(F74:F76)</f>
        <v>455.1</v>
      </c>
      <c r="G73" s="123">
        <f t="shared" ref="G73" si="78">SUM(G74:G76)</f>
        <v>0</v>
      </c>
      <c r="H73" s="123">
        <f>G73/F73*100</f>
        <v>0</v>
      </c>
      <c r="I73" s="138">
        <f t="shared" ref="I73:AP73" si="79">I74+I75+I76</f>
        <v>0</v>
      </c>
      <c r="J73" s="138">
        <f t="shared" si="79"/>
        <v>0</v>
      </c>
      <c r="K73" s="123">
        <v>0</v>
      </c>
      <c r="L73" s="138">
        <f t="shared" si="79"/>
        <v>0</v>
      </c>
      <c r="M73" s="132">
        <f t="shared" si="79"/>
        <v>0</v>
      </c>
      <c r="N73" s="132">
        <v>0</v>
      </c>
      <c r="O73" s="132">
        <f t="shared" si="79"/>
        <v>0</v>
      </c>
      <c r="P73" s="132">
        <f t="shared" si="79"/>
        <v>0</v>
      </c>
      <c r="Q73" s="123">
        <v>0</v>
      </c>
      <c r="R73" s="132">
        <f t="shared" si="79"/>
        <v>0</v>
      </c>
      <c r="S73" s="132">
        <f t="shared" si="79"/>
        <v>0</v>
      </c>
      <c r="T73" s="132">
        <v>0</v>
      </c>
      <c r="U73" s="132">
        <f t="shared" si="79"/>
        <v>0</v>
      </c>
      <c r="V73" s="132">
        <f t="shared" si="79"/>
        <v>0</v>
      </c>
      <c r="W73" s="132">
        <f t="shared" si="79"/>
        <v>0</v>
      </c>
      <c r="X73" s="132">
        <f t="shared" si="79"/>
        <v>0</v>
      </c>
      <c r="Y73" s="132">
        <f t="shared" si="79"/>
        <v>0</v>
      </c>
      <c r="Z73" s="138">
        <f t="shared" si="79"/>
        <v>0</v>
      </c>
      <c r="AA73" s="138">
        <f t="shared" si="79"/>
        <v>0</v>
      </c>
      <c r="AB73" s="138">
        <f t="shared" si="79"/>
        <v>0</v>
      </c>
      <c r="AC73" s="138">
        <f t="shared" si="79"/>
        <v>0</v>
      </c>
      <c r="AD73" s="132">
        <f t="shared" si="79"/>
        <v>0</v>
      </c>
      <c r="AE73" s="132">
        <f t="shared" si="79"/>
        <v>0</v>
      </c>
      <c r="AF73" s="132">
        <f t="shared" si="79"/>
        <v>0</v>
      </c>
      <c r="AG73" s="132">
        <f t="shared" si="79"/>
        <v>0</v>
      </c>
      <c r="AH73" s="132">
        <f t="shared" si="79"/>
        <v>0</v>
      </c>
      <c r="AI73" s="132">
        <f t="shared" si="79"/>
        <v>0</v>
      </c>
      <c r="AJ73" s="132">
        <f t="shared" si="79"/>
        <v>0</v>
      </c>
      <c r="AK73" s="132">
        <f t="shared" si="79"/>
        <v>0</v>
      </c>
      <c r="AL73" s="132">
        <f t="shared" si="79"/>
        <v>0</v>
      </c>
      <c r="AM73" s="132">
        <f t="shared" si="79"/>
        <v>455.1</v>
      </c>
      <c r="AN73" s="132">
        <f t="shared" si="79"/>
        <v>0</v>
      </c>
      <c r="AO73" s="132">
        <f t="shared" si="79"/>
        <v>0</v>
      </c>
      <c r="AP73" s="132">
        <f t="shared" si="79"/>
        <v>0</v>
      </c>
      <c r="AQ73" s="104"/>
      <c r="AR73" s="104"/>
      <c r="AS73" s="397" t="s">
        <v>281</v>
      </c>
      <c r="AT73" s="363" t="s">
        <v>300</v>
      </c>
      <c r="AU73" s="121"/>
      <c r="AV73" s="121"/>
      <c r="AW73" s="155"/>
    </row>
    <row r="74" spans="1:49" s="31" customFormat="1" ht="36">
      <c r="A74" s="394"/>
      <c r="B74" s="347"/>
      <c r="C74" s="350"/>
      <c r="D74" s="356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98"/>
      <c r="AT74" s="364"/>
      <c r="AU74" s="121"/>
      <c r="AV74" s="121"/>
      <c r="AW74" s="155"/>
    </row>
    <row r="75" spans="1:49" s="31" customFormat="1" ht="12.75">
      <c r="A75" s="394"/>
      <c r="B75" s="347"/>
      <c r="C75" s="350"/>
      <c r="D75" s="356"/>
      <c r="E75" s="108" t="s">
        <v>44</v>
      </c>
      <c r="F75" s="123">
        <f t="shared" ref="F75:G76" si="80">I75+L75+O75+R75+U75+X75+AA75+AD75+AG75+AJ75+AM75+AP75</f>
        <v>455.1</v>
      </c>
      <c r="G75" s="123">
        <f t="shared" si="80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98"/>
      <c r="AT75" s="364"/>
      <c r="AU75" s="121"/>
      <c r="AV75" s="121"/>
      <c r="AW75" s="155"/>
    </row>
    <row r="76" spans="1:49" s="31" customFormat="1" ht="24">
      <c r="A76" s="395"/>
      <c r="B76" s="348"/>
      <c r="C76" s="351"/>
      <c r="D76" s="362"/>
      <c r="E76" s="109" t="s">
        <v>257</v>
      </c>
      <c r="F76" s="123">
        <f t="shared" si="80"/>
        <v>0</v>
      </c>
      <c r="G76" s="123">
        <f t="shared" si="80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99"/>
      <c r="AT76" s="365"/>
      <c r="AU76" s="121"/>
      <c r="AV76" s="121"/>
      <c r="AW76" s="155"/>
    </row>
    <row r="77" spans="1:49" s="31" customFormat="1" ht="12.75">
      <c r="A77" s="393" t="s">
        <v>399</v>
      </c>
      <c r="B77" s="346" t="s">
        <v>295</v>
      </c>
      <c r="C77" s="349" t="s">
        <v>401</v>
      </c>
      <c r="D77" s="355" t="s">
        <v>402</v>
      </c>
      <c r="E77" s="107" t="s">
        <v>42</v>
      </c>
      <c r="F77" s="123">
        <f>SUM(F78:F80)</f>
        <v>8560.9000000000015</v>
      </c>
      <c r="G77" s="123">
        <f t="shared" ref="G77" si="81">SUM(G78:G80)</f>
        <v>0</v>
      </c>
      <c r="H77" s="123">
        <f>G77/F77*100</f>
        <v>0</v>
      </c>
      <c r="I77" s="132">
        <f t="shared" ref="I77:AP77" si="82">I78+I79+I80</f>
        <v>0</v>
      </c>
      <c r="J77" s="132">
        <f t="shared" si="82"/>
        <v>0</v>
      </c>
      <c r="K77" s="123">
        <v>0</v>
      </c>
      <c r="L77" s="132">
        <f t="shared" si="82"/>
        <v>2276.1</v>
      </c>
      <c r="M77" s="132">
        <f t="shared" si="82"/>
        <v>0</v>
      </c>
      <c r="N77" s="132">
        <f>M77/L77*100</f>
        <v>0</v>
      </c>
      <c r="O77" s="132">
        <f t="shared" si="82"/>
        <v>1934</v>
      </c>
      <c r="P77" s="132">
        <f t="shared" si="82"/>
        <v>0</v>
      </c>
      <c r="Q77" s="123">
        <f t="shared" si="64"/>
        <v>0</v>
      </c>
      <c r="R77" s="132">
        <f t="shared" si="82"/>
        <v>267.2</v>
      </c>
      <c r="S77" s="132">
        <f t="shared" si="82"/>
        <v>0</v>
      </c>
      <c r="T77" s="132">
        <f t="shared" si="72"/>
        <v>0</v>
      </c>
      <c r="U77" s="132">
        <f t="shared" si="82"/>
        <v>1159.2</v>
      </c>
      <c r="V77" s="132">
        <f t="shared" si="82"/>
        <v>0</v>
      </c>
      <c r="W77" s="138">
        <f t="shared" ref="W77" si="83">V77/U77*100</f>
        <v>0</v>
      </c>
      <c r="X77" s="132">
        <f t="shared" si="82"/>
        <v>1227.2</v>
      </c>
      <c r="Y77" s="132">
        <f t="shared" si="82"/>
        <v>0</v>
      </c>
      <c r="Z77" s="132">
        <f t="shared" si="82"/>
        <v>0</v>
      </c>
      <c r="AA77" s="132">
        <f t="shared" si="82"/>
        <v>1014.2</v>
      </c>
      <c r="AB77" s="132">
        <f t="shared" si="82"/>
        <v>0</v>
      </c>
      <c r="AC77" s="117">
        <f>AB77/AA77*100</f>
        <v>0</v>
      </c>
      <c r="AD77" s="132">
        <f t="shared" si="82"/>
        <v>89.2</v>
      </c>
      <c r="AE77" s="132">
        <f t="shared" si="82"/>
        <v>0</v>
      </c>
      <c r="AF77" s="104">
        <f t="shared" ref="AF77" si="84">AE77/AD77*100</f>
        <v>0</v>
      </c>
      <c r="AG77" s="132">
        <f t="shared" si="82"/>
        <v>139.19999999999999</v>
      </c>
      <c r="AH77" s="132">
        <f t="shared" si="82"/>
        <v>0</v>
      </c>
      <c r="AI77" s="104">
        <f t="shared" ref="AI77" si="85">AH77/AG77*100</f>
        <v>0</v>
      </c>
      <c r="AJ77" s="132">
        <f t="shared" si="82"/>
        <v>101.2</v>
      </c>
      <c r="AK77" s="132">
        <f t="shared" si="82"/>
        <v>0</v>
      </c>
      <c r="AL77" s="132">
        <f t="shared" si="82"/>
        <v>0</v>
      </c>
      <c r="AM77" s="132">
        <f t="shared" si="82"/>
        <v>104.2</v>
      </c>
      <c r="AN77" s="132">
        <f t="shared" si="82"/>
        <v>0</v>
      </c>
      <c r="AO77" s="132">
        <f t="shared" si="82"/>
        <v>0</v>
      </c>
      <c r="AP77" s="132">
        <f t="shared" si="82"/>
        <v>249.20000000000002</v>
      </c>
      <c r="AQ77" s="104"/>
      <c r="AR77" s="104"/>
      <c r="AS77" s="352" t="s">
        <v>320</v>
      </c>
      <c r="AT77" s="357"/>
      <c r="AU77" s="121"/>
      <c r="AV77" s="121"/>
      <c r="AW77" s="155"/>
    </row>
    <row r="78" spans="1:49" s="31" customFormat="1" ht="36">
      <c r="A78" s="394"/>
      <c r="B78" s="347"/>
      <c r="C78" s="350"/>
      <c r="D78" s="356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53"/>
      <c r="AT78" s="358"/>
      <c r="AU78" s="121"/>
      <c r="AV78" s="121"/>
      <c r="AW78" s="155"/>
    </row>
    <row r="79" spans="1:49" s="31" customFormat="1" ht="12.75">
      <c r="A79" s="394"/>
      <c r="B79" s="347"/>
      <c r="C79" s="350"/>
      <c r="D79" s="356"/>
      <c r="E79" s="108" t="s">
        <v>44</v>
      </c>
      <c r="F79" s="123">
        <f t="shared" ref="F79:G80" si="86">I79+L79+O79+R79+U79+X79+AA79+AD79+AG79+AJ79+AM79+AP79</f>
        <v>8560.9000000000015</v>
      </c>
      <c r="G79" s="123">
        <f t="shared" si="86"/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87">M79/L79*100</f>
        <v>0</v>
      </c>
      <c r="O79" s="123">
        <f>1844+40+50</f>
        <v>1934</v>
      </c>
      <c r="P79" s="123">
        <v>0</v>
      </c>
      <c r="Q79" s="123">
        <f t="shared" si="64"/>
        <v>0</v>
      </c>
      <c r="R79" s="123">
        <f>229.2+38</f>
        <v>267.2</v>
      </c>
      <c r="S79" s="123">
        <v>0</v>
      </c>
      <c r="T79" s="138">
        <f t="shared" si="72"/>
        <v>0</v>
      </c>
      <c r="U79" s="117">
        <f>1129.2+30</f>
        <v>1159.2</v>
      </c>
      <c r="V79" s="117">
        <v>0</v>
      </c>
      <c r="W79" s="138">
        <f t="shared" ref="W79" si="88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89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53"/>
      <c r="AT79" s="358"/>
      <c r="AU79" s="121"/>
      <c r="AV79" s="121"/>
      <c r="AW79" s="155"/>
    </row>
    <row r="80" spans="1:49" s="31" customFormat="1" ht="24">
      <c r="A80" s="395"/>
      <c r="B80" s="348"/>
      <c r="C80" s="351"/>
      <c r="D80" s="362"/>
      <c r="E80" s="109" t="s">
        <v>257</v>
      </c>
      <c r="F80" s="123">
        <f t="shared" si="86"/>
        <v>0</v>
      </c>
      <c r="G80" s="123">
        <f t="shared" si="86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54"/>
      <c r="AT80" s="396"/>
      <c r="AU80" s="121"/>
      <c r="AV80" s="121"/>
      <c r="AW80" s="155"/>
    </row>
    <row r="81" spans="1:48" s="100" customFormat="1" ht="12.75">
      <c r="A81" s="401" t="s">
        <v>256</v>
      </c>
      <c r="B81" s="402"/>
      <c r="C81" s="402"/>
      <c r="D81" s="403"/>
      <c r="E81" s="110" t="s">
        <v>42</v>
      </c>
      <c r="F81" s="106">
        <f>F82+F83+F84</f>
        <v>433024.19999999995</v>
      </c>
      <c r="G81" s="106">
        <f t="shared" ref="G81:AP81" si="90">G82+G83+G84</f>
        <v>25267</v>
      </c>
      <c r="H81" s="106">
        <f>G81/F81*100</f>
        <v>5.8350087593256914</v>
      </c>
      <c r="I81" s="106">
        <f t="shared" si="90"/>
        <v>14942.5</v>
      </c>
      <c r="J81" s="106">
        <f t="shared" si="90"/>
        <v>25267</v>
      </c>
      <c r="K81" s="106">
        <f>J81/I81*100</f>
        <v>169.09486364396855</v>
      </c>
      <c r="L81" s="106">
        <f t="shared" si="90"/>
        <v>45743.000000000007</v>
      </c>
      <c r="M81" s="106">
        <f t="shared" si="90"/>
        <v>0</v>
      </c>
      <c r="N81" s="106">
        <f>M81/L81*100</f>
        <v>0</v>
      </c>
      <c r="O81" s="106">
        <f t="shared" si="90"/>
        <v>37993.800000000003</v>
      </c>
      <c r="P81" s="106">
        <f t="shared" si="90"/>
        <v>0</v>
      </c>
      <c r="Q81" s="106">
        <f>P81/O81*100</f>
        <v>0</v>
      </c>
      <c r="R81" s="106">
        <f t="shared" si="90"/>
        <v>43738.3</v>
      </c>
      <c r="S81" s="106">
        <f t="shared" si="90"/>
        <v>0</v>
      </c>
      <c r="T81" s="106">
        <f>S81/R81*100</f>
        <v>0</v>
      </c>
      <c r="U81" s="106">
        <f t="shared" si="90"/>
        <v>35345.399999999994</v>
      </c>
      <c r="V81" s="106">
        <f t="shared" si="90"/>
        <v>0</v>
      </c>
      <c r="W81" s="106">
        <f t="shared" si="90"/>
        <v>0</v>
      </c>
      <c r="X81" s="106">
        <f t="shared" si="90"/>
        <v>38567</v>
      </c>
      <c r="Y81" s="106">
        <f t="shared" si="90"/>
        <v>0</v>
      </c>
      <c r="Z81" s="106" t="e">
        <f t="shared" si="90"/>
        <v>#REF!</v>
      </c>
      <c r="AA81" s="106">
        <f t="shared" si="90"/>
        <v>50633.4</v>
      </c>
      <c r="AB81" s="106">
        <f t="shared" si="90"/>
        <v>0</v>
      </c>
      <c r="AC81" s="106" t="e">
        <f t="shared" si="90"/>
        <v>#REF!</v>
      </c>
      <c r="AD81" s="106">
        <f t="shared" si="90"/>
        <v>36461.199999999997</v>
      </c>
      <c r="AE81" s="106">
        <f t="shared" si="90"/>
        <v>0</v>
      </c>
      <c r="AF81" s="103">
        <f t="shared" ref="AF81:AF84" si="91">AE81/AD81*100</f>
        <v>0</v>
      </c>
      <c r="AG81" s="106">
        <f t="shared" si="90"/>
        <v>28451.69999999999</v>
      </c>
      <c r="AH81" s="106">
        <f t="shared" si="90"/>
        <v>0</v>
      </c>
      <c r="AI81" s="106" t="e">
        <f t="shared" si="90"/>
        <v>#REF!</v>
      </c>
      <c r="AJ81" s="106">
        <f t="shared" si="90"/>
        <v>24958.799999999999</v>
      </c>
      <c r="AK81" s="106">
        <f t="shared" si="90"/>
        <v>0</v>
      </c>
      <c r="AL81" s="106" t="e">
        <f t="shared" si="90"/>
        <v>#REF!</v>
      </c>
      <c r="AM81" s="106">
        <f t="shared" si="90"/>
        <v>25565.599999999995</v>
      </c>
      <c r="AN81" s="106">
        <f t="shared" si="90"/>
        <v>0</v>
      </c>
      <c r="AO81" s="106" t="e">
        <f t="shared" si="90"/>
        <v>#REF!</v>
      </c>
      <c r="AP81" s="106">
        <f t="shared" si="90"/>
        <v>50623.5</v>
      </c>
      <c r="AQ81" s="103">
        <f t="shared" ref="AQ81:AR81" si="92">SUM(AQ82:AQ84)</f>
        <v>0</v>
      </c>
      <c r="AR81" s="103" t="e">
        <f t="shared" si="92"/>
        <v>#REF!</v>
      </c>
      <c r="AS81" s="337"/>
      <c r="AT81" s="410"/>
      <c r="AU81" s="121"/>
      <c r="AV81" s="127"/>
    </row>
    <row r="82" spans="1:48" s="100" customFormat="1" ht="36">
      <c r="A82" s="404"/>
      <c r="B82" s="405"/>
      <c r="C82" s="405"/>
      <c r="D82" s="406"/>
      <c r="E82" s="111" t="s">
        <v>3</v>
      </c>
      <c r="F82" s="106">
        <f t="shared" ref="F82:G84" si="93">F10+F34+F49+F63</f>
        <v>124591.59999999998</v>
      </c>
      <c r="G82" s="106">
        <f t="shared" si="93"/>
        <v>924.5</v>
      </c>
      <c r="H82" s="106">
        <f>G82/F82*100</f>
        <v>0.7420243419299537</v>
      </c>
      <c r="I82" s="106">
        <f t="shared" ref="I82:J84" si="94">I10+I34+I49+I63</f>
        <v>949.99999999999989</v>
      </c>
      <c r="J82" s="106">
        <f t="shared" si="94"/>
        <v>924.5</v>
      </c>
      <c r="K82" s="106">
        <f t="shared" ref="K82:K84" si="95">J82/I82*100</f>
        <v>97.31578947368422</v>
      </c>
      <c r="L82" s="106">
        <f t="shared" ref="L82:M84" si="96">L10+L34+L49+L63</f>
        <v>8876.4</v>
      </c>
      <c r="M82" s="106">
        <f t="shared" si="96"/>
        <v>0</v>
      </c>
      <c r="N82" s="106">
        <f t="shared" ref="N82:N84" si="97">M82/L82*100</f>
        <v>0</v>
      </c>
      <c r="O82" s="106">
        <f t="shared" ref="O82:P84" si="98">O10+O34+O49+O63</f>
        <v>9433.7999999999993</v>
      </c>
      <c r="P82" s="106">
        <f t="shared" si="98"/>
        <v>0</v>
      </c>
      <c r="Q82" s="106">
        <f t="shared" ref="Q82:Q84" si="99">P82/O82*100</f>
        <v>0</v>
      </c>
      <c r="R82" s="106">
        <f t="shared" ref="R82:S84" si="100">R10+R34+R49+R63</f>
        <v>10145.4</v>
      </c>
      <c r="S82" s="106">
        <f t="shared" si="100"/>
        <v>0</v>
      </c>
      <c r="T82" s="106">
        <f t="shared" ref="T82:T84" si="101">S82/R82*100</f>
        <v>0</v>
      </c>
      <c r="U82" s="106">
        <f t="shared" ref="U82:AE84" si="102">U10+U34+U49+U63</f>
        <v>8496.3999999999978</v>
      </c>
      <c r="V82" s="106">
        <f t="shared" si="102"/>
        <v>0</v>
      </c>
      <c r="W82" s="106">
        <f t="shared" si="102"/>
        <v>0</v>
      </c>
      <c r="X82" s="106">
        <f t="shared" si="102"/>
        <v>10177.699999999999</v>
      </c>
      <c r="Y82" s="106">
        <f t="shared" si="102"/>
        <v>0</v>
      </c>
      <c r="Z82" s="106" t="e">
        <f t="shared" si="102"/>
        <v>#REF!</v>
      </c>
      <c r="AA82" s="106">
        <f t="shared" si="102"/>
        <v>11495.900000000001</v>
      </c>
      <c r="AB82" s="106">
        <f t="shared" si="102"/>
        <v>0</v>
      </c>
      <c r="AC82" s="106" t="e">
        <f t="shared" si="102"/>
        <v>#REF!</v>
      </c>
      <c r="AD82" s="106">
        <f t="shared" si="102"/>
        <v>11156.3</v>
      </c>
      <c r="AE82" s="106">
        <f t="shared" si="102"/>
        <v>0</v>
      </c>
      <c r="AF82" s="103">
        <f t="shared" si="91"/>
        <v>0</v>
      </c>
      <c r="AG82" s="106">
        <f t="shared" ref="AG82:AR84" si="103">AG10+AG34+AG49+AG63</f>
        <v>9422.9</v>
      </c>
      <c r="AH82" s="106">
        <f t="shared" si="103"/>
        <v>0</v>
      </c>
      <c r="AI82" s="106" t="e">
        <f t="shared" si="103"/>
        <v>#REF!</v>
      </c>
      <c r="AJ82" s="106">
        <f t="shared" si="103"/>
        <v>9978.1999999999989</v>
      </c>
      <c r="AK82" s="106">
        <f t="shared" si="103"/>
        <v>0</v>
      </c>
      <c r="AL82" s="106" t="e">
        <f t="shared" si="103"/>
        <v>#REF!</v>
      </c>
      <c r="AM82" s="106">
        <f t="shared" si="103"/>
        <v>8872.0999999999985</v>
      </c>
      <c r="AN82" s="106">
        <f t="shared" si="103"/>
        <v>0</v>
      </c>
      <c r="AO82" s="106" t="e">
        <f t="shared" si="103"/>
        <v>#REF!</v>
      </c>
      <c r="AP82" s="106">
        <f t="shared" si="103"/>
        <v>25586.5</v>
      </c>
      <c r="AQ82" s="106">
        <f t="shared" si="103"/>
        <v>0</v>
      </c>
      <c r="AR82" s="106" t="e">
        <f t="shared" si="103"/>
        <v>#REF!</v>
      </c>
      <c r="AS82" s="338"/>
      <c r="AT82" s="411"/>
      <c r="AU82" s="121"/>
      <c r="AV82" s="127"/>
    </row>
    <row r="83" spans="1:48" s="100" customFormat="1" ht="24">
      <c r="A83" s="404"/>
      <c r="B83" s="405"/>
      <c r="C83" s="405"/>
      <c r="D83" s="406"/>
      <c r="E83" s="111" t="s">
        <v>44</v>
      </c>
      <c r="F83" s="106">
        <f t="shared" si="93"/>
        <v>302600.5</v>
      </c>
      <c r="G83" s="106">
        <f t="shared" si="93"/>
        <v>24342.5</v>
      </c>
      <c r="H83" s="106">
        <f>G83/F83*100</f>
        <v>8.044434824132809</v>
      </c>
      <c r="I83" s="106">
        <f t="shared" si="94"/>
        <v>13730.7</v>
      </c>
      <c r="J83" s="106">
        <f t="shared" si="94"/>
        <v>24342.5</v>
      </c>
      <c r="K83" s="106">
        <f t="shared" si="95"/>
        <v>177.2852076004865</v>
      </c>
      <c r="L83" s="106">
        <f t="shared" si="96"/>
        <v>36530.100000000006</v>
      </c>
      <c r="M83" s="106">
        <f t="shared" si="96"/>
        <v>0</v>
      </c>
      <c r="N83" s="106">
        <f t="shared" si="97"/>
        <v>0</v>
      </c>
      <c r="O83" s="106">
        <f t="shared" si="98"/>
        <v>27748.7</v>
      </c>
      <c r="P83" s="106">
        <f t="shared" si="98"/>
        <v>0</v>
      </c>
      <c r="Q83" s="106">
        <f t="shared" si="99"/>
        <v>0</v>
      </c>
      <c r="R83" s="106">
        <f t="shared" si="100"/>
        <v>32852.300000000003</v>
      </c>
      <c r="S83" s="106">
        <f t="shared" si="100"/>
        <v>0</v>
      </c>
      <c r="T83" s="106">
        <f t="shared" si="101"/>
        <v>0</v>
      </c>
      <c r="U83" s="106">
        <f t="shared" si="102"/>
        <v>26369.299999999996</v>
      </c>
      <c r="V83" s="106">
        <f t="shared" si="102"/>
        <v>0</v>
      </c>
      <c r="W83" s="106">
        <f t="shared" si="102"/>
        <v>0</v>
      </c>
      <c r="X83" s="106">
        <f t="shared" si="102"/>
        <v>28036.499999999996</v>
      </c>
      <c r="Y83" s="106">
        <f t="shared" si="102"/>
        <v>0</v>
      </c>
      <c r="Z83" s="106" t="e">
        <f t="shared" si="102"/>
        <v>#REF!</v>
      </c>
      <c r="AA83" s="106">
        <f t="shared" si="102"/>
        <v>38312</v>
      </c>
      <c r="AB83" s="106">
        <f t="shared" si="102"/>
        <v>0</v>
      </c>
      <c r="AC83" s="106" t="e">
        <f t="shared" si="102"/>
        <v>#REF!</v>
      </c>
      <c r="AD83" s="106">
        <f t="shared" si="102"/>
        <v>24785.899999999998</v>
      </c>
      <c r="AE83" s="106">
        <f t="shared" si="102"/>
        <v>0</v>
      </c>
      <c r="AF83" s="106">
        <f t="shared" si="91"/>
        <v>0</v>
      </c>
      <c r="AG83" s="106">
        <f t="shared" si="103"/>
        <v>18727.199999999993</v>
      </c>
      <c r="AH83" s="106">
        <f t="shared" si="103"/>
        <v>0</v>
      </c>
      <c r="AI83" s="106" t="e">
        <f t="shared" si="103"/>
        <v>#REF!</v>
      </c>
      <c r="AJ83" s="106">
        <f t="shared" si="103"/>
        <v>14416.000000000002</v>
      </c>
      <c r="AK83" s="106">
        <f t="shared" si="103"/>
        <v>0</v>
      </c>
      <c r="AL83" s="106" t="e">
        <f t="shared" si="103"/>
        <v>#REF!</v>
      </c>
      <c r="AM83" s="106">
        <f t="shared" si="103"/>
        <v>16251.799999999997</v>
      </c>
      <c r="AN83" s="106">
        <f t="shared" si="103"/>
        <v>0</v>
      </c>
      <c r="AO83" s="106" t="e">
        <f t="shared" si="103"/>
        <v>#REF!</v>
      </c>
      <c r="AP83" s="106">
        <f t="shared" si="103"/>
        <v>24839.999999999996</v>
      </c>
      <c r="AQ83" s="106">
        <f t="shared" si="103"/>
        <v>0</v>
      </c>
      <c r="AR83" s="106" t="e">
        <f t="shared" si="103"/>
        <v>#REF!</v>
      </c>
      <c r="AS83" s="338"/>
      <c r="AT83" s="411"/>
      <c r="AU83" s="121"/>
      <c r="AV83" s="127"/>
    </row>
    <row r="84" spans="1:48" s="100" customFormat="1" ht="24">
      <c r="A84" s="407"/>
      <c r="B84" s="408"/>
      <c r="C84" s="408"/>
      <c r="D84" s="409"/>
      <c r="E84" s="110" t="s">
        <v>257</v>
      </c>
      <c r="F84" s="106">
        <f t="shared" si="93"/>
        <v>5832.1</v>
      </c>
      <c r="G84" s="106">
        <f t="shared" si="93"/>
        <v>0</v>
      </c>
      <c r="H84" s="106">
        <f>G84/F84*100</f>
        <v>0</v>
      </c>
      <c r="I84" s="106">
        <f t="shared" si="94"/>
        <v>261.8</v>
      </c>
      <c r="J84" s="106">
        <f t="shared" si="94"/>
        <v>0</v>
      </c>
      <c r="K84" s="106">
        <f t="shared" si="95"/>
        <v>0</v>
      </c>
      <c r="L84" s="106">
        <f t="shared" si="96"/>
        <v>336.5</v>
      </c>
      <c r="M84" s="106">
        <f t="shared" si="96"/>
        <v>0</v>
      </c>
      <c r="N84" s="106">
        <f t="shared" si="97"/>
        <v>0</v>
      </c>
      <c r="O84" s="106">
        <f t="shared" si="98"/>
        <v>811.3</v>
      </c>
      <c r="P84" s="106">
        <f t="shared" si="98"/>
        <v>0</v>
      </c>
      <c r="Q84" s="106">
        <f t="shared" si="99"/>
        <v>0</v>
      </c>
      <c r="R84" s="106">
        <f t="shared" si="100"/>
        <v>740.6</v>
      </c>
      <c r="S84" s="106">
        <f t="shared" si="100"/>
        <v>0</v>
      </c>
      <c r="T84" s="106">
        <f t="shared" si="101"/>
        <v>0</v>
      </c>
      <c r="U84" s="106">
        <f t="shared" si="102"/>
        <v>479.7</v>
      </c>
      <c r="V84" s="106">
        <f t="shared" si="102"/>
        <v>0</v>
      </c>
      <c r="W84" s="106">
        <f t="shared" si="102"/>
        <v>0</v>
      </c>
      <c r="X84" s="106">
        <f t="shared" si="102"/>
        <v>352.8</v>
      </c>
      <c r="Y84" s="106">
        <f t="shared" si="102"/>
        <v>0</v>
      </c>
      <c r="Z84" s="106" t="e">
        <f t="shared" si="102"/>
        <v>#REF!</v>
      </c>
      <c r="AA84" s="106">
        <f t="shared" si="102"/>
        <v>825.5</v>
      </c>
      <c r="AB84" s="106">
        <f t="shared" si="102"/>
        <v>0</v>
      </c>
      <c r="AC84" s="106" t="e">
        <f t="shared" si="102"/>
        <v>#REF!</v>
      </c>
      <c r="AD84" s="106">
        <f t="shared" si="102"/>
        <v>519</v>
      </c>
      <c r="AE84" s="106">
        <f t="shared" si="102"/>
        <v>0</v>
      </c>
      <c r="AF84" s="106">
        <f t="shared" si="91"/>
        <v>0</v>
      </c>
      <c r="AG84" s="106">
        <f t="shared" si="103"/>
        <v>301.60000000000002</v>
      </c>
      <c r="AH84" s="106">
        <f t="shared" si="103"/>
        <v>0</v>
      </c>
      <c r="AI84" s="106" t="e">
        <f t="shared" si="103"/>
        <v>#REF!</v>
      </c>
      <c r="AJ84" s="106">
        <f t="shared" si="103"/>
        <v>564.6</v>
      </c>
      <c r="AK84" s="106">
        <f t="shared" si="103"/>
        <v>0</v>
      </c>
      <c r="AL84" s="106" t="e">
        <f t="shared" si="103"/>
        <v>#REF!</v>
      </c>
      <c r="AM84" s="106">
        <f t="shared" si="103"/>
        <v>441.7</v>
      </c>
      <c r="AN84" s="106">
        <f t="shared" si="103"/>
        <v>0</v>
      </c>
      <c r="AO84" s="106" t="e">
        <f t="shared" si="103"/>
        <v>#REF!</v>
      </c>
      <c r="AP84" s="106">
        <f t="shared" si="103"/>
        <v>197</v>
      </c>
      <c r="AQ84" s="106">
        <f t="shared" si="103"/>
        <v>0</v>
      </c>
      <c r="AR84" s="106" t="e">
        <f t="shared" si="103"/>
        <v>#REF!</v>
      </c>
      <c r="AS84" s="339"/>
      <c r="AT84" s="412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413"/>
      <c r="C86" s="413"/>
      <c r="D86" s="413"/>
      <c r="E86" s="414"/>
      <c r="F86" s="415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400" t="s">
        <v>282</v>
      </c>
      <c r="B88" s="400"/>
      <c r="C88" s="400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400" t="s">
        <v>283</v>
      </c>
      <c r="B89" s="400"/>
      <c r="C89" s="400"/>
      <c r="D89" s="400"/>
      <c r="E89" s="400"/>
      <c r="F89" s="400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400"/>
      <c r="B90" s="400"/>
      <c r="C90" s="400"/>
      <c r="D90" s="400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400"/>
      <c r="B92" s="400"/>
      <c r="C92" s="400"/>
      <c r="D92" s="400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400" t="s">
        <v>404</v>
      </c>
      <c r="B96" s="400"/>
      <c r="C96" s="400"/>
      <c r="D96" s="400"/>
      <c r="AS96" s="131"/>
    </row>
    <row r="97" spans="1:45">
      <c r="A97" s="400" t="s">
        <v>291</v>
      </c>
      <c r="B97" s="400"/>
      <c r="C97" s="400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</mergeCells>
  <conditionalFormatting sqref="H91 H69:H80 H56:H59 H48:H51 H42:H45 H30:H31 H27:H28 H24 H14 H19">
    <cfRule type="cellIs" dxfId="2" priority="1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AP69" activePane="bottomRight" state="frozen"/>
      <selection pane="topRight" activeCell="E1" sqref="E1"/>
      <selection pane="bottomLeft" activeCell="A9" sqref="A9"/>
      <selection pane="bottomRight" activeCell="AT69" sqref="AT69:AT72"/>
    </sheetView>
  </sheetViews>
  <sheetFormatPr defaultRowHeight="15"/>
  <cols>
    <col min="2" max="3" width="23.7109375" customWidth="1"/>
    <col min="4" max="4" width="11.14062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customWidth="1"/>
    <col min="14" max="14" width="9.140625" customWidth="1"/>
    <col min="16" max="16" width="9.140625" customWidth="1"/>
    <col min="17" max="17" width="10.7109375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318" t="s">
        <v>405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196"/>
    </row>
    <row r="3" spans="1:49" s="118" customFormat="1" ht="15.75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197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12.75">
      <c r="A5" s="320" t="s">
        <v>0</v>
      </c>
      <c r="B5" s="320" t="s">
        <v>261</v>
      </c>
      <c r="C5" s="321" t="s">
        <v>47</v>
      </c>
      <c r="D5" s="321" t="s">
        <v>262</v>
      </c>
      <c r="E5" s="320" t="s">
        <v>1</v>
      </c>
      <c r="F5" s="320" t="s">
        <v>263</v>
      </c>
      <c r="G5" s="320"/>
      <c r="H5" s="320"/>
      <c r="I5" s="320" t="s">
        <v>18</v>
      </c>
      <c r="J5" s="320"/>
      <c r="K5" s="320"/>
      <c r="L5" s="320" t="s">
        <v>19</v>
      </c>
      <c r="M5" s="320"/>
      <c r="N5" s="320"/>
      <c r="O5" s="320" t="s">
        <v>23</v>
      </c>
      <c r="P5" s="320"/>
      <c r="Q5" s="320"/>
      <c r="R5" s="320" t="s">
        <v>25</v>
      </c>
      <c r="S5" s="320"/>
      <c r="T5" s="320"/>
      <c r="U5" s="320" t="s">
        <v>26</v>
      </c>
      <c r="V5" s="320"/>
      <c r="W5" s="320"/>
      <c r="X5" s="320" t="s">
        <v>27</v>
      </c>
      <c r="Y5" s="320"/>
      <c r="Z5" s="320"/>
      <c r="AA5" s="320" t="s">
        <v>29</v>
      </c>
      <c r="AB5" s="320"/>
      <c r="AC5" s="320"/>
      <c r="AD5" s="320" t="s">
        <v>30</v>
      </c>
      <c r="AE5" s="320"/>
      <c r="AF5" s="320"/>
      <c r="AG5" s="320" t="s">
        <v>31</v>
      </c>
      <c r="AH5" s="320"/>
      <c r="AI5" s="320"/>
      <c r="AJ5" s="320" t="s">
        <v>33</v>
      </c>
      <c r="AK5" s="320"/>
      <c r="AL5" s="320"/>
      <c r="AM5" s="320" t="s">
        <v>34</v>
      </c>
      <c r="AN5" s="320"/>
      <c r="AO5" s="320"/>
      <c r="AP5" s="320" t="s">
        <v>35</v>
      </c>
      <c r="AQ5" s="320"/>
      <c r="AR5" s="320"/>
      <c r="AS5" s="323" t="s">
        <v>273</v>
      </c>
      <c r="AT5" s="324" t="s">
        <v>274</v>
      </c>
      <c r="AU5" s="32"/>
      <c r="AV5" s="32"/>
    </row>
    <row r="6" spans="1:49" s="31" customFormat="1" ht="25.5">
      <c r="A6" s="320"/>
      <c r="B6" s="320"/>
      <c r="C6" s="322"/>
      <c r="D6" s="322"/>
      <c r="E6" s="320"/>
      <c r="F6" s="195" t="s">
        <v>264</v>
      </c>
      <c r="G6" s="195" t="s">
        <v>265</v>
      </c>
      <c r="H6" s="128" t="s">
        <v>266</v>
      </c>
      <c r="I6" s="195" t="s">
        <v>264</v>
      </c>
      <c r="J6" s="195" t="s">
        <v>265</v>
      </c>
      <c r="K6" s="128" t="s">
        <v>266</v>
      </c>
      <c r="L6" s="195" t="s">
        <v>264</v>
      </c>
      <c r="M6" s="195" t="s">
        <v>265</v>
      </c>
      <c r="N6" s="128" t="s">
        <v>266</v>
      </c>
      <c r="O6" s="195" t="s">
        <v>264</v>
      </c>
      <c r="P6" s="195" t="s">
        <v>265</v>
      </c>
      <c r="Q6" s="128" t="s">
        <v>266</v>
      </c>
      <c r="R6" s="195" t="s">
        <v>264</v>
      </c>
      <c r="S6" s="195" t="s">
        <v>265</v>
      </c>
      <c r="T6" s="128" t="s">
        <v>266</v>
      </c>
      <c r="U6" s="195" t="s">
        <v>264</v>
      </c>
      <c r="V6" s="195" t="s">
        <v>265</v>
      </c>
      <c r="W6" s="128" t="s">
        <v>266</v>
      </c>
      <c r="X6" s="195" t="s">
        <v>264</v>
      </c>
      <c r="Y6" s="195" t="s">
        <v>265</v>
      </c>
      <c r="Z6" s="128" t="s">
        <v>266</v>
      </c>
      <c r="AA6" s="195" t="s">
        <v>264</v>
      </c>
      <c r="AB6" s="195" t="s">
        <v>265</v>
      </c>
      <c r="AC6" s="128" t="s">
        <v>266</v>
      </c>
      <c r="AD6" s="195" t="s">
        <v>264</v>
      </c>
      <c r="AE6" s="195" t="s">
        <v>265</v>
      </c>
      <c r="AF6" s="128" t="s">
        <v>266</v>
      </c>
      <c r="AG6" s="195" t="s">
        <v>264</v>
      </c>
      <c r="AH6" s="195" t="s">
        <v>265</v>
      </c>
      <c r="AI6" s="128" t="s">
        <v>266</v>
      </c>
      <c r="AJ6" s="195" t="s">
        <v>264</v>
      </c>
      <c r="AK6" s="195" t="s">
        <v>265</v>
      </c>
      <c r="AL6" s="128" t="s">
        <v>266</v>
      </c>
      <c r="AM6" s="195" t="s">
        <v>264</v>
      </c>
      <c r="AN6" s="195" t="s">
        <v>265</v>
      </c>
      <c r="AO6" s="128" t="s">
        <v>266</v>
      </c>
      <c r="AP6" s="195" t="s">
        <v>264</v>
      </c>
      <c r="AQ6" s="195" t="s">
        <v>265</v>
      </c>
      <c r="AR6" s="128" t="s">
        <v>266</v>
      </c>
      <c r="AS6" s="323"/>
      <c r="AT6" s="324"/>
    </row>
    <row r="7" spans="1:49" s="31" customFormat="1" ht="15.75">
      <c r="A7" s="325" t="s">
        <v>322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7"/>
    </row>
    <row r="8" spans="1:49" s="31" customFormat="1" ht="15.75">
      <c r="A8" s="325" t="s">
        <v>294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7"/>
    </row>
    <row r="9" spans="1:49" s="100" customFormat="1" ht="12.75">
      <c r="A9" s="328" t="s">
        <v>267</v>
      </c>
      <c r="B9" s="329"/>
      <c r="C9" s="329"/>
      <c r="D9" s="330"/>
      <c r="E9" s="129" t="s">
        <v>42</v>
      </c>
      <c r="F9" s="106">
        <f>F10+F11+F12</f>
        <v>388439.29999999993</v>
      </c>
      <c r="G9" s="106">
        <f t="shared" ref="G9:AP9" si="0">G10+G11+G12</f>
        <v>82185.999999999985</v>
      </c>
      <c r="H9" s="106">
        <f t="shared" ref="H9:H17" si="1">G9/F9*100</f>
        <v>21.158003322526838</v>
      </c>
      <c r="I9" s="106">
        <f t="shared" si="0"/>
        <v>13186.399999999998</v>
      </c>
      <c r="J9" s="106">
        <f t="shared" si="0"/>
        <v>24711</v>
      </c>
      <c r="K9" s="106">
        <f>J9/I9*100</f>
        <v>187.39762179214952</v>
      </c>
      <c r="L9" s="106">
        <f t="shared" si="0"/>
        <v>40103.200000000004</v>
      </c>
      <c r="M9" s="106">
        <f t="shared" si="0"/>
        <v>31148.600000000002</v>
      </c>
      <c r="N9" s="106">
        <f>M9/L9*100</f>
        <v>77.67110853996688</v>
      </c>
      <c r="O9" s="106">
        <f t="shared" si="0"/>
        <v>34440.199999999997</v>
      </c>
      <c r="P9" s="106">
        <f t="shared" si="0"/>
        <v>26326.399999999998</v>
      </c>
      <c r="Q9" s="106">
        <f>P9/O9*100</f>
        <v>76.440903362930527</v>
      </c>
      <c r="R9" s="106">
        <f t="shared" si="0"/>
        <v>39588</v>
      </c>
      <c r="S9" s="106">
        <f t="shared" si="0"/>
        <v>0</v>
      </c>
      <c r="T9" s="106">
        <f>S9/R9*100</f>
        <v>0</v>
      </c>
      <c r="U9" s="106">
        <f t="shared" si="0"/>
        <v>31792.799999999996</v>
      </c>
      <c r="V9" s="106">
        <f t="shared" si="0"/>
        <v>0</v>
      </c>
      <c r="W9" s="106">
        <f>V9/U9*100</f>
        <v>0</v>
      </c>
      <c r="X9" s="106">
        <f t="shared" si="0"/>
        <v>37441.399999999994</v>
      </c>
      <c r="Y9" s="106">
        <f t="shared" si="0"/>
        <v>0</v>
      </c>
      <c r="Z9" s="106" t="e">
        <f t="shared" si="0"/>
        <v>#REF!</v>
      </c>
      <c r="AA9" s="106">
        <f t="shared" si="0"/>
        <v>46006.5</v>
      </c>
      <c r="AB9" s="106">
        <f t="shared" si="0"/>
        <v>0</v>
      </c>
      <c r="AC9" s="106" t="e">
        <f t="shared" si="0"/>
        <v>#REF!</v>
      </c>
      <c r="AD9" s="106">
        <f t="shared" si="0"/>
        <v>33870.399999999994</v>
      </c>
      <c r="AE9" s="106">
        <f t="shared" si="0"/>
        <v>0</v>
      </c>
      <c r="AF9" s="106">
        <f>AE9/AD9*100</f>
        <v>0</v>
      </c>
      <c r="AG9" s="106">
        <f t="shared" si="0"/>
        <v>24791.399999999998</v>
      </c>
      <c r="AH9" s="106">
        <f t="shared" si="0"/>
        <v>0</v>
      </c>
      <c r="AI9" s="106" t="e">
        <f t="shared" si="0"/>
        <v>#REF!</v>
      </c>
      <c r="AJ9" s="106">
        <f t="shared" si="0"/>
        <v>21830.899999999998</v>
      </c>
      <c r="AK9" s="106">
        <f t="shared" si="0"/>
        <v>0</v>
      </c>
      <c r="AL9" s="106" t="e">
        <f t="shared" si="0"/>
        <v>#REF!</v>
      </c>
      <c r="AM9" s="106">
        <f t="shared" si="0"/>
        <v>21887.199999999997</v>
      </c>
      <c r="AN9" s="106">
        <f t="shared" si="0"/>
        <v>0</v>
      </c>
      <c r="AO9" s="106" t="e">
        <f t="shared" si="0"/>
        <v>#REF!</v>
      </c>
      <c r="AP9" s="106">
        <f t="shared" si="0"/>
        <v>43500.899999999994</v>
      </c>
      <c r="AQ9" s="106" t="e">
        <f>#REF!+#REF!</f>
        <v>#REF!</v>
      </c>
      <c r="AR9" s="106" t="e">
        <f>#REF!+#REF!</f>
        <v>#REF!</v>
      </c>
      <c r="AS9" s="337"/>
      <c r="AT9" s="340"/>
      <c r="AU9" s="127"/>
    </row>
    <row r="10" spans="1:49" s="100" customFormat="1" ht="36">
      <c r="A10" s="331"/>
      <c r="B10" s="332"/>
      <c r="C10" s="332"/>
      <c r="D10" s="333"/>
      <c r="E10" s="111" t="s">
        <v>3</v>
      </c>
      <c r="F10" s="106">
        <f>F14+F18+F23+F26+F30</f>
        <v>94533.999999999971</v>
      </c>
      <c r="G10" s="106">
        <f>G14+G18+G23+G26+G30</f>
        <v>13891.1</v>
      </c>
      <c r="H10" s="106">
        <f t="shared" si="1"/>
        <v>14.694289885120702</v>
      </c>
      <c r="I10" s="106">
        <f>I14+I18+I23+I26+I30</f>
        <v>849.99999999999989</v>
      </c>
      <c r="J10" s="106">
        <f>J14+J18+J23+J26+J30</f>
        <v>826.6</v>
      </c>
      <c r="K10" s="106">
        <f t="shared" ref="K10:K12" si="2">J10/I10*100</f>
        <v>97.247058823529429</v>
      </c>
      <c r="L10" s="106">
        <f>L14+L18+L23+L26+L30</f>
        <v>6698.4</v>
      </c>
      <c r="M10" s="106">
        <f>M14+M18+M23+M26+M30</f>
        <v>6531.9000000000005</v>
      </c>
      <c r="N10" s="106">
        <f t="shared" ref="N10:N12" si="3">M10/L10*100</f>
        <v>97.514331780723779</v>
      </c>
      <c r="O10" s="106">
        <f>O14+O18+O23+O26+O30</f>
        <v>7010.7999999999993</v>
      </c>
      <c r="P10" s="106">
        <f>P14+P18+P23+P26+P30</f>
        <v>6532.6</v>
      </c>
      <c r="Q10" s="106">
        <f t="shared" ref="Q10:Q12" si="4">P10/O10*100</f>
        <v>93.179095110401107</v>
      </c>
      <c r="R10" s="106">
        <f>R14+R18+R23+R26+R30</f>
        <v>7150.7999999999993</v>
      </c>
      <c r="S10" s="106">
        <f>S14+S18+S23+S26+S30</f>
        <v>0</v>
      </c>
      <c r="T10" s="106">
        <f t="shared" ref="T10:T12" si="5">S10/R10*100</f>
        <v>0</v>
      </c>
      <c r="U10" s="106">
        <f>U14+U18+U23+U26+U30</f>
        <v>6616.3999999999987</v>
      </c>
      <c r="V10" s="106">
        <f>V14+V18+V23+V26+V30</f>
        <v>0</v>
      </c>
      <c r="W10" s="106">
        <f t="shared" ref="W10:W12" si="6">V10/U10*100</f>
        <v>0</v>
      </c>
      <c r="X10" s="106">
        <f>X14+X18+X23+X26+X30</f>
        <v>7788.7999999999993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8153.3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9168.0999999999985</v>
      </c>
      <c r="AE10" s="106">
        <f>AE14+AE18+AE23+AE26+AE30</f>
        <v>0</v>
      </c>
      <c r="AF10" s="106">
        <f t="shared" ref="AF10:AF25" si="7">AE10/AD10*100</f>
        <v>0</v>
      </c>
      <c r="AG10" s="106">
        <f>AG14+AG18+AG23+AG26+AG30</f>
        <v>6977.7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7065.1999999999989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7081.0999999999995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19973.399999999998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38"/>
      <c r="AT10" s="341"/>
      <c r="AU10" s="127"/>
    </row>
    <row r="11" spans="1:49" s="100" customFormat="1" ht="24">
      <c r="A11" s="331"/>
      <c r="B11" s="332"/>
      <c r="C11" s="332"/>
      <c r="D11" s="333"/>
      <c r="E11" s="111" t="s">
        <v>44</v>
      </c>
      <c r="F11" s="106">
        <f>F15+F19+F24+F27+F31</f>
        <v>288073.19999999995</v>
      </c>
      <c r="G11" s="106">
        <f>G15+G19+G24+G27+G31</f>
        <v>67488.999999999985</v>
      </c>
      <c r="H11" s="106">
        <f t="shared" si="1"/>
        <v>23.427726008528388</v>
      </c>
      <c r="I11" s="106">
        <f>I15+I19+I24+I27+I31</f>
        <v>12074.599999999999</v>
      </c>
      <c r="J11" s="106">
        <f>J15+J19+J24+J27+J31</f>
        <v>23884.400000000001</v>
      </c>
      <c r="K11" s="106">
        <f t="shared" si="2"/>
        <v>197.80696669040799</v>
      </c>
      <c r="L11" s="106">
        <f>L15+L19+L24+L27+L31</f>
        <v>33068.300000000003</v>
      </c>
      <c r="M11" s="106">
        <f>M15+M19+M24+M27+M31</f>
        <v>24395.100000000002</v>
      </c>
      <c r="N11" s="106">
        <f t="shared" si="3"/>
        <v>73.771860059331757</v>
      </c>
      <c r="O11" s="106">
        <f>O15+O19+O24+O27+O31</f>
        <v>26703.1</v>
      </c>
      <c r="P11" s="106">
        <f>P15+P19+P24+P27+P31</f>
        <v>19209.5</v>
      </c>
      <c r="Q11" s="106">
        <f t="shared" si="4"/>
        <v>71.937340608393782</v>
      </c>
      <c r="R11" s="106">
        <f>R15+R19+R24+R27+R31</f>
        <v>31696.600000000002</v>
      </c>
      <c r="S11" s="106">
        <f>S15+S19+S24+S27+S31</f>
        <v>0</v>
      </c>
      <c r="T11" s="106">
        <f t="shared" si="5"/>
        <v>0</v>
      </c>
      <c r="U11" s="106">
        <f>U15+U19+U24+U27+U31</f>
        <v>24696.699999999997</v>
      </c>
      <c r="V11" s="106">
        <f>V15+V19+V24+V27+V31</f>
        <v>0</v>
      </c>
      <c r="W11" s="106">
        <f t="shared" si="6"/>
        <v>0</v>
      </c>
      <c r="X11" s="106">
        <f>X15+X19+X24+X27+X31</f>
        <v>29200.899999999994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37184.1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7"/>
        <v>0</v>
      </c>
      <c r="AG11" s="106">
        <f>AG15+AG19+AG24+AG27+AG31</f>
        <v>17512.099999999999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14201.1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14279.699999999997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23272.699999999997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38"/>
      <c r="AT11" s="341"/>
      <c r="AU11" s="127"/>
    </row>
    <row r="12" spans="1:49" s="100" customFormat="1" ht="24">
      <c r="A12" s="334"/>
      <c r="B12" s="335"/>
      <c r="C12" s="335"/>
      <c r="D12" s="336"/>
      <c r="E12" s="110" t="s">
        <v>257</v>
      </c>
      <c r="F12" s="106">
        <f>F16+F20+F28</f>
        <v>5832.0999999999995</v>
      </c>
      <c r="G12" s="106">
        <f>G16+G20+G28</f>
        <v>805.9</v>
      </c>
      <c r="H12" s="106">
        <f t="shared" si="1"/>
        <v>13.818350165463556</v>
      </c>
      <c r="I12" s="106">
        <f>I16+I20+I28</f>
        <v>261.8</v>
      </c>
      <c r="J12" s="106">
        <f>J16+J20+J28</f>
        <v>0</v>
      </c>
      <c r="K12" s="106">
        <f t="shared" si="2"/>
        <v>0</v>
      </c>
      <c r="L12" s="106">
        <f>L16+L20+L28</f>
        <v>336.5</v>
      </c>
      <c r="M12" s="106">
        <f>M16+M20+M28</f>
        <v>221.6</v>
      </c>
      <c r="N12" s="106">
        <f t="shared" si="3"/>
        <v>65.854383358098062</v>
      </c>
      <c r="O12" s="106">
        <f>O16+O20+O28</f>
        <v>726.3</v>
      </c>
      <c r="P12" s="106">
        <f>P16+P20+P28</f>
        <v>584.29999999999995</v>
      </c>
      <c r="Q12" s="106">
        <f t="shared" si="4"/>
        <v>80.448850337326178</v>
      </c>
      <c r="R12" s="106">
        <f>R16+R20+R28</f>
        <v>740.6</v>
      </c>
      <c r="S12" s="106">
        <f>S16+S20+S28</f>
        <v>0</v>
      </c>
      <c r="T12" s="106">
        <f t="shared" si="5"/>
        <v>0</v>
      </c>
      <c r="U12" s="106">
        <f>U16+U20+U28</f>
        <v>479.7</v>
      </c>
      <c r="V12" s="106">
        <f>V16+V20+V28</f>
        <v>0</v>
      </c>
      <c r="W12" s="106">
        <f t="shared" si="6"/>
        <v>0</v>
      </c>
      <c r="X12" s="106">
        <f>X16+X20+X28</f>
        <v>451.70000000000005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669.1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7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526.4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254.8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39"/>
      <c r="AT12" s="342"/>
      <c r="AU12" s="127"/>
    </row>
    <row r="13" spans="1:49" s="31" customFormat="1" ht="12.75">
      <c r="A13" s="343" t="s">
        <v>323</v>
      </c>
      <c r="B13" s="346" t="s">
        <v>324</v>
      </c>
      <c r="C13" s="349" t="s">
        <v>325</v>
      </c>
      <c r="D13" s="349" t="s">
        <v>326</v>
      </c>
      <c r="E13" s="107" t="s">
        <v>42</v>
      </c>
      <c r="F13" s="104">
        <f>SUM(F14:F16)</f>
        <v>301286.39999999991</v>
      </c>
      <c r="G13" s="123">
        <f t="shared" ref="G13:P13" si="8">SUM(G14:G16)</f>
        <v>61490.299999999996</v>
      </c>
      <c r="H13" s="123">
        <f t="shared" si="1"/>
        <v>20.40925179496984</v>
      </c>
      <c r="I13" s="123">
        <f t="shared" si="8"/>
        <v>6660</v>
      </c>
      <c r="J13" s="123">
        <f t="shared" si="8"/>
        <v>18204.3</v>
      </c>
      <c r="K13" s="123">
        <f>J13/I13*100</f>
        <v>273.33783783783781</v>
      </c>
      <c r="L13" s="123">
        <f t="shared" si="8"/>
        <v>32305.4</v>
      </c>
      <c r="M13" s="123">
        <f t="shared" si="8"/>
        <v>23626.699999999997</v>
      </c>
      <c r="N13" s="123">
        <f>M13/L13*100</f>
        <v>73.135451039145153</v>
      </c>
      <c r="O13" s="123">
        <f t="shared" si="8"/>
        <v>27055.399999999998</v>
      </c>
      <c r="P13" s="123">
        <f t="shared" si="8"/>
        <v>19659.3</v>
      </c>
      <c r="Q13" s="123">
        <f>P13/O13*100</f>
        <v>72.66312824796529</v>
      </c>
      <c r="R13" s="123">
        <f t="shared" ref="R13:AR13" si="9">SUM(R14:R16)</f>
        <v>31994.9</v>
      </c>
      <c r="S13" s="123">
        <f t="shared" si="9"/>
        <v>0</v>
      </c>
      <c r="T13" s="123">
        <f>S13/R13*100</f>
        <v>0</v>
      </c>
      <c r="U13" s="123">
        <f t="shared" si="9"/>
        <v>24241.5</v>
      </c>
      <c r="V13" s="123">
        <f t="shared" si="9"/>
        <v>0</v>
      </c>
      <c r="W13" s="123">
        <f>V13/U13*100</f>
        <v>0</v>
      </c>
      <c r="X13" s="123">
        <f t="shared" si="9"/>
        <v>27456.999999999996</v>
      </c>
      <c r="Y13" s="123">
        <f t="shared" si="9"/>
        <v>0</v>
      </c>
      <c r="Z13" s="123">
        <f t="shared" si="9"/>
        <v>0</v>
      </c>
      <c r="AA13" s="104">
        <f t="shared" si="9"/>
        <v>37585.5</v>
      </c>
      <c r="AB13" s="123">
        <f t="shared" si="9"/>
        <v>0</v>
      </c>
      <c r="AC13" s="123">
        <f t="shared" si="9"/>
        <v>0</v>
      </c>
      <c r="AD13" s="104">
        <f t="shared" si="9"/>
        <v>26895.1</v>
      </c>
      <c r="AE13" s="104">
        <f t="shared" si="9"/>
        <v>0</v>
      </c>
      <c r="AF13" s="104">
        <f t="shared" si="7"/>
        <v>0</v>
      </c>
      <c r="AG13" s="104">
        <f t="shared" si="9"/>
        <v>18474.699999999997</v>
      </c>
      <c r="AH13" s="123">
        <f t="shared" si="9"/>
        <v>0</v>
      </c>
      <c r="AI13" s="123">
        <v>0</v>
      </c>
      <c r="AJ13" s="123">
        <f t="shared" si="9"/>
        <v>15428.3</v>
      </c>
      <c r="AK13" s="123">
        <f t="shared" si="9"/>
        <v>0</v>
      </c>
      <c r="AL13" s="123">
        <f t="shared" si="9"/>
        <v>0</v>
      </c>
      <c r="AM13" s="104">
        <f t="shared" si="9"/>
        <v>16324.299999999997</v>
      </c>
      <c r="AN13" s="123">
        <f t="shared" si="9"/>
        <v>0</v>
      </c>
      <c r="AO13" s="123">
        <f t="shared" si="9"/>
        <v>0</v>
      </c>
      <c r="AP13" s="104">
        <f t="shared" si="9"/>
        <v>36864.300000000003</v>
      </c>
      <c r="AQ13" s="123">
        <f t="shared" si="9"/>
        <v>0</v>
      </c>
      <c r="AR13" s="123">
        <f t="shared" si="9"/>
        <v>0</v>
      </c>
      <c r="AS13" s="352" t="s">
        <v>430</v>
      </c>
      <c r="AT13" s="434" t="s">
        <v>428</v>
      </c>
      <c r="AU13" s="121"/>
      <c r="AV13" s="121"/>
      <c r="AW13" s="155"/>
    </row>
    <row r="14" spans="1:49" s="31" customFormat="1" ht="36">
      <c r="A14" s="344"/>
      <c r="B14" s="347"/>
      <c r="C14" s="350"/>
      <c r="D14" s="350"/>
      <c r="E14" s="108" t="s">
        <v>3</v>
      </c>
      <c r="F14" s="123">
        <f>I14+L14+O14+R14+U14+X14+AA14+AD14+AG14+AJ14+AM14+AP14</f>
        <v>91986.599999999977</v>
      </c>
      <c r="G14" s="123">
        <f>J14+M14+P14+S14+V14+Y14+AB14+AE14+AH14+AK14+AN14+AQ14</f>
        <v>13734.2</v>
      </c>
      <c r="H14" s="123">
        <f t="shared" si="1"/>
        <v>14.930652942928649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6488.1</v>
      </c>
      <c r="N14" s="123">
        <f>M14/L14*100</f>
        <v>98.694838680235492</v>
      </c>
      <c r="O14" s="123">
        <f>5300+79.4+1165.4-6.3+184.6-147.7+295.4</f>
        <v>6870.7999999999993</v>
      </c>
      <c r="P14" s="123">
        <v>6419.5</v>
      </c>
      <c r="Q14" s="123">
        <f>P14/O14*100</f>
        <v>93.431623682831699</v>
      </c>
      <c r="R14" s="123">
        <f>5300+226+5+1479.9</f>
        <v>7010.9</v>
      </c>
      <c r="S14" s="123">
        <v>0</v>
      </c>
      <c r="T14" s="123">
        <v>0</v>
      </c>
      <c r="U14" s="117">
        <f>5300+19.7+79.4+21+897.9+136</f>
        <v>6453.9999999999991</v>
      </c>
      <c r="V14" s="117">
        <v>0</v>
      </c>
      <c r="W14" s="117">
        <v>0</v>
      </c>
      <c r="X14" s="117">
        <f>6259+53.9+5+1168.2-27.8+0.1</f>
        <v>7458.4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7486+216.1+5+1166.4-53.2</f>
        <v>8820.2999999999993</v>
      </c>
      <c r="AE14" s="117">
        <v>0</v>
      </c>
      <c r="AF14" s="117">
        <v>0</v>
      </c>
      <c r="AG14" s="117">
        <f>108.1+5300+71+123+136.5+561.4+365.7-0.1</f>
        <v>6665.5999999999995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11.1+17482.4+151.9+226.6+1870.8-217.2-85+395.6-82.8</f>
        <v>19753.399999999998</v>
      </c>
      <c r="AQ14" s="123"/>
      <c r="AR14" s="123"/>
      <c r="AS14" s="353"/>
      <c r="AT14" s="435"/>
      <c r="AU14" s="121"/>
      <c r="AV14" s="121"/>
      <c r="AW14" s="155"/>
    </row>
    <row r="15" spans="1:49" s="31" customFormat="1" ht="12.75">
      <c r="A15" s="344"/>
      <c r="B15" s="347"/>
      <c r="C15" s="350"/>
      <c r="D15" s="350"/>
      <c r="E15" s="108" t="s">
        <v>44</v>
      </c>
      <c r="F15" s="123">
        <f t="shared" ref="F15:G16" si="10">I15+L15+O15+R15+U15+X15+AA15+AD15+AG15+AJ15+AM15+AP15</f>
        <v>203467.69999999998</v>
      </c>
      <c r="G15" s="123">
        <f t="shared" si="10"/>
        <v>46950.2</v>
      </c>
      <c r="H15" s="123">
        <f t="shared" si="1"/>
        <v>23.075013871980662</v>
      </c>
      <c r="I15" s="123">
        <v>5548.2</v>
      </c>
      <c r="J15" s="123">
        <v>17377.7</v>
      </c>
      <c r="K15" s="123">
        <f>J15/I15*100</f>
        <v>313.213294401788</v>
      </c>
      <c r="L15" s="123">
        <f>517.2+2195.7+21252+496.8+361.9+645.7-74+0.3-0.6</f>
        <v>25395.000000000004</v>
      </c>
      <c r="M15" s="123">
        <v>16917</v>
      </c>
      <c r="N15" s="123">
        <f t="shared" ref="N15:N22" si="11">M15/L15*100</f>
        <v>66.615475487300628</v>
      </c>
      <c r="O15" s="123">
        <f>938.9+1669.1+15140.2+361.8+251.7+81+61.3-1+41.1+913.8+0.4</f>
        <v>19458.3</v>
      </c>
      <c r="P15" s="123">
        <v>12655.5</v>
      </c>
      <c r="Q15" s="123">
        <f t="shared" ref="Q15:Q22" si="12">P15/O15*100</f>
        <v>65.039083578729901</v>
      </c>
      <c r="R15" s="123">
        <f>662.3+2139.5+21249.9+500+398.9+68.6+40-815.8</f>
        <v>24243.4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334.2+1608.2+15696.6+500+535.6+174.6-0.2-122.8+820.7</f>
        <v>19546.899999999998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410.5+1275+9041.8+500+537.9+527.3-0.2-784.8</f>
        <v>11507.499999999998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257+1140.6+13806+958+795.4-41.1-98+74.1-0.3+0.6-36.2</f>
        <v>16856.099999999999</v>
      </c>
      <c r="AQ15" s="123"/>
      <c r="AR15" s="123"/>
      <c r="AS15" s="353"/>
      <c r="AT15" s="435"/>
      <c r="AU15" s="121"/>
      <c r="AV15" s="121"/>
      <c r="AW15" s="155"/>
    </row>
    <row r="16" spans="1:49" s="31" customFormat="1" ht="71.25" customHeight="1">
      <c r="A16" s="345"/>
      <c r="B16" s="348"/>
      <c r="C16" s="351"/>
      <c r="D16" s="351"/>
      <c r="E16" s="109" t="s">
        <v>257</v>
      </c>
      <c r="F16" s="123">
        <f t="shared" si="10"/>
        <v>5832.0999999999995</v>
      </c>
      <c r="G16" s="123">
        <f t="shared" si="10"/>
        <v>805.9</v>
      </c>
      <c r="H16" s="123">
        <f t="shared" si="1"/>
        <v>13.818350165463556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221.6</v>
      </c>
      <c r="N16" s="123">
        <f t="shared" si="11"/>
        <v>65.854383358098062</v>
      </c>
      <c r="O16" s="123">
        <f>811.3-84.7-0.3</f>
        <v>726.3</v>
      </c>
      <c r="P16" s="123">
        <v>584.29999999999995</v>
      </c>
      <c r="Q16" s="123">
        <f t="shared" si="12"/>
        <v>80.448850337326178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f>352.8+98.9</f>
        <v>451.70000000000005</v>
      </c>
      <c r="Y16" s="117">
        <v>0</v>
      </c>
      <c r="Z16" s="117">
        <v>0</v>
      </c>
      <c r="AA16" s="123">
        <f>825.5-156.4</f>
        <v>669.1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f>441.7+84.7</f>
        <v>526.4</v>
      </c>
      <c r="AN16" s="117">
        <v>0</v>
      </c>
      <c r="AO16" s="117">
        <v>0</v>
      </c>
      <c r="AP16" s="117">
        <f>197+57.8</f>
        <v>254.8</v>
      </c>
      <c r="AQ16" s="123"/>
      <c r="AR16" s="123"/>
      <c r="AS16" s="354"/>
      <c r="AT16" s="436"/>
      <c r="AU16" s="121"/>
      <c r="AV16" s="121"/>
      <c r="AW16" s="155"/>
    </row>
    <row r="17" spans="1:49" s="31" customFormat="1" ht="12.75">
      <c r="A17" s="343" t="s">
        <v>327</v>
      </c>
      <c r="B17" s="346" t="s">
        <v>328</v>
      </c>
      <c r="C17" s="349" t="s">
        <v>329</v>
      </c>
      <c r="D17" s="355" t="s">
        <v>330</v>
      </c>
      <c r="E17" s="107" t="s">
        <v>42</v>
      </c>
      <c r="F17" s="123">
        <f>SUM(F18:F20)</f>
        <v>77800</v>
      </c>
      <c r="G17" s="123">
        <f t="shared" ref="G17:P17" si="15">SUM(G18:G20)</f>
        <v>18872.599999999999</v>
      </c>
      <c r="H17" s="123">
        <f t="shared" si="1"/>
        <v>24.257840616966579</v>
      </c>
      <c r="I17" s="123">
        <f t="shared" si="15"/>
        <v>6091.6</v>
      </c>
      <c r="J17" s="123">
        <f t="shared" si="15"/>
        <v>6082.4</v>
      </c>
      <c r="K17" s="123">
        <f>J17/I17*100</f>
        <v>99.848972355374599</v>
      </c>
      <c r="L17" s="123">
        <f t="shared" si="15"/>
        <v>6886.9</v>
      </c>
      <c r="M17" s="123">
        <f t="shared" si="15"/>
        <v>6744.5</v>
      </c>
      <c r="N17" s="123">
        <f t="shared" si="11"/>
        <v>97.932306262614532</v>
      </c>
      <c r="O17" s="123">
        <f t="shared" si="15"/>
        <v>6537.7</v>
      </c>
      <c r="P17" s="123">
        <f t="shared" si="15"/>
        <v>6045.7</v>
      </c>
      <c r="Q17" s="123">
        <f t="shared" si="12"/>
        <v>92.474417608639129</v>
      </c>
      <c r="R17" s="123">
        <f t="shared" ref="R17:AB17" si="16">SUM(R18:R20)</f>
        <v>6898.7</v>
      </c>
      <c r="S17" s="123">
        <f t="shared" si="16"/>
        <v>0</v>
      </c>
      <c r="T17" s="123">
        <f t="shared" si="13"/>
        <v>0</v>
      </c>
      <c r="U17" s="123">
        <f t="shared" si="16"/>
        <v>6826.3</v>
      </c>
      <c r="V17" s="123">
        <f t="shared" si="16"/>
        <v>0</v>
      </c>
      <c r="W17" s="123">
        <f t="shared" ref="W17" si="17">V17/U17*100</f>
        <v>0</v>
      </c>
      <c r="X17" s="123">
        <f t="shared" si="16"/>
        <v>9052.9</v>
      </c>
      <c r="Y17" s="123">
        <f t="shared" si="16"/>
        <v>0</v>
      </c>
      <c r="Z17" s="123">
        <f>Y17/X17*100</f>
        <v>0</v>
      </c>
      <c r="AA17" s="104">
        <f t="shared" si="16"/>
        <v>7429.2</v>
      </c>
      <c r="AB17" s="123">
        <f t="shared" si="16"/>
        <v>0</v>
      </c>
      <c r="AC17" s="123">
        <f>SUM(AC18:AC20)</f>
        <v>0</v>
      </c>
      <c r="AD17" s="104">
        <f t="shared" ref="AD17:AR17" si="18">SUM(AD18:AD20)</f>
        <v>6016.2</v>
      </c>
      <c r="AE17" s="104">
        <f t="shared" si="18"/>
        <v>0</v>
      </c>
      <c r="AF17" s="104">
        <f t="shared" si="7"/>
        <v>0</v>
      </c>
      <c r="AG17" s="104">
        <f t="shared" si="18"/>
        <v>5470</v>
      </c>
      <c r="AH17" s="123">
        <f t="shared" si="18"/>
        <v>0</v>
      </c>
      <c r="AI17" s="123">
        <f t="shared" si="18"/>
        <v>0</v>
      </c>
      <c r="AJ17" s="123">
        <f t="shared" si="18"/>
        <v>5538.5</v>
      </c>
      <c r="AK17" s="123">
        <f t="shared" si="18"/>
        <v>0</v>
      </c>
      <c r="AL17" s="123">
        <f t="shared" si="18"/>
        <v>0</v>
      </c>
      <c r="AM17" s="104">
        <f t="shared" si="18"/>
        <v>5036.7</v>
      </c>
      <c r="AN17" s="123">
        <f t="shared" si="18"/>
        <v>0</v>
      </c>
      <c r="AO17" s="123">
        <f t="shared" si="18"/>
        <v>0</v>
      </c>
      <c r="AP17" s="104">
        <f t="shared" si="18"/>
        <v>6015.3</v>
      </c>
      <c r="AQ17" s="123">
        <f t="shared" si="18"/>
        <v>0</v>
      </c>
      <c r="AR17" s="123">
        <f t="shared" si="18"/>
        <v>0</v>
      </c>
      <c r="AS17" s="352" t="s">
        <v>408</v>
      </c>
      <c r="AT17" s="434" t="s">
        <v>406</v>
      </c>
      <c r="AU17" s="121"/>
      <c r="AV17" s="121"/>
      <c r="AW17" s="155"/>
    </row>
    <row r="18" spans="1:49" s="31" customFormat="1" ht="36">
      <c r="A18" s="344"/>
      <c r="B18" s="347"/>
      <c r="C18" s="350"/>
      <c r="D18" s="356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53"/>
      <c r="AT18" s="435"/>
      <c r="AU18" s="121"/>
      <c r="AV18" s="121"/>
      <c r="AW18" s="155"/>
    </row>
    <row r="19" spans="1:49" s="31" customFormat="1" ht="12.75">
      <c r="A19" s="344"/>
      <c r="B19" s="347"/>
      <c r="C19" s="350"/>
      <c r="D19" s="356"/>
      <c r="E19" s="108" t="s">
        <v>44</v>
      </c>
      <c r="F19" s="123">
        <f t="shared" ref="F19:G20" si="19">I19+L19+O19+R19+U19+X19+AA19+AD19+AG19+AJ19+AM19+AP19</f>
        <v>77800</v>
      </c>
      <c r="G19" s="123">
        <f t="shared" si="19"/>
        <v>18872.599999999999</v>
      </c>
      <c r="H19" s="123">
        <f>G19/F19*100</f>
        <v>24.257840616966579</v>
      </c>
      <c r="I19" s="123">
        <v>6091.6</v>
      </c>
      <c r="J19" s="123">
        <v>6082.4</v>
      </c>
      <c r="K19" s="123">
        <f t="shared" ref="K19" si="20">J19/I19*100</f>
        <v>99.848972355374599</v>
      </c>
      <c r="L19" s="123">
        <v>6886.9</v>
      </c>
      <c r="M19" s="123">
        <v>6744.5</v>
      </c>
      <c r="N19" s="123">
        <v>0</v>
      </c>
      <c r="O19" s="123">
        <v>6537.7</v>
      </c>
      <c r="P19" s="123">
        <v>6045.7</v>
      </c>
      <c r="Q19" s="123">
        <v>0</v>
      </c>
      <c r="R19" s="123">
        <v>6898.7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9052.9</v>
      </c>
      <c r="Y19" s="117">
        <v>0</v>
      </c>
      <c r="Z19" s="117">
        <v>0</v>
      </c>
      <c r="AA19" s="123">
        <v>7429.2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5538.5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6015.3</v>
      </c>
      <c r="AQ19" s="123"/>
      <c r="AR19" s="123"/>
      <c r="AS19" s="353"/>
      <c r="AT19" s="435"/>
      <c r="AU19" s="121"/>
      <c r="AV19" s="121"/>
      <c r="AW19" s="155"/>
    </row>
    <row r="20" spans="1:49" s="31" customFormat="1" ht="73.5" customHeight="1">
      <c r="A20" s="345"/>
      <c r="B20" s="348"/>
      <c r="C20" s="351"/>
      <c r="D20" s="362"/>
      <c r="E20" s="109" t="s">
        <v>257</v>
      </c>
      <c r="F20" s="123">
        <f t="shared" si="19"/>
        <v>0</v>
      </c>
      <c r="G20" s="123">
        <f t="shared" si="19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54"/>
      <c r="AT20" s="436"/>
      <c r="AU20" s="121"/>
      <c r="AV20" s="121"/>
      <c r="AW20" s="155"/>
    </row>
    <row r="21" spans="1:49" s="31" customFormat="1" ht="59.25" customHeight="1">
      <c r="A21" s="190" t="s">
        <v>331</v>
      </c>
      <c r="B21" s="210" t="s">
        <v>332</v>
      </c>
      <c r="C21" s="186" t="s">
        <v>333</v>
      </c>
      <c r="D21" s="187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88"/>
      <c r="AT21" s="189"/>
      <c r="AU21" s="121"/>
      <c r="AV21" s="121"/>
      <c r="AW21" s="155"/>
    </row>
    <row r="22" spans="1:49" s="31" customFormat="1" ht="12.75">
      <c r="A22" s="343" t="s">
        <v>334</v>
      </c>
      <c r="B22" s="346" t="s">
        <v>335</v>
      </c>
      <c r="C22" s="349" t="s">
        <v>268</v>
      </c>
      <c r="D22" s="355" t="s">
        <v>336</v>
      </c>
      <c r="E22" s="107" t="s">
        <v>42</v>
      </c>
      <c r="F22" s="123">
        <f>SUM(F23:F24)</f>
        <v>3987.3</v>
      </c>
      <c r="G22" s="123">
        <f>SUM(G23:G24)</f>
        <v>954.4</v>
      </c>
      <c r="H22" s="123">
        <f>G22/F22*100</f>
        <v>23.935996789807636</v>
      </c>
      <c r="I22" s="123">
        <f>SUM(I23:I24)</f>
        <v>326</v>
      </c>
      <c r="J22" s="123">
        <f>SUM(J23:J24)</f>
        <v>326.39999999999998</v>
      </c>
      <c r="K22" s="123">
        <f t="shared" ref="K22:K26" si="21">J22/I22*100</f>
        <v>100.12269938650307</v>
      </c>
      <c r="L22" s="123">
        <f>SUM(L23:L24)</f>
        <v>326</v>
      </c>
      <c r="M22" s="123">
        <f>SUM(M23:M24)</f>
        <v>313.89999999999998</v>
      </c>
      <c r="N22" s="123">
        <f t="shared" si="11"/>
        <v>96.288343558282193</v>
      </c>
      <c r="O22" s="123">
        <f>SUM(O23:O24)</f>
        <v>326</v>
      </c>
      <c r="P22" s="123">
        <f>SUM(P23:P24)</f>
        <v>314.10000000000002</v>
      </c>
      <c r="Q22" s="123">
        <f t="shared" si="12"/>
        <v>96.349693251533751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2">V22/U22*100</f>
        <v>0</v>
      </c>
      <c r="X22" s="123">
        <f t="shared" ref="X22:AE22" si="23">SUM(X23:X24)</f>
        <v>326</v>
      </c>
      <c r="Y22" s="123">
        <f t="shared" si="23"/>
        <v>0</v>
      </c>
      <c r="Z22" s="123">
        <f t="shared" si="23"/>
        <v>0</v>
      </c>
      <c r="AA22" s="104">
        <f t="shared" si="23"/>
        <v>326</v>
      </c>
      <c r="AB22" s="123">
        <f t="shared" si="23"/>
        <v>0</v>
      </c>
      <c r="AC22" s="123">
        <f t="shared" si="23"/>
        <v>0</v>
      </c>
      <c r="AD22" s="104">
        <f t="shared" si="23"/>
        <v>326</v>
      </c>
      <c r="AE22" s="104">
        <f t="shared" si="23"/>
        <v>0</v>
      </c>
      <c r="AF22" s="104">
        <f t="shared" si="7"/>
        <v>0</v>
      </c>
      <c r="AG22" s="104">
        <f t="shared" ref="AG22:AR22" si="24">SUM(AG23:AG24)</f>
        <v>326</v>
      </c>
      <c r="AH22" s="123">
        <f t="shared" si="24"/>
        <v>0</v>
      </c>
      <c r="AI22" s="123">
        <f t="shared" si="24"/>
        <v>0</v>
      </c>
      <c r="AJ22" s="123">
        <f t="shared" si="24"/>
        <v>326</v>
      </c>
      <c r="AK22" s="123">
        <f t="shared" si="24"/>
        <v>0</v>
      </c>
      <c r="AL22" s="123">
        <f t="shared" si="24"/>
        <v>0</v>
      </c>
      <c r="AM22" s="104">
        <f t="shared" si="24"/>
        <v>326</v>
      </c>
      <c r="AN22" s="123">
        <f t="shared" si="24"/>
        <v>0</v>
      </c>
      <c r="AO22" s="123">
        <f t="shared" si="24"/>
        <v>0</v>
      </c>
      <c r="AP22" s="104">
        <f t="shared" si="24"/>
        <v>401.3</v>
      </c>
      <c r="AQ22" s="123">
        <f t="shared" si="24"/>
        <v>0</v>
      </c>
      <c r="AR22" s="123">
        <f t="shared" si="24"/>
        <v>0</v>
      </c>
      <c r="AS22" s="352" t="s">
        <v>410</v>
      </c>
      <c r="AT22" s="357"/>
      <c r="AU22" s="121"/>
      <c r="AV22" s="121"/>
      <c r="AW22" s="155"/>
    </row>
    <row r="23" spans="1:49" s="31" customFormat="1" ht="36">
      <c r="A23" s="344"/>
      <c r="B23" s="347"/>
      <c r="C23" s="350"/>
      <c r="D23" s="356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53"/>
      <c r="AT23" s="358"/>
      <c r="AU23" s="121"/>
      <c r="AV23" s="121"/>
      <c r="AW23" s="155"/>
    </row>
    <row r="24" spans="1:49" s="31" customFormat="1" ht="23.25" customHeight="1">
      <c r="A24" s="344"/>
      <c r="B24" s="347"/>
      <c r="C24" s="350"/>
      <c r="D24" s="356"/>
      <c r="E24" s="108" t="s">
        <v>44</v>
      </c>
      <c r="F24" s="123">
        <f t="shared" ref="F24:G24" si="25">I24+L24+O24+R24+U24+X24+AA24+AD24+AG24+AJ24+AM24+AP24</f>
        <v>3987.3</v>
      </c>
      <c r="G24" s="123">
        <f t="shared" si="25"/>
        <v>954.4</v>
      </c>
      <c r="H24" s="123">
        <v>0</v>
      </c>
      <c r="I24" s="123">
        <v>326</v>
      </c>
      <c r="J24" s="123">
        <v>326.39999999999998</v>
      </c>
      <c r="K24" s="123">
        <f t="shared" si="21"/>
        <v>100.12269938650307</v>
      </c>
      <c r="L24" s="123">
        <v>326</v>
      </c>
      <c r="M24" s="123">
        <v>313.89999999999998</v>
      </c>
      <c r="N24" s="123">
        <f t="shared" ref="N24" si="26">M24/L24*100</f>
        <v>96.288343558282193</v>
      </c>
      <c r="O24" s="123">
        <v>326</v>
      </c>
      <c r="P24" s="123">
        <v>314.10000000000002</v>
      </c>
      <c r="Q24" s="123">
        <f t="shared" ref="Q24" si="27">P24/O24*100</f>
        <v>96.349693251533751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53"/>
      <c r="AT24" s="358"/>
      <c r="AU24" s="121"/>
      <c r="AV24" s="121"/>
      <c r="AW24" s="155"/>
    </row>
    <row r="25" spans="1:49" s="31" customFormat="1" ht="12.75">
      <c r="A25" s="343" t="s">
        <v>337</v>
      </c>
      <c r="B25" s="384" t="s">
        <v>338</v>
      </c>
      <c r="C25" s="349" t="s">
        <v>339</v>
      </c>
      <c r="D25" s="355" t="s">
        <v>340</v>
      </c>
      <c r="E25" s="107" t="s">
        <v>42</v>
      </c>
      <c r="F25" s="123">
        <f>SUM(F26:F28)</f>
        <v>5215.6000000000004</v>
      </c>
      <c r="G25" s="123">
        <f t="shared" ref="G25:P25" si="28">SUM(G26:G28)</f>
        <v>868.69999999999993</v>
      </c>
      <c r="H25" s="123">
        <f>G25/F25*100</f>
        <v>16.655801825293349</v>
      </c>
      <c r="I25" s="123">
        <f t="shared" si="28"/>
        <v>108.8</v>
      </c>
      <c r="J25" s="123">
        <f t="shared" si="28"/>
        <v>97.9</v>
      </c>
      <c r="K25" s="123">
        <f t="shared" si="21"/>
        <v>89.981617647058826</v>
      </c>
      <c r="L25" s="123">
        <f t="shared" si="28"/>
        <v>584.9</v>
      </c>
      <c r="M25" s="123">
        <f t="shared" si="28"/>
        <v>463.5</v>
      </c>
      <c r="N25" s="123">
        <f t="shared" ref="N25:N26" si="29">M25/L25*100</f>
        <v>79.244315267567117</v>
      </c>
      <c r="O25" s="123">
        <f t="shared" si="28"/>
        <v>371.1</v>
      </c>
      <c r="P25" s="123">
        <f t="shared" si="28"/>
        <v>307.29999999999995</v>
      </c>
      <c r="Q25" s="123">
        <f t="shared" ref="Q25:Q26" si="30">P25/O25*100</f>
        <v>82.807868499056838</v>
      </c>
      <c r="R25" s="123">
        <f t="shared" ref="R25:Z25" si="31">SUM(R26:R28)</f>
        <v>368.4</v>
      </c>
      <c r="S25" s="123">
        <f t="shared" si="31"/>
        <v>0</v>
      </c>
      <c r="T25" s="123">
        <v>0</v>
      </c>
      <c r="U25" s="123">
        <f t="shared" si="31"/>
        <v>399</v>
      </c>
      <c r="V25" s="123">
        <f t="shared" si="31"/>
        <v>0</v>
      </c>
      <c r="W25" s="123">
        <f t="shared" si="31"/>
        <v>0</v>
      </c>
      <c r="X25" s="123">
        <f t="shared" si="31"/>
        <v>605.5</v>
      </c>
      <c r="Y25" s="123">
        <f t="shared" si="31"/>
        <v>0</v>
      </c>
      <c r="Z25" s="123">
        <f t="shared" si="31"/>
        <v>0</v>
      </c>
      <c r="AA25" s="104">
        <f t="shared" ref="AA25:AB25" si="32">SUM(AA26:AA28)</f>
        <v>665.80000000000007</v>
      </c>
      <c r="AB25" s="123">
        <f t="shared" si="32"/>
        <v>0</v>
      </c>
      <c r="AC25" s="123">
        <f>SUM(AC26:AC28)</f>
        <v>0</v>
      </c>
      <c r="AD25" s="104">
        <f t="shared" ref="AD25:AR25" si="33">SUM(AD26:AD28)</f>
        <v>633.1</v>
      </c>
      <c r="AE25" s="104">
        <f t="shared" si="33"/>
        <v>0</v>
      </c>
      <c r="AF25" s="104">
        <f t="shared" si="7"/>
        <v>0</v>
      </c>
      <c r="AG25" s="104">
        <f t="shared" si="33"/>
        <v>520.70000000000005</v>
      </c>
      <c r="AH25" s="123">
        <f t="shared" si="33"/>
        <v>0</v>
      </c>
      <c r="AI25" s="104">
        <f t="shared" ref="AI25" si="34">AH25/AG25*100</f>
        <v>0</v>
      </c>
      <c r="AJ25" s="123">
        <f t="shared" si="33"/>
        <v>538.09999999999991</v>
      </c>
      <c r="AK25" s="123">
        <f t="shared" si="33"/>
        <v>0</v>
      </c>
      <c r="AL25" s="123">
        <f t="shared" si="33"/>
        <v>0</v>
      </c>
      <c r="AM25" s="104">
        <f t="shared" si="33"/>
        <v>200.2</v>
      </c>
      <c r="AN25" s="123">
        <f t="shared" si="33"/>
        <v>0</v>
      </c>
      <c r="AO25" s="123">
        <f t="shared" si="33"/>
        <v>0</v>
      </c>
      <c r="AP25" s="104">
        <f t="shared" si="33"/>
        <v>220</v>
      </c>
      <c r="AQ25" s="123">
        <f t="shared" si="33"/>
        <v>0</v>
      </c>
      <c r="AR25" s="123">
        <f t="shared" si="33"/>
        <v>0</v>
      </c>
      <c r="AS25" s="352" t="s">
        <v>407</v>
      </c>
      <c r="AT25" s="440" t="s">
        <v>409</v>
      </c>
      <c r="AU25" s="121"/>
      <c r="AV25" s="121"/>
      <c r="AW25" s="155"/>
    </row>
    <row r="26" spans="1:49" s="31" customFormat="1" ht="36">
      <c r="A26" s="344"/>
      <c r="B26" s="385"/>
      <c r="C26" s="350"/>
      <c r="D26" s="356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156.89999999999998</v>
      </c>
      <c r="H26" s="123">
        <f>G26/F26*100</f>
        <v>6.1592211666797505</v>
      </c>
      <c r="I26" s="104">
        <v>0</v>
      </c>
      <c r="J26" s="104">
        <v>0</v>
      </c>
      <c r="K26" s="123" t="e">
        <f t="shared" si="21"/>
        <v>#DIV/0!</v>
      </c>
      <c r="L26" s="126">
        <v>124.5</v>
      </c>
      <c r="M26" s="104">
        <v>43.8</v>
      </c>
      <c r="N26" s="123">
        <f t="shared" si="29"/>
        <v>35.180722891566262</v>
      </c>
      <c r="O26" s="104">
        <f>124.6+15.4</f>
        <v>140</v>
      </c>
      <c r="P26" s="104">
        <v>113.1</v>
      </c>
      <c r="Q26" s="123">
        <f t="shared" si="30"/>
        <v>80.785714285714278</v>
      </c>
      <c r="R26" s="104">
        <f>124.5+15.4</f>
        <v>139.9</v>
      </c>
      <c r="S26" s="104">
        <v>0</v>
      </c>
      <c r="T26" s="123">
        <v>0</v>
      </c>
      <c r="U26" s="105">
        <f>141.4+21</f>
        <v>162.4</v>
      </c>
      <c r="V26" s="105">
        <v>0</v>
      </c>
      <c r="W26" s="105">
        <v>0</v>
      </c>
      <c r="X26" s="105">
        <f>141.4+189</f>
        <v>330.4</v>
      </c>
      <c r="Y26" s="105">
        <v>0</v>
      </c>
      <c r="Z26" s="105">
        <f>Y26/X26*100</f>
        <v>0</v>
      </c>
      <c r="AA26" s="105">
        <f>165.8+183.4</f>
        <v>349.20000000000005</v>
      </c>
      <c r="AB26" s="105">
        <v>0</v>
      </c>
      <c r="AC26" s="105">
        <f>AB26/AA26*100</f>
        <v>0</v>
      </c>
      <c r="AD26" s="105">
        <f>165.8+182</f>
        <v>347.8</v>
      </c>
      <c r="AE26" s="105">
        <v>0</v>
      </c>
      <c r="AF26" s="105">
        <f>AE26/AD26*100</f>
        <v>0</v>
      </c>
      <c r="AG26" s="105">
        <f>140.4+122.7+49</f>
        <v>312.10000000000002</v>
      </c>
      <c r="AH26" s="105">
        <v>0</v>
      </c>
      <c r="AI26" s="105">
        <f>AH26/AG26*100</f>
        <v>0</v>
      </c>
      <c r="AJ26" s="104">
        <f>235.9+21</f>
        <v>256.89999999999998</v>
      </c>
      <c r="AK26" s="104">
        <v>0</v>
      </c>
      <c r="AL26" s="104">
        <v>0</v>
      </c>
      <c r="AM26" s="105">
        <f>143.2+21</f>
        <v>164.2</v>
      </c>
      <c r="AN26" s="105">
        <v>0</v>
      </c>
      <c r="AO26" s="105">
        <v>0</v>
      </c>
      <c r="AP26" s="104">
        <v>220</v>
      </c>
      <c r="AQ26" s="104"/>
      <c r="AR26" s="104"/>
      <c r="AS26" s="353"/>
      <c r="AT26" s="441"/>
      <c r="AU26" s="121"/>
      <c r="AV26" s="121"/>
      <c r="AW26" s="155"/>
    </row>
    <row r="27" spans="1:49" s="31" customFormat="1" ht="12.75">
      <c r="A27" s="344"/>
      <c r="B27" s="385"/>
      <c r="C27" s="350"/>
      <c r="D27" s="356"/>
      <c r="E27" s="108" t="s">
        <v>44</v>
      </c>
      <c r="F27" s="123">
        <f t="shared" ref="F27:G28" si="35">I27+L27+O27+R27+U27+X27+AA27+AD27+AG27+AJ27+AM27+AP27</f>
        <v>2668.2</v>
      </c>
      <c r="G27" s="123">
        <f t="shared" si="35"/>
        <v>711.8</v>
      </c>
      <c r="H27" s="123">
        <v>0</v>
      </c>
      <c r="I27" s="123">
        <v>108.8</v>
      </c>
      <c r="J27" s="123">
        <v>97.9</v>
      </c>
      <c r="K27" s="123">
        <v>0</v>
      </c>
      <c r="L27" s="123">
        <v>460.4</v>
      </c>
      <c r="M27" s="123">
        <v>419.7</v>
      </c>
      <c r="N27" s="123">
        <v>0</v>
      </c>
      <c r="O27" s="123">
        <v>231.1</v>
      </c>
      <c r="P27" s="123">
        <v>194.2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36</v>
      </c>
      <c r="AN27" s="117">
        <v>0</v>
      </c>
      <c r="AO27" s="117">
        <v>0</v>
      </c>
      <c r="AP27" s="117">
        <v>0</v>
      </c>
      <c r="AQ27" s="123"/>
      <c r="AR27" s="123"/>
      <c r="AS27" s="353"/>
      <c r="AT27" s="441"/>
      <c r="AU27" s="121"/>
      <c r="AV27" s="121"/>
      <c r="AW27" s="155"/>
    </row>
    <row r="28" spans="1:49" s="31" customFormat="1" ht="87" customHeight="1">
      <c r="A28" s="345"/>
      <c r="B28" s="386"/>
      <c r="C28" s="351"/>
      <c r="D28" s="362"/>
      <c r="E28" s="109" t="s">
        <v>257</v>
      </c>
      <c r="F28" s="123">
        <f t="shared" si="35"/>
        <v>0</v>
      </c>
      <c r="G28" s="123">
        <f t="shared" si="35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54"/>
      <c r="AT28" s="442"/>
      <c r="AU28" s="121"/>
      <c r="AV28" s="121"/>
      <c r="AW28" s="155"/>
    </row>
    <row r="29" spans="1:49" s="31" customFormat="1" ht="12.75">
      <c r="A29" s="343" t="s">
        <v>341</v>
      </c>
      <c r="B29" s="346" t="s">
        <v>342</v>
      </c>
      <c r="C29" s="349" t="s">
        <v>268</v>
      </c>
      <c r="D29" s="355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6">SUM(U30:U31)</f>
        <v>0</v>
      </c>
      <c r="V29" s="123">
        <f t="shared" si="36"/>
        <v>0</v>
      </c>
      <c r="W29" s="123">
        <f t="shared" si="36"/>
        <v>0</v>
      </c>
      <c r="X29" s="123">
        <f t="shared" si="36"/>
        <v>0</v>
      </c>
      <c r="Y29" s="123">
        <f t="shared" si="36"/>
        <v>0</v>
      </c>
      <c r="Z29" s="123">
        <f t="shared" si="36"/>
        <v>0</v>
      </c>
      <c r="AA29" s="104">
        <f t="shared" si="36"/>
        <v>0</v>
      </c>
      <c r="AB29" s="123">
        <f t="shared" si="36"/>
        <v>0</v>
      </c>
      <c r="AC29" s="123">
        <f t="shared" si="36"/>
        <v>0</v>
      </c>
      <c r="AD29" s="104">
        <f t="shared" si="36"/>
        <v>0</v>
      </c>
      <c r="AE29" s="104">
        <f t="shared" si="36"/>
        <v>0</v>
      </c>
      <c r="AF29" s="104">
        <f t="shared" si="36"/>
        <v>0</v>
      </c>
      <c r="AG29" s="104">
        <f t="shared" si="36"/>
        <v>0</v>
      </c>
      <c r="AH29" s="123">
        <f t="shared" si="36"/>
        <v>0</v>
      </c>
      <c r="AI29" s="117">
        <v>0</v>
      </c>
      <c r="AJ29" s="123">
        <f t="shared" ref="AJ29:AR29" si="37">SUM(AJ30:AJ31)</f>
        <v>0</v>
      </c>
      <c r="AK29" s="123">
        <f t="shared" si="37"/>
        <v>0</v>
      </c>
      <c r="AL29" s="123">
        <f t="shared" si="37"/>
        <v>0</v>
      </c>
      <c r="AM29" s="104">
        <f t="shared" si="37"/>
        <v>0</v>
      </c>
      <c r="AN29" s="123">
        <f t="shared" si="37"/>
        <v>0</v>
      </c>
      <c r="AO29" s="123">
        <f t="shared" si="37"/>
        <v>0</v>
      </c>
      <c r="AP29" s="104">
        <f t="shared" si="37"/>
        <v>0</v>
      </c>
      <c r="AQ29" s="123">
        <f t="shared" si="37"/>
        <v>0</v>
      </c>
      <c r="AR29" s="123">
        <f t="shared" si="37"/>
        <v>0</v>
      </c>
      <c r="AS29" s="352"/>
      <c r="AT29" s="437" t="s">
        <v>411</v>
      </c>
      <c r="AU29" s="121"/>
      <c r="AV29" s="121"/>
      <c r="AW29" s="155"/>
    </row>
    <row r="30" spans="1:49" s="31" customFormat="1" ht="36">
      <c r="A30" s="344"/>
      <c r="B30" s="347"/>
      <c r="C30" s="350"/>
      <c r="D30" s="356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53"/>
      <c r="AT30" s="438"/>
      <c r="AU30" s="121"/>
      <c r="AV30" s="121"/>
      <c r="AW30" s="155"/>
    </row>
    <row r="31" spans="1:49" s="31" customFormat="1" ht="49.5" customHeight="1">
      <c r="A31" s="344"/>
      <c r="B31" s="347"/>
      <c r="C31" s="350"/>
      <c r="D31" s="356"/>
      <c r="E31" s="108" t="s">
        <v>44</v>
      </c>
      <c r="F31" s="123">
        <f t="shared" ref="F31:G31" si="38">I31+L31+O31+R31+U31+X31+AA31+AD31+AG31+AJ31+AM31+AP31</f>
        <v>150</v>
      </c>
      <c r="G31" s="123">
        <f t="shared" si="38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53"/>
      <c r="AT31" s="439"/>
      <c r="AU31" s="121"/>
      <c r="AV31" s="121"/>
      <c r="AW31" s="155"/>
    </row>
    <row r="32" spans="1:49" s="31" customFormat="1" ht="15.75">
      <c r="A32" s="325" t="s">
        <v>344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7"/>
    </row>
    <row r="33" spans="1:49" s="100" customFormat="1" ht="12.75">
      <c r="A33" s="366" t="s">
        <v>345</v>
      </c>
      <c r="B33" s="367"/>
      <c r="C33" s="367"/>
      <c r="D33" s="368"/>
      <c r="E33" s="129" t="s">
        <v>42</v>
      </c>
      <c r="F33" s="106">
        <f>F34+F35+F36</f>
        <v>33940.800000000003</v>
      </c>
      <c r="G33" s="106">
        <f t="shared" ref="G33:AR33" si="39">G34+G35+G36</f>
        <v>5142.1000000000004</v>
      </c>
      <c r="H33" s="106">
        <f>G33/F33*100</f>
        <v>15.150202705887899</v>
      </c>
      <c r="I33" s="106">
        <f t="shared" si="39"/>
        <v>556</v>
      </c>
      <c r="J33" s="106">
        <f t="shared" si="39"/>
        <v>556</v>
      </c>
      <c r="K33" s="106">
        <f>J33/I33*100</f>
        <v>100</v>
      </c>
      <c r="L33" s="106">
        <f t="shared" si="39"/>
        <v>2428</v>
      </c>
      <c r="M33" s="106">
        <f t="shared" si="39"/>
        <v>2369.3000000000002</v>
      </c>
      <c r="N33" s="106">
        <f>M33/L33*100</f>
        <v>97.582372322899516</v>
      </c>
      <c r="O33" s="106">
        <f t="shared" si="39"/>
        <v>2242</v>
      </c>
      <c r="P33" s="106">
        <f t="shared" si="39"/>
        <v>2216.8000000000002</v>
      </c>
      <c r="Q33" s="106">
        <f>P33/O33*100</f>
        <v>98.876003568242652</v>
      </c>
      <c r="R33" s="106">
        <f t="shared" si="39"/>
        <v>3060</v>
      </c>
      <c r="S33" s="106">
        <f t="shared" si="39"/>
        <v>0</v>
      </c>
      <c r="T33" s="106">
        <f>S33/R33*100</f>
        <v>0</v>
      </c>
      <c r="U33" s="106">
        <f t="shared" si="39"/>
        <v>2489</v>
      </c>
      <c r="V33" s="106">
        <f t="shared" si="39"/>
        <v>0</v>
      </c>
      <c r="W33" s="106">
        <f t="shared" si="39"/>
        <v>0</v>
      </c>
      <c r="X33" s="106">
        <f t="shared" si="39"/>
        <v>2628</v>
      </c>
      <c r="Y33" s="106">
        <f t="shared" si="39"/>
        <v>0</v>
      </c>
      <c r="Z33" s="106">
        <f t="shared" si="39"/>
        <v>0</v>
      </c>
      <c r="AA33" s="106">
        <f t="shared" si="39"/>
        <v>3576</v>
      </c>
      <c r="AB33" s="106">
        <f t="shared" si="39"/>
        <v>0</v>
      </c>
      <c r="AC33" s="106">
        <f t="shared" si="39"/>
        <v>0</v>
      </c>
      <c r="AD33" s="106">
        <f t="shared" si="39"/>
        <v>2569</v>
      </c>
      <c r="AE33" s="106">
        <f t="shared" si="39"/>
        <v>0</v>
      </c>
      <c r="AF33" s="106">
        <f t="shared" ref="AF33:AF35" si="40">AE33/AD33*100</f>
        <v>0</v>
      </c>
      <c r="AG33" s="106">
        <f t="shared" si="39"/>
        <v>2544</v>
      </c>
      <c r="AH33" s="106">
        <f t="shared" si="39"/>
        <v>0</v>
      </c>
      <c r="AI33" s="106">
        <f t="shared" si="39"/>
        <v>0</v>
      </c>
      <c r="AJ33" s="106">
        <f t="shared" si="39"/>
        <v>2984</v>
      </c>
      <c r="AK33" s="106">
        <f t="shared" si="39"/>
        <v>0</v>
      </c>
      <c r="AL33" s="106">
        <f t="shared" si="39"/>
        <v>0</v>
      </c>
      <c r="AM33" s="106">
        <f t="shared" si="39"/>
        <v>2265.6</v>
      </c>
      <c r="AN33" s="106">
        <f t="shared" si="39"/>
        <v>0</v>
      </c>
      <c r="AO33" s="106">
        <f t="shared" si="39"/>
        <v>0</v>
      </c>
      <c r="AP33" s="106">
        <f t="shared" si="39"/>
        <v>6599.2</v>
      </c>
      <c r="AQ33" s="106">
        <f t="shared" si="39"/>
        <v>0</v>
      </c>
      <c r="AR33" s="106">
        <f t="shared" si="39"/>
        <v>0</v>
      </c>
      <c r="AS33" s="375"/>
      <c r="AT33" s="378"/>
      <c r="AU33" s="121"/>
      <c r="AV33" s="121"/>
      <c r="AW33" s="155"/>
    </row>
    <row r="34" spans="1:49" s="100" customFormat="1" ht="36">
      <c r="A34" s="369"/>
      <c r="B34" s="370"/>
      <c r="C34" s="370"/>
      <c r="D34" s="371"/>
      <c r="E34" s="111" t="s">
        <v>3</v>
      </c>
      <c r="F34" s="106">
        <f>F43</f>
        <v>30600.9</v>
      </c>
      <c r="G34" s="106">
        <f t="shared" ref="G34:AR36" si="41">G43</f>
        <v>4083.1000000000004</v>
      </c>
      <c r="H34" s="106">
        <f>G34/F34*100</f>
        <v>13.343071609004964</v>
      </c>
      <c r="I34" s="106">
        <f t="shared" si="41"/>
        <v>0</v>
      </c>
      <c r="J34" s="106">
        <f t="shared" si="41"/>
        <v>0</v>
      </c>
      <c r="K34" s="106" t="e">
        <f t="shared" ref="K34:K35" si="42">J34/I34*100</f>
        <v>#DIV/0!</v>
      </c>
      <c r="L34" s="106">
        <f t="shared" si="41"/>
        <v>2178</v>
      </c>
      <c r="M34" s="106">
        <f t="shared" si="41"/>
        <v>2119.3000000000002</v>
      </c>
      <c r="N34" s="106">
        <f t="shared" ref="N34:N35" si="43">M34/L34*100</f>
        <v>97.304866850321403</v>
      </c>
      <c r="O34" s="106">
        <f t="shared" si="41"/>
        <v>1989</v>
      </c>
      <c r="P34" s="106">
        <f t="shared" si="41"/>
        <v>1963.8</v>
      </c>
      <c r="Q34" s="106">
        <f t="shared" ref="Q34:Q35" si="44">P34/O34*100</f>
        <v>98.733031674208135</v>
      </c>
      <c r="R34" s="106">
        <f t="shared" si="41"/>
        <v>3010</v>
      </c>
      <c r="S34" s="106">
        <f t="shared" si="41"/>
        <v>0</v>
      </c>
      <c r="T34" s="106">
        <f t="shared" ref="T34:T35" si="45">S34/R34*100</f>
        <v>0</v>
      </c>
      <c r="U34" s="106">
        <f t="shared" si="41"/>
        <v>2037</v>
      </c>
      <c r="V34" s="106">
        <f t="shared" si="41"/>
        <v>0</v>
      </c>
      <c r="W34" s="106">
        <f t="shared" si="41"/>
        <v>0</v>
      </c>
      <c r="X34" s="106">
        <f t="shared" si="41"/>
        <v>2578</v>
      </c>
      <c r="Y34" s="106">
        <f t="shared" si="41"/>
        <v>0</v>
      </c>
      <c r="Z34" s="106">
        <f t="shared" si="41"/>
        <v>0</v>
      </c>
      <c r="AA34" s="106">
        <f t="shared" si="41"/>
        <v>3526</v>
      </c>
      <c r="AB34" s="106">
        <f t="shared" si="41"/>
        <v>0</v>
      </c>
      <c r="AC34" s="106">
        <f t="shared" si="41"/>
        <v>0</v>
      </c>
      <c r="AD34" s="106">
        <f t="shared" si="41"/>
        <v>2117</v>
      </c>
      <c r="AE34" s="106">
        <f t="shared" si="41"/>
        <v>0</v>
      </c>
      <c r="AF34" s="106">
        <f t="shared" si="40"/>
        <v>0</v>
      </c>
      <c r="AG34" s="106">
        <f t="shared" si="41"/>
        <v>2494</v>
      </c>
      <c r="AH34" s="106">
        <f t="shared" si="41"/>
        <v>0</v>
      </c>
      <c r="AI34" s="106">
        <f t="shared" si="41"/>
        <v>0</v>
      </c>
      <c r="AJ34" s="106">
        <f t="shared" si="41"/>
        <v>2934</v>
      </c>
      <c r="AK34" s="106">
        <f t="shared" si="41"/>
        <v>0</v>
      </c>
      <c r="AL34" s="106">
        <f t="shared" si="41"/>
        <v>0</v>
      </c>
      <c r="AM34" s="106">
        <f t="shared" si="41"/>
        <v>1812</v>
      </c>
      <c r="AN34" s="106">
        <f t="shared" si="41"/>
        <v>0</v>
      </c>
      <c r="AO34" s="106">
        <f t="shared" si="41"/>
        <v>0</v>
      </c>
      <c r="AP34" s="106">
        <f t="shared" si="41"/>
        <v>5925.9</v>
      </c>
      <c r="AQ34" s="106">
        <f t="shared" si="41"/>
        <v>0</v>
      </c>
      <c r="AR34" s="106">
        <f t="shared" si="41"/>
        <v>0</v>
      </c>
      <c r="AS34" s="376"/>
      <c r="AT34" s="379"/>
      <c r="AU34" s="121"/>
      <c r="AV34" s="121"/>
      <c r="AW34" s="155"/>
    </row>
    <row r="35" spans="1:49" s="100" customFormat="1" ht="24">
      <c r="A35" s="369"/>
      <c r="B35" s="370"/>
      <c r="C35" s="370"/>
      <c r="D35" s="371"/>
      <c r="E35" s="111" t="s">
        <v>44</v>
      </c>
      <c r="F35" s="106">
        <f>F44</f>
        <v>3339.8999999999996</v>
      </c>
      <c r="G35" s="106">
        <f t="shared" si="41"/>
        <v>1059</v>
      </c>
      <c r="H35" s="106">
        <f>G35/F35*100</f>
        <v>31.70753615377706</v>
      </c>
      <c r="I35" s="106">
        <f t="shared" si="41"/>
        <v>556</v>
      </c>
      <c r="J35" s="106">
        <f t="shared" si="41"/>
        <v>556</v>
      </c>
      <c r="K35" s="106">
        <f t="shared" si="42"/>
        <v>100</v>
      </c>
      <c r="L35" s="106">
        <f t="shared" si="41"/>
        <v>250</v>
      </c>
      <c r="M35" s="106">
        <f t="shared" si="41"/>
        <v>250</v>
      </c>
      <c r="N35" s="106">
        <f t="shared" si="43"/>
        <v>100</v>
      </c>
      <c r="O35" s="106">
        <f t="shared" si="41"/>
        <v>253</v>
      </c>
      <c r="P35" s="106">
        <f t="shared" si="41"/>
        <v>253</v>
      </c>
      <c r="Q35" s="106">
        <f t="shared" si="44"/>
        <v>100</v>
      </c>
      <c r="R35" s="106">
        <f t="shared" si="41"/>
        <v>50</v>
      </c>
      <c r="S35" s="106">
        <f t="shared" si="41"/>
        <v>0</v>
      </c>
      <c r="T35" s="106">
        <f t="shared" si="45"/>
        <v>0</v>
      </c>
      <c r="U35" s="106">
        <f t="shared" si="41"/>
        <v>452</v>
      </c>
      <c r="V35" s="106">
        <f t="shared" si="41"/>
        <v>0</v>
      </c>
      <c r="W35" s="106">
        <f t="shared" si="41"/>
        <v>0</v>
      </c>
      <c r="X35" s="106">
        <f t="shared" si="41"/>
        <v>50</v>
      </c>
      <c r="Y35" s="106">
        <f t="shared" si="41"/>
        <v>0</v>
      </c>
      <c r="Z35" s="106">
        <f t="shared" si="41"/>
        <v>0</v>
      </c>
      <c r="AA35" s="106">
        <f t="shared" si="41"/>
        <v>50</v>
      </c>
      <c r="AB35" s="106">
        <f t="shared" si="41"/>
        <v>0</v>
      </c>
      <c r="AC35" s="106">
        <f t="shared" si="41"/>
        <v>0</v>
      </c>
      <c r="AD35" s="106">
        <f t="shared" si="41"/>
        <v>452</v>
      </c>
      <c r="AE35" s="106">
        <f t="shared" si="41"/>
        <v>0</v>
      </c>
      <c r="AF35" s="106">
        <f t="shared" si="40"/>
        <v>0</v>
      </c>
      <c r="AG35" s="106">
        <f t="shared" si="41"/>
        <v>50</v>
      </c>
      <c r="AH35" s="106">
        <f t="shared" si="41"/>
        <v>0</v>
      </c>
      <c r="AI35" s="106">
        <f t="shared" si="41"/>
        <v>0</v>
      </c>
      <c r="AJ35" s="106">
        <f t="shared" si="41"/>
        <v>50</v>
      </c>
      <c r="AK35" s="106">
        <f t="shared" si="41"/>
        <v>0</v>
      </c>
      <c r="AL35" s="106">
        <f t="shared" si="41"/>
        <v>0</v>
      </c>
      <c r="AM35" s="106">
        <f t="shared" si="41"/>
        <v>453.6</v>
      </c>
      <c r="AN35" s="106">
        <f t="shared" si="41"/>
        <v>0</v>
      </c>
      <c r="AO35" s="106">
        <f t="shared" si="41"/>
        <v>0</v>
      </c>
      <c r="AP35" s="106">
        <f t="shared" si="41"/>
        <v>673.3</v>
      </c>
      <c r="AQ35" s="106">
        <f t="shared" si="41"/>
        <v>0</v>
      </c>
      <c r="AR35" s="106">
        <f t="shared" si="41"/>
        <v>0</v>
      </c>
      <c r="AS35" s="376"/>
      <c r="AT35" s="379"/>
      <c r="AU35" s="121"/>
      <c r="AV35" s="121"/>
      <c r="AW35" s="155"/>
    </row>
    <row r="36" spans="1:49" s="100" customFormat="1" ht="24">
      <c r="A36" s="372"/>
      <c r="B36" s="373"/>
      <c r="C36" s="373"/>
      <c r="D36" s="374"/>
      <c r="E36" s="110" t="s">
        <v>257</v>
      </c>
      <c r="F36" s="106">
        <f>F45</f>
        <v>0</v>
      </c>
      <c r="G36" s="106">
        <f t="shared" si="41"/>
        <v>0</v>
      </c>
      <c r="H36" s="106">
        <v>0</v>
      </c>
      <c r="I36" s="106">
        <f t="shared" si="41"/>
        <v>0</v>
      </c>
      <c r="J36" s="106">
        <f t="shared" si="41"/>
        <v>0</v>
      </c>
      <c r="K36" s="106">
        <v>0</v>
      </c>
      <c r="L36" s="106">
        <f t="shared" si="41"/>
        <v>0</v>
      </c>
      <c r="M36" s="106">
        <f t="shared" si="41"/>
        <v>0</v>
      </c>
      <c r="N36" s="106">
        <v>0</v>
      </c>
      <c r="O36" s="106">
        <f t="shared" si="41"/>
        <v>0</v>
      </c>
      <c r="P36" s="106">
        <f t="shared" si="41"/>
        <v>0</v>
      </c>
      <c r="Q36" s="106">
        <f t="shared" si="41"/>
        <v>0</v>
      </c>
      <c r="R36" s="106">
        <f t="shared" si="41"/>
        <v>0</v>
      </c>
      <c r="S36" s="106">
        <f t="shared" si="41"/>
        <v>0</v>
      </c>
      <c r="T36" s="106">
        <v>0</v>
      </c>
      <c r="U36" s="106">
        <f t="shared" si="41"/>
        <v>0</v>
      </c>
      <c r="V36" s="106">
        <f t="shared" si="41"/>
        <v>0</v>
      </c>
      <c r="W36" s="106">
        <f t="shared" si="41"/>
        <v>0</v>
      </c>
      <c r="X36" s="106">
        <f t="shared" si="41"/>
        <v>0</v>
      </c>
      <c r="Y36" s="106">
        <f t="shared" si="41"/>
        <v>0</v>
      </c>
      <c r="Z36" s="106">
        <f t="shared" si="41"/>
        <v>0</v>
      </c>
      <c r="AA36" s="106">
        <f t="shared" si="41"/>
        <v>0</v>
      </c>
      <c r="AB36" s="106">
        <f t="shared" si="41"/>
        <v>0</v>
      </c>
      <c r="AC36" s="106">
        <f t="shared" si="41"/>
        <v>0</v>
      </c>
      <c r="AD36" s="106">
        <f t="shared" si="41"/>
        <v>0</v>
      </c>
      <c r="AE36" s="106">
        <f t="shared" si="41"/>
        <v>0</v>
      </c>
      <c r="AF36" s="106">
        <f t="shared" si="41"/>
        <v>0</v>
      </c>
      <c r="AG36" s="106">
        <f t="shared" si="41"/>
        <v>0</v>
      </c>
      <c r="AH36" s="106">
        <f t="shared" si="41"/>
        <v>0</v>
      </c>
      <c r="AI36" s="106">
        <f t="shared" si="41"/>
        <v>0</v>
      </c>
      <c r="AJ36" s="106">
        <f t="shared" si="41"/>
        <v>0</v>
      </c>
      <c r="AK36" s="106">
        <f t="shared" si="41"/>
        <v>0</v>
      </c>
      <c r="AL36" s="106">
        <f t="shared" si="41"/>
        <v>0</v>
      </c>
      <c r="AM36" s="106">
        <f t="shared" si="41"/>
        <v>0</v>
      </c>
      <c r="AN36" s="106">
        <f t="shared" si="41"/>
        <v>0</v>
      </c>
      <c r="AO36" s="106">
        <f t="shared" si="41"/>
        <v>0</v>
      </c>
      <c r="AP36" s="106">
        <f t="shared" si="41"/>
        <v>0</v>
      </c>
      <c r="AQ36" s="106">
        <f t="shared" si="41"/>
        <v>0</v>
      </c>
      <c r="AR36" s="106">
        <f t="shared" si="41"/>
        <v>0</v>
      </c>
      <c r="AS36" s="377"/>
      <c r="AT36" s="380"/>
      <c r="AU36" s="121"/>
      <c r="AV36" s="121"/>
      <c r="AW36" s="155"/>
    </row>
    <row r="37" spans="1:49" s="100" customFormat="1" ht="190.5" customHeight="1">
      <c r="A37" s="191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413</v>
      </c>
      <c r="AT37" s="134"/>
      <c r="AU37" s="121"/>
      <c r="AV37" s="121"/>
      <c r="AW37" s="155"/>
    </row>
    <row r="38" spans="1:49" s="100" customFormat="1" ht="108">
      <c r="A38" s="185" t="s">
        <v>351</v>
      </c>
      <c r="B38" s="19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414</v>
      </c>
      <c r="AT38" s="134"/>
      <c r="AU38" s="121"/>
      <c r="AV38" s="121"/>
      <c r="AW38" s="155"/>
    </row>
    <row r="39" spans="1:49" s="100" customFormat="1" ht="129.75" customHeight="1">
      <c r="A39" s="191" t="s">
        <v>355</v>
      </c>
      <c r="B39" s="19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209" t="s">
        <v>415</v>
      </c>
      <c r="AT39" s="134"/>
      <c r="AU39" s="121"/>
      <c r="AV39" s="121"/>
      <c r="AW39" s="155"/>
    </row>
    <row r="40" spans="1:49" s="100" customFormat="1" ht="217.5" customHeight="1">
      <c r="A40" s="191" t="s">
        <v>359</v>
      </c>
      <c r="B40" s="19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416</v>
      </c>
      <c r="AT40" s="134"/>
      <c r="AU40" s="121"/>
      <c r="AV40" s="121"/>
      <c r="AW40" s="155"/>
    </row>
    <row r="41" spans="1:49" s="100" customFormat="1" ht="54" customHeight="1">
      <c r="A41" s="191" t="s">
        <v>361</v>
      </c>
      <c r="B41" s="19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417</v>
      </c>
      <c r="AT41" s="134"/>
      <c r="AU41" s="121"/>
      <c r="AV41" s="121"/>
      <c r="AW41" s="155"/>
    </row>
    <row r="42" spans="1:49" s="31" customFormat="1" ht="12.75">
      <c r="A42" s="381" t="s">
        <v>365</v>
      </c>
      <c r="B42" s="384" t="s">
        <v>366</v>
      </c>
      <c r="C42" s="387" t="s">
        <v>269</v>
      </c>
      <c r="D42" s="355" t="s">
        <v>367</v>
      </c>
      <c r="E42" s="107" t="s">
        <v>42</v>
      </c>
      <c r="F42" s="123">
        <f>SUM(F43:F45)</f>
        <v>33940.800000000003</v>
      </c>
      <c r="G42" s="123">
        <f t="shared" ref="G42" si="46">SUM(G43:G45)</f>
        <v>5142.1000000000004</v>
      </c>
      <c r="H42" s="123">
        <f>G42/F42*100</f>
        <v>15.150202705887899</v>
      </c>
      <c r="I42" s="132">
        <f>I43+I44+I45</f>
        <v>556</v>
      </c>
      <c r="J42" s="132">
        <f>J43+J44+J45</f>
        <v>556</v>
      </c>
      <c r="K42" s="123">
        <f t="shared" ref="K42:K44" si="47">J42/I42*100</f>
        <v>100</v>
      </c>
      <c r="L42" s="132">
        <f>L43+L44+L45</f>
        <v>2428</v>
      </c>
      <c r="M42" s="132">
        <f>M43+M44+M45</f>
        <v>2369.3000000000002</v>
      </c>
      <c r="N42" s="132">
        <f>M42/L42*100</f>
        <v>97.582372322899516</v>
      </c>
      <c r="O42" s="132">
        <f>O43+O44+O45</f>
        <v>2242</v>
      </c>
      <c r="P42" s="132">
        <f>P43+P44+P45</f>
        <v>2216.8000000000002</v>
      </c>
      <c r="Q42" s="123">
        <f t="shared" ref="Q42:Q44" si="48">P42/O42*100</f>
        <v>98.876003568242652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9">U43+U44+U45</f>
        <v>2489</v>
      </c>
      <c r="V42" s="132">
        <f t="shared" si="49"/>
        <v>0</v>
      </c>
      <c r="W42" s="132">
        <f>V42/U42*100</f>
        <v>0</v>
      </c>
      <c r="X42" s="132">
        <f t="shared" si="49"/>
        <v>2628</v>
      </c>
      <c r="Y42" s="132">
        <f t="shared" si="49"/>
        <v>0</v>
      </c>
      <c r="Z42" s="132">
        <f>Y42/X42*100</f>
        <v>0</v>
      </c>
      <c r="AA42" s="132">
        <f t="shared" si="49"/>
        <v>3576</v>
      </c>
      <c r="AB42" s="132">
        <f t="shared" si="49"/>
        <v>0</v>
      </c>
      <c r="AC42" s="132">
        <f>AB42/AA42*100</f>
        <v>0</v>
      </c>
      <c r="AD42" s="132">
        <f t="shared" si="49"/>
        <v>2569</v>
      </c>
      <c r="AE42" s="132">
        <f t="shared" si="49"/>
        <v>0</v>
      </c>
      <c r="AF42" s="132">
        <f>AE42/AD42*100</f>
        <v>0</v>
      </c>
      <c r="AG42" s="132">
        <f t="shared" si="49"/>
        <v>2544</v>
      </c>
      <c r="AH42" s="132">
        <f t="shared" si="49"/>
        <v>0</v>
      </c>
      <c r="AI42" s="117">
        <f>AH42/AG42*100</f>
        <v>0</v>
      </c>
      <c r="AJ42" s="132">
        <f t="shared" si="49"/>
        <v>2984</v>
      </c>
      <c r="AK42" s="132">
        <f t="shared" si="49"/>
        <v>0</v>
      </c>
      <c r="AL42" s="132">
        <f t="shared" si="49"/>
        <v>0</v>
      </c>
      <c r="AM42" s="132">
        <f t="shared" si="49"/>
        <v>2265.6</v>
      </c>
      <c r="AN42" s="132">
        <f t="shared" si="49"/>
        <v>0</v>
      </c>
      <c r="AO42" s="132">
        <f t="shared" si="49"/>
        <v>0</v>
      </c>
      <c r="AP42" s="132">
        <f t="shared" si="49"/>
        <v>6599.2</v>
      </c>
      <c r="AQ42" s="104"/>
      <c r="AR42" s="104"/>
      <c r="AS42" s="352" t="s">
        <v>418</v>
      </c>
      <c r="AT42" s="443" t="s">
        <v>412</v>
      </c>
      <c r="AU42" s="121"/>
      <c r="AV42" s="121"/>
      <c r="AW42" s="155"/>
    </row>
    <row r="43" spans="1:49" s="31" customFormat="1" ht="36">
      <c r="A43" s="382"/>
      <c r="B43" s="385"/>
      <c r="C43" s="388"/>
      <c r="D43" s="356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4083.1000000000004</v>
      </c>
      <c r="H43" s="123">
        <f>G43/F43*100</f>
        <v>13.343071609004964</v>
      </c>
      <c r="I43" s="123">
        <v>0</v>
      </c>
      <c r="J43" s="123">
        <v>0</v>
      </c>
      <c r="K43" s="123">
        <v>0</v>
      </c>
      <c r="L43" s="150">
        <v>2178</v>
      </c>
      <c r="M43" s="123">
        <v>2119.3000000000002</v>
      </c>
      <c r="N43" s="138">
        <f t="shared" ref="N43:N44" si="50">M43/L43*100</f>
        <v>97.304866850321403</v>
      </c>
      <c r="O43" s="123">
        <v>1989</v>
      </c>
      <c r="P43" s="123">
        <v>1963.8</v>
      </c>
      <c r="Q43" s="123">
        <f t="shared" si="48"/>
        <v>98.733031674208135</v>
      </c>
      <c r="R43" s="123">
        <v>3010</v>
      </c>
      <c r="S43" s="123">
        <v>0</v>
      </c>
      <c r="T43" s="132">
        <f t="shared" ref="T43:T44" si="51">S43/R43*100</f>
        <v>0</v>
      </c>
      <c r="U43" s="117">
        <v>2037</v>
      </c>
      <c r="V43" s="117">
        <v>0</v>
      </c>
      <c r="W43" s="132">
        <f t="shared" ref="W43:W44" si="52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53"/>
      <c r="AT43" s="444"/>
      <c r="AU43" s="121"/>
      <c r="AV43" s="121"/>
      <c r="AW43" s="155"/>
    </row>
    <row r="44" spans="1:49" s="31" customFormat="1" ht="33.75" customHeight="1">
      <c r="A44" s="382"/>
      <c r="B44" s="385"/>
      <c r="C44" s="388"/>
      <c r="D44" s="356"/>
      <c r="E44" s="108" t="s">
        <v>44</v>
      </c>
      <c r="F44" s="123">
        <f t="shared" ref="F44:G45" si="53">I44+L44+O44+R44+U44+X44+AA44+AD44+AG44+AJ44+AM44+AP44</f>
        <v>3339.8999999999996</v>
      </c>
      <c r="G44" s="123">
        <f t="shared" si="53"/>
        <v>1059</v>
      </c>
      <c r="H44" s="123">
        <f>G44/F44*100</f>
        <v>31.70753615377706</v>
      </c>
      <c r="I44" s="123">
        <v>556</v>
      </c>
      <c r="J44" s="123">
        <v>556</v>
      </c>
      <c r="K44" s="123">
        <f t="shared" si="47"/>
        <v>100</v>
      </c>
      <c r="L44" s="150">
        <v>250</v>
      </c>
      <c r="M44" s="123">
        <v>250</v>
      </c>
      <c r="N44" s="138">
        <f t="shared" si="50"/>
        <v>100</v>
      </c>
      <c r="O44" s="123">
        <v>253</v>
      </c>
      <c r="P44" s="123">
        <v>253</v>
      </c>
      <c r="Q44" s="123">
        <f t="shared" si="48"/>
        <v>100</v>
      </c>
      <c r="R44" s="123">
        <v>50</v>
      </c>
      <c r="S44" s="123">
        <v>0</v>
      </c>
      <c r="T44" s="132">
        <f t="shared" si="51"/>
        <v>0</v>
      </c>
      <c r="U44" s="117">
        <v>452</v>
      </c>
      <c r="V44" s="117">
        <v>0</v>
      </c>
      <c r="W44" s="132">
        <f t="shared" si="52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53"/>
      <c r="AT44" s="444"/>
      <c r="AU44" s="121"/>
      <c r="AV44" s="121"/>
      <c r="AW44" s="155"/>
    </row>
    <row r="45" spans="1:49" s="31" customFormat="1" ht="63" customHeight="1">
      <c r="A45" s="383"/>
      <c r="B45" s="386"/>
      <c r="C45" s="389"/>
      <c r="D45" s="362"/>
      <c r="E45" s="109" t="s">
        <v>257</v>
      </c>
      <c r="F45" s="123">
        <f t="shared" si="53"/>
        <v>0</v>
      </c>
      <c r="G45" s="123">
        <f t="shared" si="53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54"/>
      <c r="AT45" s="445"/>
      <c r="AU45" s="121"/>
      <c r="AV45" s="121"/>
      <c r="AW45" s="155"/>
    </row>
    <row r="46" spans="1:49" s="31" customFormat="1" ht="15.75">
      <c r="A46" s="446" t="s">
        <v>368</v>
      </c>
      <c r="B46" s="447"/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7"/>
      <c r="AL46" s="447"/>
      <c r="AM46" s="447"/>
      <c r="AN46" s="447"/>
      <c r="AO46" s="447"/>
      <c r="AP46" s="447"/>
      <c r="AQ46" s="447"/>
      <c r="AR46" s="447"/>
      <c r="AS46" s="447"/>
      <c r="AT46" s="448"/>
      <c r="AU46" s="121"/>
      <c r="AV46" s="121"/>
      <c r="AW46" s="155"/>
    </row>
    <row r="47" spans="1:49" s="31" customFormat="1" ht="15.75">
      <c r="A47" s="446" t="s">
        <v>369</v>
      </c>
      <c r="B47" s="447"/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447"/>
      <c r="AJ47" s="447"/>
      <c r="AK47" s="447"/>
      <c r="AL47" s="447"/>
      <c r="AM47" s="447"/>
      <c r="AN47" s="447"/>
      <c r="AO47" s="447"/>
      <c r="AP47" s="447"/>
      <c r="AQ47" s="447"/>
      <c r="AR47" s="447"/>
      <c r="AS47" s="447"/>
      <c r="AT47" s="448"/>
      <c r="AU47" s="121"/>
      <c r="AV47" s="121"/>
      <c r="AW47" s="155"/>
    </row>
    <row r="48" spans="1:49" s="100" customFormat="1" ht="12.75">
      <c r="A48" s="366" t="s">
        <v>270</v>
      </c>
      <c r="B48" s="367"/>
      <c r="C48" s="367"/>
      <c r="D48" s="368"/>
      <c r="E48" s="129" t="s">
        <v>42</v>
      </c>
      <c r="F48" s="106">
        <f>F49+F50+F51</f>
        <v>599.4</v>
      </c>
      <c r="G48" s="106">
        <f t="shared" ref="G48:AR48" si="54">G49+G50+G51</f>
        <v>0</v>
      </c>
      <c r="H48" s="106">
        <f>G48/F48*100</f>
        <v>0</v>
      </c>
      <c r="I48" s="106">
        <f t="shared" si="54"/>
        <v>0</v>
      </c>
      <c r="J48" s="106">
        <f t="shared" si="54"/>
        <v>0</v>
      </c>
      <c r="K48" s="106">
        <v>0</v>
      </c>
      <c r="L48" s="106">
        <f t="shared" si="54"/>
        <v>0</v>
      </c>
      <c r="M48" s="106">
        <f t="shared" si="54"/>
        <v>0</v>
      </c>
      <c r="N48" s="106">
        <v>0</v>
      </c>
      <c r="O48" s="106">
        <f t="shared" si="54"/>
        <v>0</v>
      </c>
      <c r="P48" s="106">
        <f t="shared" si="54"/>
        <v>0</v>
      </c>
      <c r="Q48" s="106" t="e">
        <f>P48/O48*100</f>
        <v>#DIV/0!</v>
      </c>
      <c r="R48" s="106">
        <f t="shared" si="54"/>
        <v>119.8</v>
      </c>
      <c r="S48" s="106">
        <f t="shared" si="54"/>
        <v>0</v>
      </c>
      <c r="T48" s="106">
        <v>0</v>
      </c>
      <c r="U48" s="106">
        <f t="shared" si="54"/>
        <v>0</v>
      </c>
      <c r="V48" s="106">
        <f t="shared" si="54"/>
        <v>0</v>
      </c>
      <c r="W48" s="106">
        <f t="shared" si="54"/>
        <v>0</v>
      </c>
      <c r="X48" s="106">
        <f t="shared" si="54"/>
        <v>179.7</v>
      </c>
      <c r="Y48" s="106">
        <f t="shared" si="54"/>
        <v>0</v>
      </c>
      <c r="Z48" s="106">
        <f t="shared" si="54"/>
        <v>0</v>
      </c>
      <c r="AA48" s="106">
        <f t="shared" si="54"/>
        <v>0</v>
      </c>
      <c r="AB48" s="106">
        <f t="shared" si="54"/>
        <v>0</v>
      </c>
      <c r="AC48" s="106">
        <f t="shared" si="54"/>
        <v>0</v>
      </c>
      <c r="AD48" s="106">
        <f t="shared" si="54"/>
        <v>0</v>
      </c>
      <c r="AE48" s="106">
        <f t="shared" si="54"/>
        <v>0</v>
      </c>
      <c r="AF48" s="106">
        <f t="shared" si="54"/>
        <v>0</v>
      </c>
      <c r="AG48" s="106">
        <f t="shared" si="54"/>
        <v>179.7</v>
      </c>
      <c r="AH48" s="106">
        <f t="shared" si="54"/>
        <v>0</v>
      </c>
      <c r="AI48" s="106">
        <f t="shared" si="54"/>
        <v>0</v>
      </c>
      <c r="AJ48" s="106">
        <f t="shared" si="54"/>
        <v>0</v>
      </c>
      <c r="AK48" s="106">
        <f t="shared" si="54"/>
        <v>0</v>
      </c>
      <c r="AL48" s="106">
        <f t="shared" si="54"/>
        <v>0</v>
      </c>
      <c r="AM48" s="106">
        <f t="shared" si="54"/>
        <v>120.2</v>
      </c>
      <c r="AN48" s="106">
        <f t="shared" si="54"/>
        <v>0</v>
      </c>
      <c r="AO48" s="106">
        <f t="shared" si="54"/>
        <v>0</v>
      </c>
      <c r="AP48" s="106">
        <f t="shared" si="54"/>
        <v>0</v>
      </c>
      <c r="AQ48" s="106">
        <f t="shared" si="54"/>
        <v>0</v>
      </c>
      <c r="AR48" s="106">
        <f t="shared" si="54"/>
        <v>0</v>
      </c>
      <c r="AS48" s="449"/>
      <c r="AT48" s="452"/>
      <c r="AU48" s="121"/>
      <c r="AV48" s="121"/>
      <c r="AW48" s="155"/>
    </row>
    <row r="49" spans="1:49" s="100" customFormat="1" ht="36">
      <c r="A49" s="369"/>
      <c r="B49" s="370"/>
      <c r="C49" s="370"/>
      <c r="D49" s="371"/>
      <c r="E49" s="111" t="s">
        <v>3</v>
      </c>
      <c r="F49" s="106">
        <f>F57</f>
        <v>0</v>
      </c>
      <c r="G49" s="106">
        <f t="shared" ref="G49:AR51" si="55">G57</f>
        <v>0</v>
      </c>
      <c r="H49" s="106">
        <v>0</v>
      </c>
      <c r="I49" s="106">
        <f t="shared" si="55"/>
        <v>0</v>
      </c>
      <c r="J49" s="106">
        <f t="shared" si="55"/>
        <v>0</v>
      </c>
      <c r="K49" s="106">
        <v>0</v>
      </c>
      <c r="L49" s="106">
        <f t="shared" si="55"/>
        <v>0</v>
      </c>
      <c r="M49" s="106">
        <f t="shared" si="55"/>
        <v>0</v>
      </c>
      <c r="N49" s="106">
        <v>0</v>
      </c>
      <c r="O49" s="106">
        <f t="shared" si="55"/>
        <v>0</v>
      </c>
      <c r="P49" s="106">
        <f t="shared" si="55"/>
        <v>0</v>
      </c>
      <c r="Q49" s="106">
        <v>0</v>
      </c>
      <c r="R49" s="106">
        <f t="shared" si="55"/>
        <v>0</v>
      </c>
      <c r="S49" s="106">
        <f t="shared" si="55"/>
        <v>0</v>
      </c>
      <c r="T49" s="106">
        <f t="shared" si="55"/>
        <v>0</v>
      </c>
      <c r="U49" s="106">
        <f t="shared" si="55"/>
        <v>0</v>
      </c>
      <c r="V49" s="106">
        <f t="shared" si="55"/>
        <v>0</v>
      </c>
      <c r="W49" s="106">
        <f t="shared" si="55"/>
        <v>0</v>
      </c>
      <c r="X49" s="106">
        <f t="shared" si="55"/>
        <v>0</v>
      </c>
      <c r="Y49" s="106">
        <f t="shared" si="55"/>
        <v>0</v>
      </c>
      <c r="Z49" s="106">
        <f t="shared" si="55"/>
        <v>0</v>
      </c>
      <c r="AA49" s="106">
        <f t="shared" si="55"/>
        <v>0</v>
      </c>
      <c r="AB49" s="106">
        <f t="shared" si="55"/>
        <v>0</v>
      </c>
      <c r="AC49" s="106">
        <f t="shared" si="55"/>
        <v>0</v>
      </c>
      <c r="AD49" s="106">
        <f t="shared" si="55"/>
        <v>0</v>
      </c>
      <c r="AE49" s="106">
        <f t="shared" si="55"/>
        <v>0</v>
      </c>
      <c r="AF49" s="106">
        <f t="shared" si="55"/>
        <v>0</v>
      </c>
      <c r="AG49" s="106">
        <f t="shared" si="55"/>
        <v>0</v>
      </c>
      <c r="AH49" s="106">
        <f t="shared" si="55"/>
        <v>0</v>
      </c>
      <c r="AI49" s="106">
        <f t="shared" si="55"/>
        <v>0</v>
      </c>
      <c r="AJ49" s="106">
        <f t="shared" si="55"/>
        <v>0</v>
      </c>
      <c r="AK49" s="106">
        <f t="shared" si="55"/>
        <v>0</v>
      </c>
      <c r="AL49" s="106">
        <f t="shared" si="55"/>
        <v>0</v>
      </c>
      <c r="AM49" s="106">
        <f t="shared" si="55"/>
        <v>0</v>
      </c>
      <c r="AN49" s="106">
        <f t="shared" si="55"/>
        <v>0</v>
      </c>
      <c r="AO49" s="106">
        <f t="shared" si="55"/>
        <v>0</v>
      </c>
      <c r="AP49" s="106">
        <f t="shared" si="55"/>
        <v>0</v>
      </c>
      <c r="AQ49" s="106">
        <f t="shared" si="55"/>
        <v>0</v>
      </c>
      <c r="AR49" s="106">
        <f t="shared" si="55"/>
        <v>0</v>
      </c>
      <c r="AS49" s="450"/>
      <c r="AT49" s="453"/>
      <c r="AU49" s="121"/>
      <c r="AV49" s="121"/>
      <c r="AW49" s="155"/>
    </row>
    <row r="50" spans="1:49" s="100" customFormat="1" ht="24">
      <c r="A50" s="369"/>
      <c r="B50" s="370"/>
      <c r="C50" s="370"/>
      <c r="D50" s="371"/>
      <c r="E50" s="111" t="s">
        <v>44</v>
      </c>
      <c r="F50" s="106">
        <f>F58</f>
        <v>599.4</v>
      </c>
      <c r="G50" s="106">
        <f t="shared" si="55"/>
        <v>0</v>
      </c>
      <c r="H50" s="106">
        <f>G50/F50*100</f>
        <v>0</v>
      </c>
      <c r="I50" s="106">
        <f t="shared" si="55"/>
        <v>0</v>
      </c>
      <c r="J50" s="106">
        <f t="shared" si="55"/>
        <v>0</v>
      </c>
      <c r="K50" s="106">
        <v>0</v>
      </c>
      <c r="L50" s="106">
        <f t="shared" si="55"/>
        <v>0</v>
      </c>
      <c r="M50" s="106">
        <f t="shared" si="55"/>
        <v>0</v>
      </c>
      <c r="N50" s="106">
        <v>0</v>
      </c>
      <c r="O50" s="106">
        <f t="shared" si="55"/>
        <v>0</v>
      </c>
      <c r="P50" s="106">
        <f t="shared" si="55"/>
        <v>0</v>
      </c>
      <c r="Q50" s="106" t="e">
        <f t="shared" ref="Q50" si="56">P50/O50*100</f>
        <v>#DIV/0!</v>
      </c>
      <c r="R50" s="106">
        <f t="shared" si="55"/>
        <v>119.8</v>
      </c>
      <c r="S50" s="106">
        <f t="shared" si="55"/>
        <v>0</v>
      </c>
      <c r="T50" s="106">
        <f t="shared" si="55"/>
        <v>0</v>
      </c>
      <c r="U50" s="106">
        <f t="shared" si="55"/>
        <v>0</v>
      </c>
      <c r="V50" s="106">
        <f t="shared" si="55"/>
        <v>0</v>
      </c>
      <c r="W50" s="106">
        <f t="shared" si="55"/>
        <v>0</v>
      </c>
      <c r="X50" s="106">
        <f t="shared" si="55"/>
        <v>179.7</v>
      </c>
      <c r="Y50" s="106">
        <f t="shared" si="55"/>
        <v>0</v>
      </c>
      <c r="Z50" s="106">
        <f t="shared" si="55"/>
        <v>0</v>
      </c>
      <c r="AA50" s="106">
        <f t="shared" si="55"/>
        <v>0</v>
      </c>
      <c r="AB50" s="106">
        <f t="shared" si="55"/>
        <v>0</v>
      </c>
      <c r="AC50" s="106">
        <f t="shared" si="55"/>
        <v>0</v>
      </c>
      <c r="AD50" s="106">
        <f t="shared" si="55"/>
        <v>0</v>
      </c>
      <c r="AE50" s="106">
        <f t="shared" si="55"/>
        <v>0</v>
      </c>
      <c r="AF50" s="106">
        <f t="shared" si="55"/>
        <v>0</v>
      </c>
      <c r="AG50" s="106">
        <f t="shared" si="55"/>
        <v>179.7</v>
      </c>
      <c r="AH50" s="106">
        <f t="shared" si="55"/>
        <v>0</v>
      </c>
      <c r="AI50" s="106">
        <f t="shared" si="55"/>
        <v>0</v>
      </c>
      <c r="AJ50" s="106">
        <f t="shared" si="55"/>
        <v>0</v>
      </c>
      <c r="AK50" s="106">
        <f t="shared" si="55"/>
        <v>0</v>
      </c>
      <c r="AL50" s="106">
        <f t="shared" si="55"/>
        <v>0</v>
      </c>
      <c r="AM50" s="106">
        <f t="shared" si="55"/>
        <v>120.2</v>
      </c>
      <c r="AN50" s="106">
        <f t="shared" si="55"/>
        <v>0</v>
      </c>
      <c r="AO50" s="106">
        <f t="shared" si="55"/>
        <v>0</v>
      </c>
      <c r="AP50" s="106">
        <f t="shared" si="55"/>
        <v>0</v>
      </c>
      <c r="AQ50" s="106">
        <f t="shared" si="55"/>
        <v>0</v>
      </c>
      <c r="AR50" s="106">
        <f t="shared" si="55"/>
        <v>0</v>
      </c>
      <c r="AS50" s="450"/>
      <c r="AT50" s="453"/>
      <c r="AU50" s="121"/>
      <c r="AV50" s="121"/>
      <c r="AW50" s="155"/>
    </row>
    <row r="51" spans="1:49" s="100" customFormat="1" ht="24">
      <c r="A51" s="372"/>
      <c r="B51" s="373"/>
      <c r="C51" s="373"/>
      <c r="D51" s="374"/>
      <c r="E51" s="110" t="s">
        <v>257</v>
      </c>
      <c r="F51" s="106">
        <f>F59</f>
        <v>0</v>
      </c>
      <c r="G51" s="106">
        <f t="shared" si="55"/>
        <v>0</v>
      </c>
      <c r="H51" s="106">
        <v>0</v>
      </c>
      <c r="I51" s="106">
        <f t="shared" si="55"/>
        <v>0</v>
      </c>
      <c r="J51" s="106">
        <f t="shared" si="55"/>
        <v>0</v>
      </c>
      <c r="K51" s="106">
        <f t="shared" si="55"/>
        <v>0</v>
      </c>
      <c r="L51" s="106">
        <f t="shared" si="55"/>
        <v>0</v>
      </c>
      <c r="M51" s="106">
        <f t="shared" si="55"/>
        <v>0</v>
      </c>
      <c r="N51" s="106">
        <v>0</v>
      </c>
      <c r="O51" s="106">
        <f t="shared" si="55"/>
        <v>0</v>
      </c>
      <c r="P51" s="106">
        <f t="shared" si="55"/>
        <v>0</v>
      </c>
      <c r="Q51" s="106">
        <f t="shared" si="55"/>
        <v>0</v>
      </c>
      <c r="R51" s="106">
        <f t="shared" si="55"/>
        <v>0</v>
      </c>
      <c r="S51" s="106">
        <f t="shared" si="55"/>
        <v>0</v>
      </c>
      <c r="T51" s="106">
        <f t="shared" si="55"/>
        <v>0</v>
      </c>
      <c r="U51" s="106">
        <f t="shared" si="55"/>
        <v>0</v>
      </c>
      <c r="V51" s="106">
        <f t="shared" si="55"/>
        <v>0</v>
      </c>
      <c r="W51" s="106">
        <f t="shared" si="55"/>
        <v>0</v>
      </c>
      <c r="X51" s="106">
        <f t="shared" si="55"/>
        <v>0</v>
      </c>
      <c r="Y51" s="106">
        <f t="shared" si="55"/>
        <v>0</v>
      </c>
      <c r="Z51" s="106">
        <f t="shared" si="55"/>
        <v>0</v>
      </c>
      <c r="AA51" s="106">
        <f t="shared" si="55"/>
        <v>0</v>
      </c>
      <c r="AB51" s="106">
        <f t="shared" si="55"/>
        <v>0</v>
      </c>
      <c r="AC51" s="106">
        <f t="shared" si="55"/>
        <v>0</v>
      </c>
      <c r="AD51" s="106">
        <f t="shared" si="55"/>
        <v>0</v>
      </c>
      <c r="AE51" s="106">
        <f t="shared" si="55"/>
        <v>0</v>
      </c>
      <c r="AF51" s="106">
        <f t="shared" si="55"/>
        <v>0</v>
      </c>
      <c r="AG51" s="106">
        <f t="shared" si="55"/>
        <v>0</v>
      </c>
      <c r="AH51" s="106">
        <f t="shared" si="55"/>
        <v>0</v>
      </c>
      <c r="AI51" s="106">
        <f t="shared" si="55"/>
        <v>0</v>
      </c>
      <c r="AJ51" s="106">
        <f t="shared" si="55"/>
        <v>0</v>
      </c>
      <c r="AK51" s="106">
        <f t="shared" si="55"/>
        <v>0</v>
      </c>
      <c r="AL51" s="106">
        <f t="shared" si="55"/>
        <v>0</v>
      </c>
      <c r="AM51" s="106">
        <f t="shared" si="55"/>
        <v>0</v>
      </c>
      <c r="AN51" s="106">
        <f t="shared" si="55"/>
        <v>0</v>
      </c>
      <c r="AO51" s="106">
        <f t="shared" si="55"/>
        <v>0</v>
      </c>
      <c r="AP51" s="106">
        <f t="shared" si="55"/>
        <v>0</v>
      </c>
      <c r="AQ51" s="106">
        <f t="shared" si="55"/>
        <v>0</v>
      </c>
      <c r="AR51" s="106">
        <f t="shared" si="55"/>
        <v>0</v>
      </c>
      <c r="AS51" s="451"/>
      <c r="AT51" s="454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431</v>
      </c>
      <c r="AT52" s="194"/>
      <c r="AU52" s="121"/>
      <c r="AV52" s="121"/>
      <c r="AW52" s="155"/>
    </row>
    <row r="53" spans="1:49" s="100" customFormat="1" ht="84">
      <c r="A53" s="191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11" t="s">
        <v>432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192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433</v>
      </c>
      <c r="AT54" s="134"/>
      <c r="AU54" s="121"/>
      <c r="AV54" s="121"/>
      <c r="AW54" s="155"/>
    </row>
    <row r="55" spans="1:49" s="100" customFormat="1" ht="48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434</v>
      </c>
      <c r="AT55" s="134"/>
      <c r="AU55" s="121"/>
      <c r="AV55" s="121"/>
      <c r="AW55" s="155"/>
    </row>
    <row r="56" spans="1:49" s="31" customFormat="1" ht="12.75">
      <c r="A56" s="343" t="s">
        <v>382</v>
      </c>
      <c r="B56" s="384" t="s">
        <v>259</v>
      </c>
      <c r="C56" s="428" t="s">
        <v>271</v>
      </c>
      <c r="D56" s="431" t="s">
        <v>383</v>
      </c>
      <c r="E56" s="107" t="s">
        <v>42</v>
      </c>
      <c r="F56" s="104">
        <f>SUM(F57:F59)</f>
        <v>599.4</v>
      </c>
      <c r="G56" s="104">
        <f t="shared" ref="G56" si="57">SUM(G57:G59)</f>
        <v>0</v>
      </c>
      <c r="H56" s="104">
        <f>G56/F56*100</f>
        <v>0</v>
      </c>
      <c r="I56" s="207">
        <f t="shared" ref="I56:AP56" si="58">I57+I58+I59</f>
        <v>0</v>
      </c>
      <c r="J56" s="207">
        <f t="shared" si="58"/>
        <v>0</v>
      </c>
      <c r="K56" s="104">
        <v>0</v>
      </c>
      <c r="L56" s="207">
        <f t="shared" si="58"/>
        <v>0</v>
      </c>
      <c r="M56" s="207">
        <f t="shared" si="58"/>
        <v>0</v>
      </c>
      <c r="N56" s="207">
        <v>0</v>
      </c>
      <c r="O56" s="207">
        <f t="shared" si="58"/>
        <v>0</v>
      </c>
      <c r="P56" s="207">
        <f t="shared" si="58"/>
        <v>0</v>
      </c>
      <c r="Q56" s="104" t="e">
        <f t="shared" ref="Q56:Q58" si="59">P56/O56*100</f>
        <v>#DIV/0!</v>
      </c>
      <c r="R56" s="207">
        <f t="shared" si="58"/>
        <v>119.8</v>
      </c>
      <c r="S56" s="207">
        <f t="shared" si="58"/>
        <v>0</v>
      </c>
      <c r="T56" s="207">
        <f t="shared" si="58"/>
        <v>0</v>
      </c>
      <c r="U56" s="207">
        <f t="shared" si="58"/>
        <v>0</v>
      </c>
      <c r="V56" s="207">
        <f t="shared" si="58"/>
        <v>0</v>
      </c>
      <c r="W56" s="104">
        <v>0</v>
      </c>
      <c r="X56" s="207">
        <f t="shared" si="58"/>
        <v>179.7</v>
      </c>
      <c r="Y56" s="207">
        <f t="shared" si="58"/>
        <v>0</v>
      </c>
      <c r="Z56" s="207">
        <f t="shared" si="58"/>
        <v>0</v>
      </c>
      <c r="AA56" s="207">
        <f t="shared" si="58"/>
        <v>0</v>
      </c>
      <c r="AB56" s="207">
        <f t="shared" si="58"/>
        <v>0</v>
      </c>
      <c r="AC56" s="207">
        <f t="shared" si="58"/>
        <v>0</v>
      </c>
      <c r="AD56" s="207">
        <f t="shared" si="58"/>
        <v>0</v>
      </c>
      <c r="AE56" s="207">
        <f t="shared" si="58"/>
        <v>0</v>
      </c>
      <c r="AF56" s="207">
        <f t="shared" si="58"/>
        <v>0</v>
      </c>
      <c r="AG56" s="207">
        <f t="shared" si="58"/>
        <v>179.7</v>
      </c>
      <c r="AH56" s="207">
        <f t="shared" si="58"/>
        <v>0</v>
      </c>
      <c r="AI56" s="105">
        <f>AH56/AG56*100</f>
        <v>0</v>
      </c>
      <c r="AJ56" s="207">
        <f t="shared" si="58"/>
        <v>0</v>
      </c>
      <c r="AK56" s="207">
        <f t="shared" si="58"/>
        <v>0</v>
      </c>
      <c r="AL56" s="207">
        <f t="shared" si="58"/>
        <v>0</v>
      </c>
      <c r="AM56" s="207">
        <f t="shared" si="58"/>
        <v>120.2</v>
      </c>
      <c r="AN56" s="207">
        <f t="shared" si="58"/>
        <v>0</v>
      </c>
      <c r="AO56" s="207">
        <f t="shared" si="58"/>
        <v>0</v>
      </c>
      <c r="AP56" s="207">
        <f t="shared" si="58"/>
        <v>0</v>
      </c>
      <c r="AQ56" s="104"/>
      <c r="AR56" s="104"/>
      <c r="AS56" s="397" t="s">
        <v>435</v>
      </c>
      <c r="AT56" s="416" t="s">
        <v>429</v>
      </c>
      <c r="AU56" s="121"/>
      <c r="AV56" s="121"/>
      <c r="AW56" s="155"/>
    </row>
    <row r="57" spans="1:49" s="31" customFormat="1" ht="36">
      <c r="A57" s="344"/>
      <c r="B57" s="385"/>
      <c r="C57" s="429"/>
      <c r="D57" s="432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98"/>
      <c r="AT57" s="417"/>
      <c r="AU57" s="121"/>
      <c r="AV57" s="121"/>
      <c r="AW57" s="155"/>
    </row>
    <row r="58" spans="1:49" s="31" customFormat="1" ht="12.75">
      <c r="A58" s="344"/>
      <c r="B58" s="385"/>
      <c r="C58" s="429"/>
      <c r="D58" s="432"/>
      <c r="E58" s="108" t="s">
        <v>44</v>
      </c>
      <c r="F58" s="104">
        <f t="shared" ref="F58:G59" si="60">I58+L58+O58+R58+U58+X58+AA58+AD58+AG58+AJ58+AM58+AP58</f>
        <v>599.4</v>
      </c>
      <c r="G58" s="104">
        <f t="shared" si="60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f>119.8-119.8</f>
        <v>0</v>
      </c>
      <c r="P58" s="104">
        <v>0</v>
      </c>
      <c r="Q58" s="104" t="e">
        <f t="shared" si="59"/>
        <v>#DIV/0!</v>
      </c>
      <c r="R58" s="104">
        <v>119.8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98"/>
      <c r="AT58" s="417"/>
      <c r="AU58" s="121"/>
      <c r="AV58" s="121"/>
      <c r="AW58" s="155"/>
    </row>
    <row r="59" spans="1:49" s="31" customFormat="1" ht="66" customHeight="1">
      <c r="A59" s="345"/>
      <c r="B59" s="386"/>
      <c r="C59" s="430"/>
      <c r="D59" s="433"/>
      <c r="E59" s="109" t="s">
        <v>257</v>
      </c>
      <c r="F59" s="104">
        <f t="shared" si="60"/>
        <v>0</v>
      </c>
      <c r="G59" s="104">
        <f t="shared" si="60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99"/>
      <c r="AT59" s="418"/>
      <c r="AU59" s="121"/>
      <c r="AV59" s="121"/>
      <c r="AW59" s="155"/>
    </row>
    <row r="60" spans="1:49" s="31" customFormat="1" ht="15.75">
      <c r="A60" s="325" t="s">
        <v>384</v>
      </c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7"/>
      <c r="AU60" s="121"/>
      <c r="AV60" s="121"/>
      <c r="AW60" s="155"/>
    </row>
    <row r="61" spans="1:49" s="31" customFormat="1" ht="15.75">
      <c r="A61" s="325" t="s">
        <v>385</v>
      </c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7"/>
      <c r="AU61" s="121"/>
      <c r="AV61" s="121"/>
      <c r="AW61" s="155"/>
    </row>
    <row r="62" spans="1:49" s="100" customFormat="1" ht="12.75">
      <c r="A62" s="366" t="s">
        <v>272</v>
      </c>
      <c r="B62" s="367"/>
      <c r="C62" s="367"/>
      <c r="D62" s="368"/>
      <c r="E62" s="129" t="s">
        <v>42</v>
      </c>
      <c r="F62" s="106">
        <f>F63+F64+F65</f>
        <v>10588.099999999999</v>
      </c>
      <c r="G62" s="106">
        <f t="shared" ref="G62:AP62" si="61">G63+G64+G65</f>
        <v>245</v>
      </c>
      <c r="H62" s="106">
        <f>G62/F62*100</f>
        <v>2.313918455624711</v>
      </c>
      <c r="I62" s="106">
        <f t="shared" si="61"/>
        <v>0</v>
      </c>
      <c r="J62" s="106">
        <f t="shared" si="61"/>
        <v>0</v>
      </c>
      <c r="K62" s="106">
        <v>0</v>
      </c>
      <c r="L62" s="106">
        <f t="shared" si="61"/>
        <v>193.39999999999998</v>
      </c>
      <c r="M62" s="106">
        <f t="shared" si="61"/>
        <v>173.7</v>
      </c>
      <c r="N62" s="106">
        <f t="shared" si="61"/>
        <v>186.62063134160093</v>
      </c>
      <c r="O62" s="106">
        <f t="shared" si="61"/>
        <v>173.90000000000009</v>
      </c>
      <c r="P62" s="106">
        <f t="shared" si="61"/>
        <v>71.3</v>
      </c>
      <c r="Q62" s="106">
        <f>P62/O62*100</f>
        <v>41.000575043128215</v>
      </c>
      <c r="R62" s="106">
        <f t="shared" si="61"/>
        <v>4338.7999999999993</v>
      </c>
      <c r="S62" s="106">
        <f t="shared" si="61"/>
        <v>0</v>
      </c>
      <c r="T62" s="106">
        <f>S62/R62*100</f>
        <v>0</v>
      </c>
      <c r="U62" s="106">
        <f t="shared" si="61"/>
        <v>1300.6000000000001</v>
      </c>
      <c r="V62" s="106">
        <f t="shared" si="61"/>
        <v>0</v>
      </c>
      <c r="W62" s="106">
        <f t="shared" si="61"/>
        <v>0</v>
      </c>
      <c r="X62" s="106">
        <f t="shared" si="61"/>
        <v>1288.6000000000001</v>
      </c>
      <c r="Y62" s="106">
        <f t="shared" si="61"/>
        <v>0</v>
      </c>
      <c r="Z62" s="106">
        <f t="shared" si="61"/>
        <v>0</v>
      </c>
      <c r="AA62" s="106">
        <f t="shared" si="61"/>
        <v>1075.6000000000001</v>
      </c>
      <c r="AB62" s="106">
        <f t="shared" si="61"/>
        <v>0</v>
      </c>
      <c r="AC62" s="106">
        <f t="shared" si="61"/>
        <v>0</v>
      </c>
      <c r="AD62" s="106">
        <f t="shared" si="61"/>
        <v>150.6</v>
      </c>
      <c r="AE62" s="106">
        <f t="shared" si="61"/>
        <v>0</v>
      </c>
      <c r="AF62" s="106">
        <f t="shared" ref="AF62" si="62">AE62/AD62*100</f>
        <v>0</v>
      </c>
      <c r="AG62" s="106">
        <f t="shared" si="61"/>
        <v>200.6</v>
      </c>
      <c r="AH62" s="106">
        <f t="shared" si="61"/>
        <v>0</v>
      </c>
      <c r="AI62" s="106">
        <f t="shared" si="61"/>
        <v>0</v>
      </c>
      <c r="AJ62" s="106">
        <f t="shared" si="61"/>
        <v>162.6</v>
      </c>
      <c r="AK62" s="106">
        <f t="shared" si="61"/>
        <v>0</v>
      </c>
      <c r="AL62" s="106">
        <f t="shared" si="61"/>
        <v>0</v>
      </c>
      <c r="AM62" s="106">
        <f t="shared" si="61"/>
        <v>1339.8</v>
      </c>
      <c r="AN62" s="106">
        <f t="shared" si="61"/>
        <v>0</v>
      </c>
      <c r="AO62" s="106">
        <f t="shared" si="61"/>
        <v>0</v>
      </c>
      <c r="AP62" s="106">
        <f t="shared" si="61"/>
        <v>363.6</v>
      </c>
      <c r="AQ62" s="106">
        <f>AQ92+AQ100</f>
        <v>0</v>
      </c>
      <c r="AR62" s="106">
        <f>AR92+AR100</f>
        <v>0</v>
      </c>
      <c r="AS62" s="337"/>
      <c r="AT62" s="378"/>
      <c r="AU62" s="121"/>
      <c r="AV62" s="121"/>
      <c r="AW62" s="155"/>
    </row>
    <row r="63" spans="1:49" s="100" customFormat="1" ht="36">
      <c r="A63" s="369"/>
      <c r="B63" s="370"/>
      <c r="C63" s="370"/>
      <c r="D63" s="371"/>
      <c r="E63" s="111" t="s">
        <v>3</v>
      </c>
      <c r="F63" s="106">
        <f>F70+F74+F78</f>
        <v>0</v>
      </c>
      <c r="G63" s="106">
        <f t="shared" ref="G63:AR65" si="63">G70+G74+G78</f>
        <v>0</v>
      </c>
      <c r="H63" s="106">
        <v>0</v>
      </c>
      <c r="I63" s="106">
        <f t="shared" si="63"/>
        <v>0</v>
      </c>
      <c r="J63" s="106">
        <f t="shared" si="63"/>
        <v>0</v>
      </c>
      <c r="K63" s="106">
        <v>0</v>
      </c>
      <c r="L63" s="106">
        <f t="shared" si="63"/>
        <v>0</v>
      </c>
      <c r="M63" s="106">
        <f t="shared" si="63"/>
        <v>0</v>
      </c>
      <c r="N63" s="106">
        <f t="shared" si="63"/>
        <v>0</v>
      </c>
      <c r="O63" s="106">
        <f t="shared" si="63"/>
        <v>0</v>
      </c>
      <c r="P63" s="106">
        <f t="shared" si="63"/>
        <v>0</v>
      </c>
      <c r="Q63" s="106">
        <v>0</v>
      </c>
      <c r="R63" s="106">
        <f t="shared" si="63"/>
        <v>0</v>
      </c>
      <c r="S63" s="106">
        <f t="shared" si="63"/>
        <v>0</v>
      </c>
      <c r="T63" s="106">
        <v>0</v>
      </c>
      <c r="U63" s="106">
        <f t="shared" si="63"/>
        <v>0</v>
      </c>
      <c r="V63" s="106">
        <f t="shared" si="63"/>
        <v>0</v>
      </c>
      <c r="W63" s="106">
        <f t="shared" si="63"/>
        <v>0</v>
      </c>
      <c r="X63" s="106">
        <f t="shared" si="63"/>
        <v>0</v>
      </c>
      <c r="Y63" s="106">
        <f t="shared" si="63"/>
        <v>0</v>
      </c>
      <c r="Z63" s="106">
        <f t="shared" si="63"/>
        <v>0</v>
      </c>
      <c r="AA63" s="106">
        <f t="shared" si="63"/>
        <v>0</v>
      </c>
      <c r="AB63" s="106">
        <f t="shared" si="63"/>
        <v>0</v>
      </c>
      <c r="AC63" s="106">
        <f t="shared" si="63"/>
        <v>0</v>
      </c>
      <c r="AD63" s="106">
        <f t="shared" si="63"/>
        <v>0</v>
      </c>
      <c r="AE63" s="106">
        <f t="shared" si="63"/>
        <v>0</v>
      </c>
      <c r="AF63" s="106">
        <f t="shared" si="63"/>
        <v>0</v>
      </c>
      <c r="AG63" s="106">
        <f t="shared" si="63"/>
        <v>0</v>
      </c>
      <c r="AH63" s="106">
        <f t="shared" si="63"/>
        <v>0</v>
      </c>
      <c r="AI63" s="106">
        <f t="shared" si="63"/>
        <v>0</v>
      </c>
      <c r="AJ63" s="106">
        <f t="shared" si="63"/>
        <v>0</v>
      </c>
      <c r="AK63" s="106">
        <f t="shared" si="63"/>
        <v>0</v>
      </c>
      <c r="AL63" s="106">
        <f t="shared" si="63"/>
        <v>0</v>
      </c>
      <c r="AM63" s="106">
        <f t="shared" si="63"/>
        <v>0</v>
      </c>
      <c r="AN63" s="106">
        <f t="shared" si="63"/>
        <v>0</v>
      </c>
      <c r="AO63" s="106">
        <f t="shared" si="63"/>
        <v>0</v>
      </c>
      <c r="AP63" s="106">
        <f t="shared" si="63"/>
        <v>0</v>
      </c>
      <c r="AQ63" s="106">
        <f t="shared" si="63"/>
        <v>0</v>
      </c>
      <c r="AR63" s="106">
        <f t="shared" si="63"/>
        <v>0</v>
      </c>
      <c r="AS63" s="338"/>
      <c r="AT63" s="379"/>
      <c r="AU63" s="121"/>
      <c r="AV63" s="121"/>
      <c r="AW63" s="155"/>
    </row>
    <row r="64" spans="1:49" s="100" customFormat="1" ht="24">
      <c r="A64" s="369"/>
      <c r="B64" s="370"/>
      <c r="C64" s="370"/>
      <c r="D64" s="371"/>
      <c r="E64" s="111" t="s">
        <v>44</v>
      </c>
      <c r="F64" s="106">
        <f>F71+F75+F79</f>
        <v>10588.099999999999</v>
      </c>
      <c r="G64" s="106">
        <f t="shared" si="63"/>
        <v>245</v>
      </c>
      <c r="H64" s="106">
        <f>G64/F64*100</f>
        <v>2.313918455624711</v>
      </c>
      <c r="I64" s="106">
        <f t="shared" si="63"/>
        <v>0</v>
      </c>
      <c r="J64" s="106">
        <f t="shared" si="63"/>
        <v>0</v>
      </c>
      <c r="K64" s="106">
        <v>0</v>
      </c>
      <c r="L64" s="106">
        <f t="shared" si="63"/>
        <v>193.39999999999998</v>
      </c>
      <c r="M64" s="106">
        <f t="shared" si="63"/>
        <v>173.7</v>
      </c>
      <c r="N64" s="106">
        <f t="shared" si="63"/>
        <v>186.62063134160093</v>
      </c>
      <c r="O64" s="106">
        <f t="shared" si="63"/>
        <v>173.90000000000009</v>
      </c>
      <c r="P64" s="106">
        <f t="shared" si="63"/>
        <v>71.3</v>
      </c>
      <c r="Q64" s="106">
        <f t="shared" ref="Q64" si="64">P64/O64*100</f>
        <v>41.000575043128215</v>
      </c>
      <c r="R64" s="106">
        <f t="shared" si="63"/>
        <v>4338.7999999999993</v>
      </c>
      <c r="S64" s="106">
        <f t="shared" si="63"/>
        <v>0</v>
      </c>
      <c r="T64" s="106">
        <f t="shared" ref="T64" si="65">S64/R64*100</f>
        <v>0</v>
      </c>
      <c r="U64" s="106">
        <f t="shared" si="63"/>
        <v>1300.6000000000001</v>
      </c>
      <c r="V64" s="106">
        <f t="shared" si="63"/>
        <v>0</v>
      </c>
      <c r="W64" s="106">
        <f t="shared" si="63"/>
        <v>0</v>
      </c>
      <c r="X64" s="106">
        <f t="shared" si="63"/>
        <v>1288.6000000000001</v>
      </c>
      <c r="Y64" s="106">
        <f t="shared" si="63"/>
        <v>0</v>
      </c>
      <c r="Z64" s="106">
        <f t="shared" si="63"/>
        <v>0</v>
      </c>
      <c r="AA64" s="106">
        <f t="shared" si="63"/>
        <v>1075.6000000000001</v>
      </c>
      <c r="AB64" s="106">
        <f t="shared" si="63"/>
        <v>0</v>
      </c>
      <c r="AC64" s="106">
        <f t="shared" si="63"/>
        <v>0</v>
      </c>
      <c r="AD64" s="106">
        <f t="shared" si="63"/>
        <v>150.6</v>
      </c>
      <c r="AE64" s="106">
        <f t="shared" si="63"/>
        <v>0</v>
      </c>
      <c r="AF64" s="106">
        <f t="shared" ref="AF64" si="66">AE64/AD64*100</f>
        <v>0</v>
      </c>
      <c r="AG64" s="106">
        <f t="shared" si="63"/>
        <v>200.6</v>
      </c>
      <c r="AH64" s="106">
        <f t="shared" si="63"/>
        <v>0</v>
      </c>
      <c r="AI64" s="106">
        <f t="shared" si="63"/>
        <v>0</v>
      </c>
      <c r="AJ64" s="106">
        <f t="shared" si="63"/>
        <v>162.6</v>
      </c>
      <c r="AK64" s="106">
        <f t="shared" si="63"/>
        <v>0</v>
      </c>
      <c r="AL64" s="106">
        <f t="shared" si="63"/>
        <v>0</v>
      </c>
      <c r="AM64" s="106">
        <f t="shared" si="63"/>
        <v>1339.8</v>
      </c>
      <c r="AN64" s="106">
        <f t="shared" si="63"/>
        <v>0</v>
      </c>
      <c r="AO64" s="106">
        <f t="shared" si="63"/>
        <v>0</v>
      </c>
      <c r="AP64" s="106">
        <f t="shared" si="63"/>
        <v>363.6</v>
      </c>
      <c r="AQ64" s="106">
        <f t="shared" si="63"/>
        <v>0</v>
      </c>
      <c r="AR64" s="106">
        <f t="shared" si="63"/>
        <v>0</v>
      </c>
      <c r="AS64" s="338"/>
      <c r="AT64" s="379"/>
      <c r="AU64" s="121"/>
      <c r="AV64" s="121"/>
      <c r="AW64" s="155"/>
    </row>
    <row r="65" spans="1:49" s="100" customFormat="1" ht="24">
      <c r="A65" s="372"/>
      <c r="B65" s="373"/>
      <c r="C65" s="373"/>
      <c r="D65" s="374"/>
      <c r="E65" s="110" t="s">
        <v>257</v>
      </c>
      <c r="F65" s="106">
        <f>F72+F76+F80</f>
        <v>0</v>
      </c>
      <c r="G65" s="106">
        <f t="shared" si="63"/>
        <v>0</v>
      </c>
      <c r="H65" s="106">
        <v>0</v>
      </c>
      <c r="I65" s="106">
        <f t="shared" si="63"/>
        <v>0</v>
      </c>
      <c r="J65" s="106">
        <f t="shared" si="63"/>
        <v>0</v>
      </c>
      <c r="K65" s="106">
        <v>0</v>
      </c>
      <c r="L65" s="106">
        <f t="shared" si="63"/>
        <v>0</v>
      </c>
      <c r="M65" s="106">
        <f t="shared" si="63"/>
        <v>0</v>
      </c>
      <c r="N65" s="106">
        <f t="shared" si="63"/>
        <v>0</v>
      </c>
      <c r="O65" s="106">
        <f t="shared" si="63"/>
        <v>0</v>
      </c>
      <c r="P65" s="106">
        <f t="shared" si="63"/>
        <v>0</v>
      </c>
      <c r="Q65" s="106">
        <v>0</v>
      </c>
      <c r="R65" s="106">
        <f t="shared" si="63"/>
        <v>0</v>
      </c>
      <c r="S65" s="106">
        <f t="shared" si="63"/>
        <v>0</v>
      </c>
      <c r="T65" s="106">
        <v>0</v>
      </c>
      <c r="U65" s="106">
        <f t="shared" si="63"/>
        <v>0</v>
      </c>
      <c r="V65" s="106">
        <f t="shared" si="63"/>
        <v>0</v>
      </c>
      <c r="W65" s="106">
        <f t="shared" si="63"/>
        <v>0</v>
      </c>
      <c r="X65" s="106">
        <f t="shared" si="63"/>
        <v>0</v>
      </c>
      <c r="Y65" s="106">
        <f t="shared" si="63"/>
        <v>0</v>
      </c>
      <c r="Z65" s="106">
        <f t="shared" si="63"/>
        <v>0</v>
      </c>
      <c r="AA65" s="106">
        <f t="shared" si="63"/>
        <v>0</v>
      </c>
      <c r="AB65" s="106">
        <f t="shared" si="63"/>
        <v>0</v>
      </c>
      <c r="AC65" s="106">
        <f t="shared" si="63"/>
        <v>0</v>
      </c>
      <c r="AD65" s="106">
        <f t="shared" si="63"/>
        <v>0</v>
      </c>
      <c r="AE65" s="106">
        <f t="shared" si="63"/>
        <v>0</v>
      </c>
      <c r="AF65" s="106">
        <f t="shared" si="63"/>
        <v>0</v>
      </c>
      <c r="AG65" s="106">
        <f t="shared" si="63"/>
        <v>0</v>
      </c>
      <c r="AH65" s="106">
        <f t="shared" si="63"/>
        <v>0</v>
      </c>
      <c r="AI65" s="106">
        <f t="shared" si="63"/>
        <v>0</v>
      </c>
      <c r="AJ65" s="106">
        <f t="shared" si="63"/>
        <v>0</v>
      </c>
      <c r="AK65" s="106">
        <f t="shared" si="63"/>
        <v>0</v>
      </c>
      <c r="AL65" s="106">
        <f t="shared" si="63"/>
        <v>0</v>
      </c>
      <c r="AM65" s="106">
        <f t="shared" si="63"/>
        <v>0</v>
      </c>
      <c r="AN65" s="106">
        <f t="shared" si="63"/>
        <v>0</v>
      </c>
      <c r="AO65" s="106">
        <f t="shared" si="63"/>
        <v>0</v>
      </c>
      <c r="AP65" s="106">
        <f t="shared" si="63"/>
        <v>0</v>
      </c>
      <c r="AQ65" s="106">
        <f t="shared" si="63"/>
        <v>0</v>
      </c>
      <c r="AR65" s="106">
        <f t="shared" si="63"/>
        <v>0</v>
      </c>
      <c r="AS65" s="339"/>
      <c r="AT65" s="380"/>
      <c r="AU65" s="121"/>
      <c r="AV65" s="121"/>
      <c r="AW65" s="155"/>
    </row>
    <row r="66" spans="1:49" s="100" customFormat="1" ht="72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419</v>
      </c>
      <c r="AT66" s="134"/>
      <c r="AU66" s="121"/>
      <c r="AV66" s="121"/>
      <c r="AW66" s="155"/>
    </row>
    <row r="67" spans="1:49" s="100" customFormat="1" ht="96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420</v>
      </c>
      <c r="AT67" s="134"/>
      <c r="AU67" s="121"/>
      <c r="AV67" s="121"/>
      <c r="AW67" s="155"/>
    </row>
    <row r="68" spans="1:49" s="100" customFormat="1" ht="264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421</v>
      </c>
      <c r="AT68" s="134"/>
      <c r="AU68" s="121"/>
      <c r="AV68" s="121"/>
      <c r="AW68" s="155"/>
    </row>
    <row r="69" spans="1:49" s="31" customFormat="1" ht="12.75">
      <c r="A69" s="393" t="s">
        <v>395</v>
      </c>
      <c r="B69" s="346" t="s">
        <v>396</v>
      </c>
      <c r="C69" s="349" t="s">
        <v>277</v>
      </c>
      <c r="D69" s="355" t="s">
        <v>397</v>
      </c>
      <c r="E69" s="107" t="s">
        <v>42</v>
      </c>
      <c r="F69" s="123">
        <f>SUM(F70:F72)</f>
        <v>1572.1</v>
      </c>
      <c r="G69" s="123">
        <f t="shared" ref="G69" si="67">SUM(G70:G72)</f>
        <v>227.2</v>
      </c>
      <c r="H69" s="123">
        <f>G69/F69*100</f>
        <v>14.452006869791997</v>
      </c>
      <c r="I69" s="138">
        <f t="shared" ref="I69:AP69" si="68">I70+I71+I72</f>
        <v>0</v>
      </c>
      <c r="J69" s="138">
        <f t="shared" si="68"/>
        <v>0</v>
      </c>
      <c r="K69" s="123">
        <v>0</v>
      </c>
      <c r="L69" s="138">
        <f t="shared" si="68"/>
        <v>177.39999999999998</v>
      </c>
      <c r="M69" s="132">
        <f t="shared" si="68"/>
        <v>158.1</v>
      </c>
      <c r="N69" s="132">
        <f>M69/L69*100</f>
        <v>89.120631341600912</v>
      </c>
      <c r="O69" s="132">
        <f t="shared" si="68"/>
        <v>70.000000000000014</v>
      </c>
      <c r="P69" s="132">
        <f t="shared" si="68"/>
        <v>69.099999999999994</v>
      </c>
      <c r="Q69" s="123">
        <f t="shared" ref="Q69:Q79" si="69">P69/O69*100</f>
        <v>98.714285714285694</v>
      </c>
      <c r="R69" s="132">
        <f t="shared" si="68"/>
        <v>61.4</v>
      </c>
      <c r="S69" s="132">
        <f t="shared" si="68"/>
        <v>0</v>
      </c>
      <c r="T69" s="132">
        <f>S69/R69*100</f>
        <v>0</v>
      </c>
      <c r="U69" s="138">
        <f t="shared" si="68"/>
        <v>61.4</v>
      </c>
      <c r="V69" s="138">
        <f t="shared" si="68"/>
        <v>0</v>
      </c>
      <c r="W69" s="132">
        <f t="shared" ref="W69" si="70">V69/U69*100</f>
        <v>0</v>
      </c>
      <c r="X69" s="132">
        <f t="shared" si="68"/>
        <v>61.4</v>
      </c>
      <c r="Y69" s="132">
        <f t="shared" si="68"/>
        <v>0</v>
      </c>
      <c r="Z69" s="132">
        <f t="shared" ref="Z69" si="71">Y69/X69*100</f>
        <v>0</v>
      </c>
      <c r="AA69" s="132">
        <f t="shared" si="68"/>
        <v>61.4</v>
      </c>
      <c r="AB69" s="132">
        <f t="shared" si="68"/>
        <v>0</v>
      </c>
      <c r="AC69" s="132">
        <f t="shared" ref="AC69" si="72">AB69/AA69*100</f>
        <v>0</v>
      </c>
      <c r="AD69" s="132">
        <f t="shared" si="68"/>
        <v>61.4</v>
      </c>
      <c r="AE69" s="138">
        <f t="shared" si="68"/>
        <v>0</v>
      </c>
      <c r="AF69" s="104">
        <f t="shared" ref="AF69" si="73">AE69/AD69*100</f>
        <v>0</v>
      </c>
      <c r="AG69" s="138">
        <f t="shared" si="68"/>
        <v>61.4</v>
      </c>
      <c r="AH69" s="138">
        <f t="shared" si="68"/>
        <v>0</v>
      </c>
      <c r="AI69" s="132">
        <f t="shared" ref="AI69" si="74">AH69/AG69*100</f>
        <v>0</v>
      </c>
      <c r="AJ69" s="138">
        <f t="shared" si="68"/>
        <v>61.4</v>
      </c>
      <c r="AK69" s="138">
        <f t="shared" si="68"/>
        <v>0</v>
      </c>
      <c r="AL69" s="138">
        <f t="shared" si="68"/>
        <v>0</v>
      </c>
      <c r="AM69" s="138">
        <f t="shared" si="68"/>
        <v>780.5</v>
      </c>
      <c r="AN69" s="138">
        <f t="shared" si="68"/>
        <v>0</v>
      </c>
      <c r="AO69" s="138">
        <f t="shared" si="68"/>
        <v>0</v>
      </c>
      <c r="AP69" s="138">
        <f t="shared" si="68"/>
        <v>114.39999999999999</v>
      </c>
      <c r="AQ69" s="104"/>
      <c r="AR69" s="104"/>
      <c r="AS69" s="352" t="s">
        <v>422</v>
      </c>
      <c r="AT69" s="455" t="s">
        <v>423</v>
      </c>
      <c r="AU69" s="121"/>
      <c r="AV69" s="121"/>
      <c r="AW69" s="155"/>
    </row>
    <row r="70" spans="1:49" s="31" customFormat="1" ht="36">
      <c r="A70" s="394"/>
      <c r="B70" s="347"/>
      <c r="C70" s="350"/>
      <c r="D70" s="356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53"/>
      <c r="AT70" s="456"/>
      <c r="AU70" s="121"/>
      <c r="AV70" s="121"/>
      <c r="AW70" s="155"/>
    </row>
    <row r="71" spans="1:49" s="31" customFormat="1" ht="12.75">
      <c r="A71" s="394"/>
      <c r="B71" s="347"/>
      <c r="C71" s="350"/>
      <c r="D71" s="356"/>
      <c r="E71" s="108" t="s">
        <v>44</v>
      </c>
      <c r="F71" s="123">
        <f t="shared" ref="F71:G72" si="75">I71+L71+O71+R71+U71+X71+AA71+AD71+AG71+AJ71+AM71+AP71</f>
        <v>1572.1</v>
      </c>
      <c r="G71" s="123">
        <f t="shared" si="75"/>
        <v>227.2</v>
      </c>
      <c r="H71" s="123">
        <f>G71/F71*100</f>
        <v>14.452006869791997</v>
      </c>
      <c r="I71" s="123">
        <v>0</v>
      </c>
      <c r="J71" s="123">
        <v>0</v>
      </c>
      <c r="K71" s="123">
        <v>0</v>
      </c>
      <c r="L71" s="150">
        <f>61.4+10.2+105.8</f>
        <v>177.39999999999998</v>
      </c>
      <c r="M71" s="123">
        <v>158.1</v>
      </c>
      <c r="N71" s="138">
        <f t="shared" ref="N71" si="76">M71/L71*100</f>
        <v>89.120631341600912</v>
      </c>
      <c r="O71" s="123">
        <f>207.4-31.6-105.8</f>
        <v>70.000000000000014</v>
      </c>
      <c r="P71" s="123">
        <v>69.099999999999994</v>
      </c>
      <c r="Q71" s="123">
        <f t="shared" si="69"/>
        <v>98.714285714285694</v>
      </c>
      <c r="R71" s="123">
        <v>61.4</v>
      </c>
      <c r="S71" s="123">
        <v>0</v>
      </c>
      <c r="T71" s="132">
        <f t="shared" ref="T71:T79" si="77">S71/R71*100</f>
        <v>0</v>
      </c>
      <c r="U71" s="117">
        <v>61.4</v>
      </c>
      <c r="V71" s="117">
        <v>0</v>
      </c>
      <c r="W71" s="132">
        <f t="shared" ref="W71" si="78">V71/U71*100</f>
        <v>0</v>
      </c>
      <c r="X71" s="117">
        <v>61.4</v>
      </c>
      <c r="Y71" s="117">
        <v>0</v>
      </c>
      <c r="Z71" s="132">
        <f t="shared" ref="Z71" si="79">Y71/X71*100</f>
        <v>0</v>
      </c>
      <c r="AA71" s="117">
        <v>61.4</v>
      </c>
      <c r="AB71" s="117">
        <v>0</v>
      </c>
      <c r="AC71" s="132">
        <f t="shared" ref="AC71" si="80">AB71/AA71*100</f>
        <v>0</v>
      </c>
      <c r="AD71" s="117">
        <v>61.4</v>
      </c>
      <c r="AE71" s="117">
        <v>0</v>
      </c>
      <c r="AF71" s="132">
        <f t="shared" ref="AF71" si="81">AE71/AD71*100</f>
        <v>0</v>
      </c>
      <c r="AG71" s="117">
        <v>61.4</v>
      </c>
      <c r="AH71" s="117">
        <v>0</v>
      </c>
      <c r="AI71" s="132">
        <f t="shared" ref="AI71" si="82">AH71/AG71*100</f>
        <v>0</v>
      </c>
      <c r="AJ71" s="123">
        <v>61.4</v>
      </c>
      <c r="AK71" s="123">
        <v>0</v>
      </c>
      <c r="AL71" s="123">
        <v>0</v>
      </c>
      <c r="AM71" s="117">
        <f>790.7-10.2</f>
        <v>780.5</v>
      </c>
      <c r="AN71" s="117">
        <v>0</v>
      </c>
      <c r="AO71" s="117">
        <v>0</v>
      </c>
      <c r="AP71" s="123">
        <f>122.8-8.4</f>
        <v>114.39999999999999</v>
      </c>
      <c r="AQ71" s="104"/>
      <c r="AR71" s="104"/>
      <c r="AS71" s="353"/>
      <c r="AT71" s="456"/>
      <c r="AU71" s="121"/>
      <c r="AV71" s="121"/>
      <c r="AW71" s="155"/>
    </row>
    <row r="72" spans="1:49" s="31" customFormat="1" ht="39.75" customHeight="1">
      <c r="A72" s="395"/>
      <c r="B72" s="348"/>
      <c r="C72" s="351"/>
      <c r="D72" s="362"/>
      <c r="E72" s="109" t="s">
        <v>257</v>
      </c>
      <c r="F72" s="123">
        <f t="shared" si="75"/>
        <v>0</v>
      </c>
      <c r="G72" s="123">
        <f t="shared" si="75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54"/>
      <c r="AT72" s="457"/>
      <c r="AU72" s="121"/>
      <c r="AV72" s="121"/>
      <c r="AW72" s="155"/>
    </row>
    <row r="73" spans="1:49" s="31" customFormat="1" ht="12.75">
      <c r="A73" s="393" t="s">
        <v>398</v>
      </c>
      <c r="B73" s="346" t="s">
        <v>258</v>
      </c>
      <c r="C73" s="349" t="s">
        <v>277</v>
      </c>
      <c r="D73" s="355" t="s">
        <v>400</v>
      </c>
      <c r="E73" s="107" t="s">
        <v>42</v>
      </c>
      <c r="F73" s="123">
        <f>SUM(F74:F76)</f>
        <v>455.1</v>
      </c>
      <c r="G73" s="123">
        <f t="shared" ref="G73" si="83">SUM(G74:G76)</f>
        <v>0</v>
      </c>
      <c r="H73" s="123">
        <f>G73/F73*100</f>
        <v>0</v>
      </c>
      <c r="I73" s="138">
        <f t="shared" ref="I73:AP73" si="84">I74+I75+I76</f>
        <v>0</v>
      </c>
      <c r="J73" s="138">
        <f t="shared" si="84"/>
        <v>0</v>
      </c>
      <c r="K73" s="123">
        <v>0</v>
      </c>
      <c r="L73" s="138">
        <f t="shared" si="84"/>
        <v>0</v>
      </c>
      <c r="M73" s="132">
        <f t="shared" si="84"/>
        <v>0</v>
      </c>
      <c r="N73" s="132">
        <v>0</v>
      </c>
      <c r="O73" s="132">
        <f t="shared" si="84"/>
        <v>0</v>
      </c>
      <c r="P73" s="132">
        <f t="shared" si="84"/>
        <v>0</v>
      </c>
      <c r="Q73" s="123">
        <v>0</v>
      </c>
      <c r="R73" s="132">
        <f t="shared" si="84"/>
        <v>0</v>
      </c>
      <c r="S73" s="132">
        <f t="shared" si="84"/>
        <v>0</v>
      </c>
      <c r="T73" s="132">
        <v>0</v>
      </c>
      <c r="U73" s="132">
        <f t="shared" si="84"/>
        <v>0</v>
      </c>
      <c r="V73" s="132">
        <f t="shared" si="84"/>
        <v>0</v>
      </c>
      <c r="W73" s="132">
        <f t="shared" si="84"/>
        <v>0</v>
      </c>
      <c r="X73" s="132">
        <f t="shared" si="84"/>
        <v>0</v>
      </c>
      <c r="Y73" s="132">
        <f t="shared" si="84"/>
        <v>0</v>
      </c>
      <c r="Z73" s="138">
        <f t="shared" si="84"/>
        <v>0</v>
      </c>
      <c r="AA73" s="138">
        <f t="shared" si="84"/>
        <v>0</v>
      </c>
      <c r="AB73" s="138">
        <f t="shared" si="84"/>
        <v>0</v>
      </c>
      <c r="AC73" s="138">
        <f t="shared" si="84"/>
        <v>0</v>
      </c>
      <c r="AD73" s="132">
        <f t="shared" si="84"/>
        <v>0</v>
      </c>
      <c r="AE73" s="132">
        <f t="shared" si="84"/>
        <v>0</v>
      </c>
      <c r="AF73" s="132">
        <f t="shared" si="84"/>
        <v>0</v>
      </c>
      <c r="AG73" s="132">
        <f t="shared" si="84"/>
        <v>0</v>
      </c>
      <c r="AH73" s="132">
        <f t="shared" si="84"/>
        <v>0</v>
      </c>
      <c r="AI73" s="132">
        <f t="shared" si="84"/>
        <v>0</v>
      </c>
      <c r="AJ73" s="132">
        <f t="shared" si="84"/>
        <v>0</v>
      </c>
      <c r="AK73" s="132">
        <f t="shared" si="84"/>
        <v>0</v>
      </c>
      <c r="AL73" s="132">
        <f t="shared" si="84"/>
        <v>0</v>
      </c>
      <c r="AM73" s="132">
        <f t="shared" si="84"/>
        <v>455.1</v>
      </c>
      <c r="AN73" s="132">
        <f t="shared" si="84"/>
        <v>0</v>
      </c>
      <c r="AO73" s="132">
        <f t="shared" si="84"/>
        <v>0</v>
      </c>
      <c r="AP73" s="132">
        <f t="shared" si="84"/>
        <v>0</v>
      </c>
      <c r="AQ73" s="104"/>
      <c r="AR73" s="104"/>
      <c r="AS73" s="397" t="s">
        <v>425</v>
      </c>
      <c r="AT73" s="440" t="s">
        <v>424</v>
      </c>
      <c r="AU73" s="121"/>
      <c r="AV73" s="121"/>
      <c r="AW73" s="155"/>
    </row>
    <row r="74" spans="1:49" s="31" customFormat="1" ht="36">
      <c r="A74" s="394"/>
      <c r="B74" s="347"/>
      <c r="C74" s="350"/>
      <c r="D74" s="356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98"/>
      <c r="AT74" s="441"/>
      <c r="AU74" s="121"/>
      <c r="AV74" s="121"/>
      <c r="AW74" s="155"/>
    </row>
    <row r="75" spans="1:49" s="31" customFormat="1" ht="24.75" customHeight="1">
      <c r="A75" s="394"/>
      <c r="B75" s="347"/>
      <c r="C75" s="350"/>
      <c r="D75" s="356"/>
      <c r="E75" s="108" t="s">
        <v>44</v>
      </c>
      <c r="F75" s="123">
        <f t="shared" ref="F75:G76" si="85">I75+L75+O75+R75+U75+X75+AA75+AD75+AG75+AJ75+AM75+AP75</f>
        <v>455.1</v>
      </c>
      <c r="G75" s="123">
        <f t="shared" si="85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98"/>
      <c r="AT75" s="441"/>
      <c r="AU75" s="121"/>
      <c r="AV75" s="121"/>
      <c r="AW75" s="155"/>
    </row>
    <row r="76" spans="1:49" s="31" customFormat="1" ht="24" customHeight="1">
      <c r="A76" s="395"/>
      <c r="B76" s="348"/>
      <c r="C76" s="351"/>
      <c r="D76" s="362"/>
      <c r="E76" s="109" t="s">
        <v>257</v>
      </c>
      <c r="F76" s="123">
        <f t="shared" si="85"/>
        <v>0</v>
      </c>
      <c r="G76" s="123">
        <f t="shared" si="85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99"/>
      <c r="AT76" s="442"/>
      <c r="AU76" s="121"/>
      <c r="AV76" s="121"/>
      <c r="AW76" s="155"/>
    </row>
    <row r="77" spans="1:49" s="31" customFormat="1" ht="12.75">
      <c r="A77" s="393" t="s">
        <v>399</v>
      </c>
      <c r="B77" s="346" t="s">
        <v>295</v>
      </c>
      <c r="C77" s="349" t="s">
        <v>401</v>
      </c>
      <c r="D77" s="355" t="s">
        <v>402</v>
      </c>
      <c r="E77" s="107" t="s">
        <v>42</v>
      </c>
      <c r="F77" s="123">
        <f>SUM(F78:F80)</f>
        <v>8560.9</v>
      </c>
      <c r="G77" s="123">
        <f t="shared" ref="G77" si="86">SUM(G78:G80)</f>
        <v>17.8</v>
      </c>
      <c r="H77" s="123">
        <f>G77/F77*100</f>
        <v>0.20792206426894369</v>
      </c>
      <c r="I77" s="132">
        <f t="shared" ref="I77:AP77" si="87">I78+I79+I80</f>
        <v>0</v>
      </c>
      <c r="J77" s="132">
        <f t="shared" si="87"/>
        <v>0</v>
      </c>
      <c r="K77" s="123">
        <v>0</v>
      </c>
      <c r="L77" s="132">
        <f t="shared" si="87"/>
        <v>16</v>
      </c>
      <c r="M77" s="132">
        <f t="shared" si="87"/>
        <v>15.6</v>
      </c>
      <c r="N77" s="132">
        <f>M77/L77*100</f>
        <v>97.5</v>
      </c>
      <c r="O77" s="132">
        <f t="shared" si="87"/>
        <v>103.90000000000009</v>
      </c>
      <c r="P77" s="132">
        <f t="shared" si="87"/>
        <v>2.2000000000000002</v>
      </c>
      <c r="Q77" s="123">
        <f t="shared" si="69"/>
        <v>2.1174205967276212</v>
      </c>
      <c r="R77" s="132">
        <f t="shared" si="87"/>
        <v>4277.3999999999996</v>
      </c>
      <c r="S77" s="132">
        <f t="shared" si="87"/>
        <v>0</v>
      </c>
      <c r="T77" s="132">
        <f t="shared" si="77"/>
        <v>0</v>
      </c>
      <c r="U77" s="132">
        <f t="shared" si="87"/>
        <v>1239.2</v>
      </c>
      <c r="V77" s="132">
        <f t="shared" si="87"/>
        <v>0</v>
      </c>
      <c r="W77" s="138">
        <f t="shared" ref="W77" si="88">V77/U77*100</f>
        <v>0</v>
      </c>
      <c r="X77" s="132">
        <f t="shared" si="87"/>
        <v>1227.2</v>
      </c>
      <c r="Y77" s="132">
        <f t="shared" si="87"/>
        <v>0</v>
      </c>
      <c r="Z77" s="132">
        <f t="shared" si="87"/>
        <v>0</v>
      </c>
      <c r="AA77" s="132">
        <f t="shared" si="87"/>
        <v>1014.2</v>
      </c>
      <c r="AB77" s="132">
        <f t="shared" si="87"/>
        <v>0</v>
      </c>
      <c r="AC77" s="117">
        <f>AB77/AA77*100</f>
        <v>0</v>
      </c>
      <c r="AD77" s="132">
        <f t="shared" si="87"/>
        <v>89.2</v>
      </c>
      <c r="AE77" s="132">
        <f t="shared" si="87"/>
        <v>0</v>
      </c>
      <c r="AF77" s="104">
        <f t="shared" ref="AF77" si="89">AE77/AD77*100</f>
        <v>0</v>
      </c>
      <c r="AG77" s="132">
        <f t="shared" si="87"/>
        <v>139.19999999999999</v>
      </c>
      <c r="AH77" s="132">
        <f t="shared" si="87"/>
        <v>0</v>
      </c>
      <c r="AI77" s="104">
        <f t="shared" ref="AI77" si="90">AH77/AG77*100</f>
        <v>0</v>
      </c>
      <c r="AJ77" s="132">
        <f t="shared" si="87"/>
        <v>101.2</v>
      </c>
      <c r="AK77" s="132">
        <f t="shared" si="87"/>
        <v>0</v>
      </c>
      <c r="AL77" s="132">
        <f t="shared" si="87"/>
        <v>0</v>
      </c>
      <c r="AM77" s="132">
        <f t="shared" si="87"/>
        <v>104.2</v>
      </c>
      <c r="AN77" s="132">
        <f t="shared" si="87"/>
        <v>0</v>
      </c>
      <c r="AO77" s="132">
        <f t="shared" si="87"/>
        <v>0</v>
      </c>
      <c r="AP77" s="132">
        <f t="shared" si="87"/>
        <v>249.20000000000002</v>
      </c>
      <c r="AQ77" s="104"/>
      <c r="AR77" s="104"/>
      <c r="AS77" s="352" t="s">
        <v>427</v>
      </c>
      <c r="AT77" s="455" t="s">
        <v>426</v>
      </c>
      <c r="AU77" s="121"/>
      <c r="AV77" s="121"/>
      <c r="AW77" s="155"/>
    </row>
    <row r="78" spans="1:49" s="31" customFormat="1" ht="36">
      <c r="A78" s="394"/>
      <c r="B78" s="347"/>
      <c r="C78" s="350"/>
      <c r="D78" s="356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53"/>
      <c r="AT78" s="456"/>
      <c r="AU78" s="121"/>
      <c r="AV78" s="121"/>
      <c r="AW78" s="155"/>
    </row>
    <row r="79" spans="1:49" s="31" customFormat="1" ht="12.75">
      <c r="A79" s="394"/>
      <c r="B79" s="347"/>
      <c r="C79" s="350"/>
      <c r="D79" s="356"/>
      <c r="E79" s="108" t="s">
        <v>44</v>
      </c>
      <c r="F79" s="123">
        <f t="shared" ref="F79:G80" si="91">I79+L79+O79+R79+U79+X79+AA79+AD79+AG79+AJ79+AM79+AP79</f>
        <v>8560.9</v>
      </c>
      <c r="G79" s="123">
        <f t="shared" si="91"/>
        <v>17.8</v>
      </c>
      <c r="H79" s="123">
        <f>G79/F79*100</f>
        <v>0.20792206426894369</v>
      </c>
      <c r="I79" s="123">
        <v>0</v>
      </c>
      <c r="J79" s="123">
        <v>0</v>
      </c>
      <c r="K79" s="123">
        <v>0</v>
      </c>
      <c r="L79" s="150">
        <f>2231.1+45-2276.1+16</f>
        <v>16</v>
      </c>
      <c r="M79" s="123">
        <v>15.6</v>
      </c>
      <c r="N79" s="138">
        <f t="shared" ref="N79" si="92">M79/L79*100</f>
        <v>97.5</v>
      </c>
      <c r="O79" s="123">
        <f>1844+40+50-1734.1-16-80</f>
        <v>103.90000000000009</v>
      </c>
      <c r="P79" s="123">
        <v>2.2000000000000002</v>
      </c>
      <c r="Q79" s="123">
        <f t="shared" si="69"/>
        <v>2.1174205967276212</v>
      </c>
      <c r="R79" s="123">
        <f>229.2+38+4010.2</f>
        <v>4277.3999999999996</v>
      </c>
      <c r="S79" s="123">
        <v>0</v>
      </c>
      <c r="T79" s="138">
        <f t="shared" si="77"/>
        <v>0</v>
      </c>
      <c r="U79" s="117">
        <f>1129.2+30+80</f>
        <v>1239.2</v>
      </c>
      <c r="V79" s="117">
        <v>0</v>
      </c>
      <c r="W79" s="138">
        <f t="shared" ref="W79" si="93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94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53"/>
      <c r="AT79" s="456"/>
      <c r="AU79" s="121"/>
      <c r="AV79" s="121"/>
      <c r="AW79" s="155"/>
    </row>
    <row r="80" spans="1:49" s="31" customFormat="1" ht="9" customHeight="1">
      <c r="A80" s="395"/>
      <c r="B80" s="348"/>
      <c r="C80" s="351"/>
      <c r="D80" s="362"/>
      <c r="E80" s="109" t="s">
        <v>257</v>
      </c>
      <c r="F80" s="123">
        <f t="shared" si="91"/>
        <v>0</v>
      </c>
      <c r="G80" s="123">
        <f t="shared" si="91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54"/>
      <c r="AT80" s="457"/>
      <c r="AU80" s="121"/>
      <c r="AV80" s="121"/>
      <c r="AW80" s="155"/>
    </row>
    <row r="81" spans="1:48" s="100" customFormat="1" ht="12.75">
      <c r="A81" s="401" t="s">
        <v>256</v>
      </c>
      <c r="B81" s="402"/>
      <c r="C81" s="402"/>
      <c r="D81" s="403"/>
      <c r="E81" s="110" t="s">
        <v>42</v>
      </c>
      <c r="F81" s="106">
        <f>F82+F83+F84</f>
        <v>433567.59999999992</v>
      </c>
      <c r="G81" s="106">
        <f t="shared" ref="G81:AP81" si="95">G82+G83+G84</f>
        <v>87573.099999999977</v>
      </c>
      <c r="H81" s="106">
        <f>G81/F81*100</f>
        <v>20.198257434365484</v>
      </c>
      <c r="I81" s="106">
        <f t="shared" si="95"/>
        <v>13742.399999999998</v>
      </c>
      <c r="J81" s="106">
        <f t="shared" si="95"/>
        <v>25267</v>
      </c>
      <c r="K81" s="106">
        <f>J81/I81*100</f>
        <v>183.86162533473049</v>
      </c>
      <c r="L81" s="106">
        <f t="shared" si="95"/>
        <v>42724.600000000006</v>
      </c>
      <c r="M81" s="106">
        <f t="shared" si="95"/>
        <v>33691.599999999999</v>
      </c>
      <c r="N81" s="106">
        <f>M81/L81*100</f>
        <v>78.857613646470639</v>
      </c>
      <c r="O81" s="106">
        <f t="shared" si="95"/>
        <v>36856.100000000006</v>
      </c>
      <c r="P81" s="106">
        <f t="shared" si="95"/>
        <v>28614.499999999996</v>
      </c>
      <c r="Q81" s="106">
        <f>P81/O81*100</f>
        <v>77.638437056552362</v>
      </c>
      <c r="R81" s="106">
        <f t="shared" si="95"/>
        <v>47106.6</v>
      </c>
      <c r="S81" s="106">
        <f t="shared" si="95"/>
        <v>0</v>
      </c>
      <c r="T81" s="106">
        <f>S81/R81*100</f>
        <v>0</v>
      </c>
      <c r="U81" s="106">
        <f t="shared" si="95"/>
        <v>35582.399999999994</v>
      </c>
      <c r="V81" s="106">
        <f t="shared" si="95"/>
        <v>0</v>
      </c>
      <c r="W81" s="106">
        <f t="shared" si="95"/>
        <v>0</v>
      </c>
      <c r="X81" s="106">
        <f t="shared" si="95"/>
        <v>41537.69999999999</v>
      </c>
      <c r="Y81" s="106">
        <f t="shared" si="95"/>
        <v>0</v>
      </c>
      <c r="Z81" s="106" t="e">
        <f t="shared" si="95"/>
        <v>#REF!</v>
      </c>
      <c r="AA81" s="106">
        <f t="shared" si="95"/>
        <v>50658.1</v>
      </c>
      <c r="AB81" s="106">
        <f t="shared" si="95"/>
        <v>0</v>
      </c>
      <c r="AC81" s="106" t="e">
        <f t="shared" si="95"/>
        <v>#REF!</v>
      </c>
      <c r="AD81" s="106">
        <f t="shared" si="95"/>
        <v>36590</v>
      </c>
      <c r="AE81" s="106">
        <f t="shared" si="95"/>
        <v>0</v>
      </c>
      <c r="AF81" s="103">
        <f t="shared" ref="AF81:AF84" si="96">AE81/AD81*100</f>
        <v>0</v>
      </c>
      <c r="AG81" s="106">
        <f t="shared" si="95"/>
        <v>27715.699999999997</v>
      </c>
      <c r="AH81" s="106">
        <f t="shared" si="95"/>
        <v>0</v>
      </c>
      <c r="AI81" s="106" t="e">
        <f t="shared" si="95"/>
        <v>#REF!</v>
      </c>
      <c r="AJ81" s="106">
        <f t="shared" si="95"/>
        <v>24977.5</v>
      </c>
      <c r="AK81" s="106">
        <f t="shared" si="95"/>
        <v>0</v>
      </c>
      <c r="AL81" s="106" t="e">
        <f t="shared" si="95"/>
        <v>#REF!</v>
      </c>
      <c r="AM81" s="106">
        <f t="shared" si="95"/>
        <v>25612.799999999996</v>
      </c>
      <c r="AN81" s="106">
        <f t="shared" si="95"/>
        <v>0</v>
      </c>
      <c r="AO81" s="106" t="e">
        <f t="shared" si="95"/>
        <v>#REF!</v>
      </c>
      <c r="AP81" s="106">
        <f t="shared" si="95"/>
        <v>50463.7</v>
      </c>
      <c r="AQ81" s="103">
        <f t="shared" ref="AQ81:AR81" si="97">SUM(AQ82:AQ84)</f>
        <v>0</v>
      </c>
      <c r="AR81" s="103" t="e">
        <f t="shared" si="97"/>
        <v>#REF!</v>
      </c>
      <c r="AS81" s="337"/>
      <c r="AT81" s="410"/>
      <c r="AU81" s="121"/>
      <c r="AV81" s="127"/>
    </row>
    <row r="82" spans="1:48" s="100" customFormat="1" ht="36">
      <c r="A82" s="404"/>
      <c r="B82" s="405"/>
      <c r="C82" s="405"/>
      <c r="D82" s="406"/>
      <c r="E82" s="111" t="s">
        <v>3</v>
      </c>
      <c r="F82" s="106">
        <f t="shared" ref="F82:G84" si="98">F10+F34+F49+F63</f>
        <v>125134.89999999997</v>
      </c>
      <c r="G82" s="106">
        <f t="shared" si="98"/>
        <v>17974.2</v>
      </c>
      <c r="H82" s="106">
        <f>G82/F82*100</f>
        <v>14.363858523881031</v>
      </c>
      <c r="I82" s="106">
        <f t="shared" ref="I82:J84" si="99">I10+I34+I49+I63</f>
        <v>849.99999999999989</v>
      </c>
      <c r="J82" s="106">
        <f t="shared" si="99"/>
        <v>826.6</v>
      </c>
      <c r="K82" s="106">
        <f t="shared" ref="K82:K84" si="100">J82/I82*100</f>
        <v>97.247058823529429</v>
      </c>
      <c r="L82" s="106">
        <f t="shared" ref="L82:M84" si="101">L10+L34+L49+L63</f>
        <v>8876.4</v>
      </c>
      <c r="M82" s="106">
        <f t="shared" si="101"/>
        <v>8651.2000000000007</v>
      </c>
      <c r="N82" s="106">
        <f t="shared" ref="N82:N84" si="102">M82/L82*100</f>
        <v>97.462935424271109</v>
      </c>
      <c r="O82" s="106">
        <f t="shared" ref="O82:P84" si="103">O10+O34+O49+O63</f>
        <v>8999.7999999999993</v>
      </c>
      <c r="P82" s="106">
        <f t="shared" si="103"/>
        <v>8496.4</v>
      </c>
      <c r="Q82" s="106">
        <f t="shared" ref="Q82:Q84" si="104">P82/O82*100</f>
        <v>94.406542367608168</v>
      </c>
      <c r="R82" s="106">
        <f t="shared" ref="R82:S84" si="105">R10+R34+R49+R63</f>
        <v>10160.799999999999</v>
      </c>
      <c r="S82" s="106">
        <f t="shared" si="105"/>
        <v>0</v>
      </c>
      <c r="T82" s="106">
        <f t="shared" ref="T82:T84" si="106">S82/R82*100</f>
        <v>0</v>
      </c>
      <c r="U82" s="106">
        <f t="shared" ref="U82:AE84" si="107">U10+U34+U49+U63</f>
        <v>8653.3999999999978</v>
      </c>
      <c r="V82" s="106">
        <f t="shared" si="107"/>
        <v>0</v>
      </c>
      <c r="W82" s="106">
        <f t="shared" si="107"/>
        <v>0</v>
      </c>
      <c r="X82" s="106">
        <f t="shared" si="107"/>
        <v>10366.799999999999</v>
      </c>
      <c r="Y82" s="106">
        <f t="shared" si="107"/>
        <v>0</v>
      </c>
      <c r="Z82" s="106" t="e">
        <f t="shared" si="107"/>
        <v>#REF!</v>
      </c>
      <c r="AA82" s="106">
        <f t="shared" si="107"/>
        <v>11679.3</v>
      </c>
      <c r="AB82" s="106">
        <f t="shared" si="107"/>
        <v>0</v>
      </c>
      <c r="AC82" s="106" t="e">
        <f t="shared" si="107"/>
        <v>#REF!</v>
      </c>
      <c r="AD82" s="106">
        <f t="shared" si="107"/>
        <v>11285.099999999999</v>
      </c>
      <c r="AE82" s="106">
        <f t="shared" si="107"/>
        <v>0</v>
      </c>
      <c r="AF82" s="103">
        <f t="shared" si="96"/>
        <v>0</v>
      </c>
      <c r="AG82" s="106">
        <f t="shared" ref="AG82:AR84" si="108">AG10+AG34+AG49+AG63</f>
        <v>9471.7000000000007</v>
      </c>
      <c r="AH82" s="106">
        <f t="shared" si="108"/>
        <v>0</v>
      </c>
      <c r="AI82" s="106" t="e">
        <f t="shared" si="108"/>
        <v>#REF!</v>
      </c>
      <c r="AJ82" s="106">
        <f t="shared" si="108"/>
        <v>9999.1999999999989</v>
      </c>
      <c r="AK82" s="106">
        <f t="shared" si="108"/>
        <v>0</v>
      </c>
      <c r="AL82" s="106" t="e">
        <f t="shared" si="108"/>
        <v>#REF!</v>
      </c>
      <c r="AM82" s="106">
        <f t="shared" si="108"/>
        <v>8893.0999999999985</v>
      </c>
      <c r="AN82" s="106">
        <f t="shared" si="108"/>
        <v>0</v>
      </c>
      <c r="AO82" s="106" t="e">
        <f t="shared" si="108"/>
        <v>#REF!</v>
      </c>
      <c r="AP82" s="106">
        <f t="shared" si="108"/>
        <v>25899.299999999996</v>
      </c>
      <c r="AQ82" s="106">
        <f t="shared" si="108"/>
        <v>0</v>
      </c>
      <c r="AR82" s="106" t="e">
        <f t="shared" si="108"/>
        <v>#REF!</v>
      </c>
      <c r="AS82" s="338"/>
      <c r="AT82" s="411"/>
      <c r="AU82" s="121"/>
      <c r="AV82" s="127"/>
    </row>
    <row r="83" spans="1:48" s="100" customFormat="1" ht="24">
      <c r="A83" s="404"/>
      <c r="B83" s="405"/>
      <c r="C83" s="405"/>
      <c r="D83" s="406"/>
      <c r="E83" s="111" t="s">
        <v>44</v>
      </c>
      <c r="F83" s="106">
        <f t="shared" si="98"/>
        <v>302600.59999999998</v>
      </c>
      <c r="G83" s="106">
        <f t="shared" si="98"/>
        <v>68792.999999999985</v>
      </c>
      <c r="H83" s="106">
        <f>G83/F83*100</f>
        <v>22.733927163396235</v>
      </c>
      <c r="I83" s="106">
        <f t="shared" si="99"/>
        <v>12630.599999999999</v>
      </c>
      <c r="J83" s="106">
        <f t="shared" si="99"/>
        <v>24440.400000000001</v>
      </c>
      <c r="K83" s="106">
        <f t="shared" si="100"/>
        <v>193.50149636596839</v>
      </c>
      <c r="L83" s="106">
        <f t="shared" si="101"/>
        <v>33511.700000000004</v>
      </c>
      <c r="M83" s="106">
        <f t="shared" si="101"/>
        <v>24818.800000000003</v>
      </c>
      <c r="N83" s="106">
        <f t="shared" si="102"/>
        <v>74.060104381454835</v>
      </c>
      <c r="O83" s="106">
        <f t="shared" si="103"/>
        <v>27130</v>
      </c>
      <c r="P83" s="106">
        <f t="shared" si="103"/>
        <v>19533.8</v>
      </c>
      <c r="Q83" s="106">
        <f t="shared" si="104"/>
        <v>72.000737191301141</v>
      </c>
      <c r="R83" s="106">
        <f t="shared" si="105"/>
        <v>36205.199999999997</v>
      </c>
      <c r="S83" s="106">
        <f t="shared" si="105"/>
        <v>0</v>
      </c>
      <c r="T83" s="106">
        <f t="shared" si="106"/>
        <v>0</v>
      </c>
      <c r="U83" s="106">
        <f t="shared" si="107"/>
        <v>26449.299999999996</v>
      </c>
      <c r="V83" s="106">
        <f t="shared" si="107"/>
        <v>0</v>
      </c>
      <c r="W83" s="106">
        <f t="shared" si="107"/>
        <v>0</v>
      </c>
      <c r="X83" s="106">
        <f t="shared" si="107"/>
        <v>30719.199999999993</v>
      </c>
      <c r="Y83" s="106">
        <f t="shared" si="107"/>
        <v>0</v>
      </c>
      <c r="Z83" s="106" t="e">
        <f t="shared" si="107"/>
        <v>#REF!</v>
      </c>
      <c r="AA83" s="106">
        <f t="shared" si="107"/>
        <v>38309.699999999997</v>
      </c>
      <c r="AB83" s="106">
        <f t="shared" si="107"/>
        <v>0</v>
      </c>
      <c r="AC83" s="106" t="e">
        <f t="shared" si="107"/>
        <v>#REF!</v>
      </c>
      <c r="AD83" s="106">
        <f t="shared" si="107"/>
        <v>24785.899999999998</v>
      </c>
      <c r="AE83" s="106">
        <f t="shared" si="107"/>
        <v>0</v>
      </c>
      <c r="AF83" s="106">
        <f t="shared" si="96"/>
        <v>0</v>
      </c>
      <c r="AG83" s="106">
        <f t="shared" si="108"/>
        <v>17942.399999999998</v>
      </c>
      <c r="AH83" s="106">
        <f t="shared" si="108"/>
        <v>0</v>
      </c>
      <c r="AI83" s="106" t="e">
        <f t="shared" si="108"/>
        <v>#REF!</v>
      </c>
      <c r="AJ83" s="106">
        <f t="shared" si="108"/>
        <v>14413.7</v>
      </c>
      <c r="AK83" s="106">
        <f t="shared" si="108"/>
        <v>0</v>
      </c>
      <c r="AL83" s="106" t="e">
        <f t="shared" si="108"/>
        <v>#REF!</v>
      </c>
      <c r="AM83" s="106">
        <f t="shared" si="108"/>
        <v>16193.299999999997</v>
      </c>
      <c r="AN83" s="106">
        <f t="shared" si="108"/>
        <v>0</v>
      </c>
      <c r="AO83" s="106" t="e">
        <f t="shared" si="108"/>
        <v>#REF!</v>
      </c>
      <c r="AP83" s="106">
        <f t="shared" si="108"/>
        <v>24309.599999999995</v>
      </c>
      <c r="AQ83" s="106">
        <f t="shared" si="108"/>
        <v>0</v>
      </c>
      <c r="AR83" s="106" t="e">
        <f t="shared" si="108"/>
        <v>#REF!</v>
      </c>
      <c r="AS83" s="338"/>
      <c r="AT83" s="411"/>
      <c r="AU83" s="121"/>
      <c r="AV83" s="127"/>
    </row>
    <row r="84" spans="1:48" s="100" customFormat="1" ht="24">
      <c r="A84" s="407"/>
      <c r="B84" s="408"/>
      <c r="C84" s="408"/>
      <c r="D84" s="409"/>
      <c r="E84" s="110" t="s">
        <v>257</v>
      </c>
      <c r="F84" s="106">
        <f t="shared" si="98"/>
        <v>5832.0999999999995</v>
      </c>
      <c r="G84" s="106">
        <f t="shared" si="98"/>
        <v>805.9</v>
      </c>
      <c r="H84" s="106">
        <f>G84/F84*100</f>
        <v>13.818350165463556</v>
      </c>
      <c r="I84" s="106">
        <f t="shared" si="99"/>
        <v>261.8</v>
      </c>
      <c r="J84" s="106">
        <f t="shared" si="99"/>
        <v>0</v>
      </c>
      <c r="K84" s="106">
        <f t="shared" si="100"/>
        <v>0</v>
      </c>
      <c r="L84" s="106">
        <f t="shared" si="101"/>
        <v>336.5</v>
      </c>
      <c r="M84" s="106">
        <f t="shared" si="101"/>
        <v>221.6</v>
      </c>
      <c r="N84" s="106">
        <f t="shared" si="102"/>
        <v>65.854383358098062</v>
      </c>
      <c r="O84" s="106">
        <f t="shared" si="103"/>
        <v>726.3</v>
      </c>
      <c r="P84" s="106">
        <f t="shared" si="103"/>
        <v>584.29999999999995</v>
      </c>
      <c r="Q84" s="106">
        <f t="shared" si="104"/>
        <v>80.448850337326178</v>
      </c>
      <c r="R84" s="106">
        <f t="shared" si="105"/>
        <v>740.6</v>
      </c>
      <c r="S84" s="106">
        <f t="shared" si="105"/>
        <v>0</v>
      </c>
      <c r="T84" s="106">
        <f t="shared" si="106"/>
        <v>0</v>
      </c>
      <c r="U84" s="106">
        <f t="shared" si="107"/>
        <v>479.7</v>
      </c>
      <c r="V84" s="106">
        <f t="shared" si="107"/>
        <v>0</v>
      </c>
      <c r="W84" s="106">
        <f t="shared" si="107"/>
        <v>0</v>
      </c>
      <c r="X84" s="106">
        <f t="shared" si="107"/>
        <v>451.70000000000005</v>
      </c>
      <c r="Y84" s="106">
        <f t="shared" si="107"/>
        <v>0</v>
      </c>
      <c r="Z84" s="106" t="e">
        <f t="shared" si="107"/>
        <v>#REF!</v>
      </c>
      <c r="AA84" s="106">
        <f t="shared" si="107"/>
        <v>669.1</v>
      </c>
      <c r="AB84" s="106">
        <f t="shared" si="107"/>
        <v>0</v>
      </c>
      <c r="AC84" s="106" t="e">
        <f t="shared" si="107"/>
        <v>#REF!</v>
      </c>
      <c r="AD84" s="106">
        <f t="shared" si="107"/>
        <v>519</v>
      </c>
      <c r="AE84" s="106">
        <f t="shared" si="107"/>
        <v>0</v>
      </c>
      <c r="AF84" s="106">
        <f t="shared" si="96"/>
        <v>0</v>
      </c>
      <c r="AG84" s="106">
        <f t="shared" si="108"/>
        <v>301.60000000000002</v>
      </c>
      <c r="AH84" s="106">
        <f t="shared" si="108"/>
        <v>0</v>
      </c>
      <c r="AI84" s="106" t="e">
        <f t="shared" si="108"/>
        <v>#REF!</v>
      </c>
      <c r="AJ84" s="106">
        <f t="shared" si="108"/>
        <v>564.6</v>
      </c>
      <c r="AK84" s="106">
        <f t="shared" si="108"/>
        <v>0</v>
      </c>
      <c r="AL84" s="106" t="e">
        <f t="shared" si="108"/>
        <v>#REF!</v>
      </c>
      <c r="AM84" s="106">
        <f t="shared" si="108"/>
        <v>526.4</v>
      </c>
      <c r="AN84" s="106">
        <f t="shared" si="108"/>
        <v>0</v>
      </c>
      <c r="AO84" s="106" t="e">
        <f t="shared" si="108"/>
        <v>#REF!</v>
      </c>
      <c r="AP84" s="106">
        <f t="shared" si="108"/>
        <v>254.8</v>
      </c>
      <c r="AQ84" s="106">
        <f t="shared" si="108"/>
        <v>0</v>
      </c>
      <c r="AR84" s="106" t="e">
        <f t="shared" si="108"/>
        <v>#REF!</v>
      </c>
      <c r="AS84" s="339"/>
      <c r="AT84" s="412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413"/>
      <c r="C86" s="413"/>
      <c r="D86" s="413"/>
      <c r="E86" s="414"/>
      <c r="F86" s="415"/>
      <c r="G86" s="142"/>
      <c r="H86" s="41"/>
      <c r="I86" s="41">
        <f>I81+L81+O81</f>
        <v>93323.1</v>
      </c>
      <c r="J86" s="41">
        <f>R81+U81+X81</f>
        <v>124226.69999999998</v>
      </c>
      <c r="K86" s="41">
        <f>AA81+AD81+AG81</f>
        <v>114963.8</v>
      </c>
      <c r="L86" s="41">
        <f>AJ81+AM81+AP81</f>
        <v>101054</v>
      </c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400" t="s">
        <v>282</v>
      </c>
      <c r="B88" s="400"/>
      <c r="C88" s="400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400" t="s">
        <v>283</v>
      </c>
      <c r="B89" s="400"/>
      <c r="C89" s="400"/>
      <c r="D89" s="400"/>
      <c r="E89" s="400"/>
      <c r="F89" s="400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400"/>
      <c r="B90" s="400"/>
      <c r="C90" s="400"/>
      <c r="D90" s="400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400"/>
      <c r="B92" s="400"/>
      <c r="C92" s="400"/>
      <c r="D92" s="400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400" t="s">
        <v>404</v>
      </c>
      <c r="B96" s="400"/>
      <c r="C96" s="400"/>
      <c r="D96" s="400"/>
      <c r="AS96" s="131"/>
    </row>
    <row r="97" spans="1:45">
      <c r="A97" s="400" t="s">
        <v>291</v>
      </c>
      <c r="B97" s="400"/>
      <c r="C97" s="400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</mergeCells>
  <conditionalFormatting sqref="H91 H69:H80 H56:H59 H48:H51 H42:H45 H30:H31 H27:H28 H24">
    <cfRule type="cellIs" dxfId="1" priority="1" stopIfTrue="1" operator="notEqual">
      <formula>#REF!</formula>
    </cfRule>
  </conditionalFormatting>
  <pageMargins left="0.7" right="0.7" top="0.75" bottom="0.75" header="0.3" footer="0.3"/>
  <pageSetup paperSize="9" scale="40" orientation="landscape" r:id="rId1"/>
  <rowBreaks count="2" manualBreakCount="2">
    <brk id="52" max="45" man="1"/>
    <brk id="84" max="16383" man="1"/>
  </rowBreaks>
  <colBreaks count="1" manualBreakCount="1">
    <brk id="4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M157"/>
  <sheetViews>
    <sheetView tabSelected="1" view="pageBreakPreview" zoomScale="80" zoomScaleNormal="100" zoomScaleSheetLayoutView="80" workbookViewId="0">
      <pane xSplit="4" ySplit="8" topLeftCell="E70" activePane="bottomRight" state="frozen"/>
      <selection pane="topRight" activeCell="E1" sqref="E1"/>
      <selection pane="bottomLeft" activeCell="A9" sqref="A9"/>
      <selection pane="bottomRight" activeCell="E74" sqref="E74"/>
    </sheetView>
  </sheetViews>
  <sheetFormatPr defaultRowHeight="15"/>
  <cols>
    <col min="1" max="1" width="9.140625" style="273"/>
    <col min="2" max="2" width="23.7109375" style="273" customWidth="1"/>
    <col min="3" max="3" width="23.7109375" style="273" hidden="1" customWidth="1"/>
    <col min="4" max="4" width="11.140625" style="273" hidden="1" customWidth="1"/>
    <col min="5" max="5" width="13.28515625" style="273" customWidth="1"/>
    <col min="6" max="6" width="10.85546875" style="273" customWidth="1"/>
    <col min="7" max="7" width="10.7109375" style="273" customWidth="1"/>
    <col min="8" max="8" width="9.140625" style="273"/>
    <col min="9" max="11" width="9.140625" style="273" customWidth="1"/>
    <col min="12" max="12" width="8.85546875" style="273" customWidth="1"/>
    <col min="13" max="13" width="9.140625" style="273" customWidth="1"/>
    <col min="14" max="14" width="10.42578125" style="273" customWidth="1"/>
    <col min="15" max="16" width="9.140625" style="273" customWidth="1"/>
    <col min="17" max="17" width="10.7109375" style="273" customWidth="1"/>
    <col min="18" max="18" width="9.42578125" style="273" customWidth="1"/>
    <col min="19" max="22" width="9.140625" style="273" customWidth="1"/>
    <col min="23" max="23" width="10.85546875" style="273" customWidth="1"/>
    <col min="24" max="25" width="9.140625" style="273" customWidth="1"/>
    <col min="26" max="26" width="10.28515625" style="273" customWidth="1"/>
    <col min="27" max="30" width="10.42578125" style="273" customWidth="1"/>
    <col min="31" max="31" width="11" style="273" customWidth="1"/>
    <col min="32" max="32" width="10.42578125" style="273" customWidth="1"/>
    <col min="33" max="33" width="9.140625" style="273" customWidth="1"/>
    <col min="34" max="34" width="11.140625" style="273" customWidth="1"/>
    <col min="35" max="35" width="10.85546875" style="273" customWidth="1"/>
    <col min="36" max="36" width="9.42578125" style="273" customWidth="1"/>
    <col min="37" max="37" width="9.140625" style="273" customWidth="1"/>
    <col min="38" max="38" width="10.5703125" style="273" customWidth="1"/>
    <col min="39" max="41" width="9.140625" style="273" customWidth="1"/>
    <col min="42" max="42" width="9.140625" style="274" customWidth="1"/>
    <col min="43" max="43" width="10.42578125" style="273" customWidth="1"/>
    <col min="44" max="44" width="9.140625" style="273" customWidth="1"/>
    <col min="45" max="45" width="85.7109375" style="226" customWidth="1"/>
    <col min="46" max="46" width="44.7109375" style="122" customWidth="1"/>
    <col min="47" max="50" width="9.140625" style="122" customWidth="1"/>
    <col min="51" max="16384" width="9.140625" style="122"/>
  </cols>
  <sheetData>
    <row r="1" spans="1:49" s="31" customFormat="1" ht="12.75">
      <c r="A1" s="238"/>
      <c r="B1" s="238"/>
      <c r="C1" s="238"/>
      <c r="D1" s="238"/>
      <c r="E1" s="239"/>
      <c r="F1" s="239"/>
      <c r="G1" s="239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40"/>
      <c r="AQ1" s="238"/>
      <c r="AR1" s="238"/>
      <c r="AS1" s="151"/>
    </row>
    <row r="2" spans="1:49" s="118" customFormat="1" ht="15.75">
      <c r="A2" s="472" t="s">
        <v>441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212"/>
    </row>
    <row r="3" spans="1:49" s="118" customFormat="1" ht="15.75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213"/>
    </row>
    <row r="4" spans="1:49" s="31" customFormat="1" ht="12.75">
      <c r="A4" s="241"/>
      <c r="B4" s="238"/>
      <c r="C4" s="238"/>
      <c r="D4" s="238"/>
      <c r="E4" s="239"/>
      <c r="F4" s="239"/>
      <c r="G4" s="239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42"/>
      <c r="AQ4" s="242"/>
      <c r="AR4" s="242"/>
      <c r="AS4" s="102"/>
    </row>
    <row r="5" spans="1:49" s="31" customFormat="1" ht="26.25" customHeight="1">
      <c r="A5" s="474" t="s">
        <v>0</v>
      </c>
      <c r="B5" s="474" t="s">
        <v>261</v>
      </c>
      <c r="C5" s="475" t="s">
        <v>47</v>
      </c>
      <c r="D5" s="475" t="s">
        <v>262</v>
      </c>
      <c r="E5" s="474" t="s">
        <v>1</v>
      </c>
      <c r="F5" s="474" t="s">
        <v>263</v>
      </c>
      <c r="G5" s="474"/>
      <c r="H5" s="474"/>
      <c r="I5" s="474" t="s">
        <v>18</v>
      </c>
      <c r="J5" s="474"/>
      <c r="K5" s="474"/>
      <c r="L5" s="474" t="s">
        <v>19</v>
      </c>
      <c r="M5" s="474"/>
      <c r="N5" s="474"/>
      <c r="O5" s="474" t="s">
        <v>23</v>
      </c>
      <c r="P5" s="474"/>
      <c r="Q5" s="474"/>
      <c r="R5" s="474" t="s">
        <v>25</v>
      </c>
      <c r="S5" s="474"/>
      <c r="T5" s="474"/>
      <c r="U5" s="474" t="s">
        <v>26</v>
      </c>
      <c r="V5" s="474"/>
      <c r="W5" s="474"/>
      <c r="X5" s="474" t="s">
        <v>27</v>
      </c>
      <c r="Y5" s="474"/>
      <c r="Z5" s="474"/>
      <c r="AA5" s="474" t="s">
        <v>29</v>
      </c>
      <c r="AB5" s="474"/>
      <c r="AC5" s="474"/>
      <c r="AD5" s="474" t="s">
        <v>30</v>
      </c>
      <c r="AE5" s="474"/>
      <c r="AF5" s="474"/>
      <c r="AG5" s="474" t="s">
        <v>31</v>
      </c>
      <c r="AH5" s="474"/>
      <c r="AI5" s="474"/>
      <c r="AJ5" s="474" t="s">
        <v>33</v>
      </c>
      <c r="AK5" s="474"/>
      <c r="AL5" s="474"/>
      <c r="AM5" s="474" t="s">
        <v>34</v>
      </c>
      <c r="AN5" s="474"/>
      <c r="AO5" s="474"/>
      <c r="AP5" s="474" t="s">
        <v>35</v>
      </c>
      <c r="AQ5" s="474"/>
      <c r="AR5" s="474"/>
      <c r="AS5" s="477" t="s">
        <v>273</v>
      </c>
      <c r="AT5" s="324" t="s">
        <v>274</v>
      </c>
      <c r="AU5" s="32"/>
      <c r="AV5" s="32"/>
    </row>
    <row r="6" spans="1:49" s="31" customFormat="1" ht="34.5" customHeight="1">
      <c r="A6" s="474"/>
      <c r="B6" s="474"/>
      <c r="C6" s="476"/>
      <c r="D6" s="476"/>
      <c r="E6" s="474"/>
      <c r="F6" s="243" t="s">
        <v>264</v>
      </c>
      <c r="G6" s="243" t="s">
        <v>265</v>
      </c>
      <c r="H6" s="244" t="s">
        <v>266</v>
      </c>
      <c r="I6" s="243" t="s">
        <v>264</v>
      </c>
      <c r="J6" s="243" t="s">
        <v>265</v>
      </c>
      <c r="K6" s="244" t="s">
        <v>266</v>
      </c>
      <c r="L6" s="243" t="s">
        <v>264</v>
      </c>
      <c r="M6" s="243" t="s">
        <v>265</v>
      </c>
      <c r="N6" s="244" t="s">
        <v>266</v>
      </c>
      <c r="O6" s="243" t="s">
        <v>264</v>
      </c>
      <c r="P6" s="243" t="s">
        <v>265</v>
      </c>
      <c r="Q6" s="244" t="s">
        <v>266</v>
      </c>
      <c r="R6" s="243" t="s">
        <v>264</v>
      </c>
      <c r="S6" s="243" t="s">
        <v>265</v>
      </c>
      <c r="T6" s="244" t="s">
        <v>266</v>
      </c>
      <c r="U6" s="243" t="s">
        <v>264</v>
      </c>
      <c r="V6" s="243" t="s">
        <v>265</v>
      </c>
      <c r="W6" s="244" t="s">
        <v>266</v>
      </c>
      <c r="X6" s="243" t="s">
        <v>264</v>
      </c>
      <c r="Y6" s="243" t="s">
        <v>265</v>
      </c>
      <c r="Z6" s="244" t="s">
        <v>266</v>
      </c>
      <c r="AA6" s="243" t="s">
        <v>264</v>
      </c>
      <c r="AB6" s="243" t="s">
        <v>265</v>
      </c>
      <c r="AC6" s="244" t="s">
        <v>266</v>
      </c>
      <c r="AD6" s="243" t="s">
        <v>264</v>
      </c>
      <c r="AE6" s="243" t="s">
        <v>265</v>
      </c>
      <c r="AF6" s="244" t="s">
        <v>266</v>
      </c>
      <c r="AG6" s="243" t="s">
        <v>264</v>
      </c>
      <c r="AH6" s="243" t="s">
        <v>265</v>
      </c>
      <c r="AI6" s="244" t="s">
        <v>266</v>
      </c>
      <c r="AJ6" s="243" t="s">
        <v>264</v>
      </c>
      <c r="AK6" s="243" t="s">
        <v>265</v>
      </c>
      <c r="AL6" s="244" t="s">
        <v>266</v>
      </c>
      <c r="AM6" s="243" t="s">
        <v>264</v>
      </c>
      <c r="AN6" s="243" t="s">
        <v>265</v>
      </c>
      <c r="AO6" s="244" t="s">
        <v>266</v>
      </c>
      <c r="AP6" s="243" t="s">
        <v>264</v>
      </c>
      <c r="AQ6" s="243" t="s">
        <v>265</v>
      </c>
      <c r="AR6" s="244" t="s">
        <v>266</v>
      </c>
      <c r="AS6" s="477"/>
      <c r="AT6" s="324"/>
    </row>
    <row r="7" spans="1:49" s="31" customFormat="1" ht="30.75" customHeight="1">
      <c r="A7" s="325" t="s">
        <v>322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7"/>
    </row>
    <row r="8" spans="1:49" s="31" customFormat="1" ht="31.5" customHeight="1">
      <c r="A8" s="325" t="s">
        <v>294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7"/>
    </row>
    <row r="9" spans="1:49" s="100" customFormat="1" ht="17.25" customHeight="1">
      <c r="A9" s="460" t="s">
        <v>267</v>
      </c>
      <c r="B9" s="461"/>
      <c r="C9" s="461"/>
      <c r="D9" s="462"/>
      <c r="E9" s="245" t="s">
        <v>42</v>
      </c>
      <c r="F9" s="149">
        <f>F10+F11+F12</f>
        <v>402868.90000000008</v>
      </c>
      <c r="G9" s="149">
        <f t="shared" ref="G9:AQ9" si="0">G10+G11+G12</f>
        <v>396235.3</v>
      </c>
      <c r="H9" s="149">
        <f t="shared" ref="H9:H17" si="1">G9/F9*100</f>
        <v>98.353409756871258</v>
      </c>
      <c r="I9" s="149">
        <f t="shared" si="0"/>
        <v>13186.9</v>
      </c>
      <c r="J9" s="149">
        <f t="shared" si="0"/>
        <v>24711</v>
      </c>
      <c r="K9" s="149">
        <f>J9/I9*100</f>
        <v>187.3905163457674</v>
      </c>
      <c r="L9" s="149">
        <f t="shared" si="0"/>
        <v>40102.800000000003</v>
      </c>
      <c r="M9" s="149">
        <f t="shared" si="0"/>
        <v>31148.600000000002</v>
      </c>
      <c r="N9" s="149">
        <f>M9/L9*100</f>
        <v>77.671883260021744</v>
      </c>
      <c r="O9" s="149">
        <f t="shared" si="0"/>
        <v>34328.300000000003</v>
      </c>
      <c r="P9" s="149">
        <f t="shared" si="0"/>
        <v>26326.399999999998</v>
      </c>
      <c r="Q9" s="149">
        <f>P9/O9*100</f>
        <v>76.69007786578419</v>
      </c>
      <c r="R9" s="149">
        <f t="shared" si="0"/>
        <v>40325.699999999997</v>
      </c>
      <c r="S9" s="149">
        <f t="shared" si="0"/>
        <v>37553.599999999999</v>
      </c>
      <c r="T9" s="149">
        <f>S9/R9*100</f>
        <v>93.1257237940073</v>
      </c>
      <c r="U9" s="149">
        <f t="shared" si="0"/>
        <v>33373.999999999993</v>
      </c>
      <c r="V9" s="149">
        <f t="shared" si="0"/>
        <v>31633.800000000003</v>
      </c>
      <c r="W9" s="149">
        <f>V9/U9*100</f>
        <v>94.785761371127251</v>
      </c>
      <c r="X9" s="149">
        <f t="shared" si="0"/>
        <v>36994.6</v>
      </c>
      <c r="Y9" s="149">
        <f t="shared" si="0"/>
        <v>31640.699999999993</v>
      </c>
      <c r="Z9" s="149">
        <f>Y9/X9*100</f>
        <v>85.527887853902982</v>
      </c>
      <c r="AA9" s="149">
        <f t="shared" si="0"/>
        <v>46827.199999999997</v>
      </c>
      <c r="AB9" s="149">
        <f t="shared" si="0"/>
        <v>41784.200000000004</v>
      </c>
      <c r="AC9" s="149">
        <f t="shared" ref="AC9:AC19" si="2">AB9/AA9*100</f>
        <v>89.23061810229953</v>
      </c>
      <c r="AD9" s="149">
        <f t="shared" si="0"/>
        <v>30032.5</v>
      </c>
      <c r="AE9" s="149">
        <f t="shared" si="0"/>
        <v>28713.7</v>
      </c>
      <c r="AF9" s="149">
        <f>AE9/AD9*100</f>
        <v>95.608757179721977</v>
      </c>
      <c r="AG9" s="149">
        <f t="shared" si="0"/>
        <v>24612.699999999997</v>
      </c>
      <c r="AH9" s="149">
        <f t="shared" si="0"/>
        <v>22538.199999999997</v>
      </c>
      <c r="AI9" s="149">
        <f>AH9/AG9*100</f>
        <v>91.57142450848545</v>
      </c>
      <c r="AJ9" s="149">
        <f t="shared" si="0"/>
        <v>34336.199999999997</v>
      </c>
      <c r="AK9" s="149">
        <f t="shared" si="0"/>
        <v>34422.699999999997</v>
      </c>
      <c r="AL9" s="149">
        <f t="shared" ref="AL9:AL11" si="3">AK9/AJ9*100</f>
        <v>100.25192071341615</v>
      </c>
      <c r="AM9" s="149">
        <f t="shared" si="0"/>
        <v>26738.899999999998</v>
      </c>
      <c r="AN9" s="149">
        <f t="shared" si="0"/>
        <v>26617.7</v>
      </c>
      <c r="AO9" s="149">
        <f t="shared" ref="AO9:AO11" si="4">AN9/AM9*100</f>
        <v>99.546727801068869</v>
      </c>
      <c r="AP9" s="149">
        <f t="shared" si="0"/>
        <v>42009.100000000006</v>
      </c>
      <c r="AQ9" s="149">
        <f t="shared" si="0"/>
        <v>59144.700000000004</v>
      </c>
      <c r="AR9" s="149">
        <f t="shared" ref="AR9:AR11" si="5">AP9/AQ9*100</f>
        <v>71.027666046154607</v>
      </c>
      <c r="AS9" s="337"/>
      <c r="AT9" s="340"/>
      <c r="AU9" s="127"/>
    </row>
    <row r="10" spans="1:49" s="100" customFormat="1" ht="36">
      <c r="A10" s="463"/>
      <c r="B10" s="464"/>
      <c r="C10" s="464"/>
      <c r="D10" s="465"/>
      <c r="E10" s="246" t="s">
        <v>3</v>
      </c>
      <c r="F10" s="149">
        <f>F14+F18+F23+F26+F30</f>
        <v>93583.4</v>
      </c>
      <c r="G10" s="149">
        <f>G14+G18+G23+G26+G30</f>
        <v>93257.1</v>
      </c>
      <c r="H10" s="149">
        <f t="shared" si="1"/>
        <v>99.651327051592503</v>
      </c>
      <c r="I10" s="149">
        <f>I14+I18+I23+I26+I30</f>
        <v>849.99999999999989</v>
      </c>
      <c r="J10" s="149">
        <f>J14+J18+J23+J26+J30</f>
        <v>826.6</v>
      </c>
      <c r="K10" s="149">
        <f t="shared" ref="K10:K12" si="6">J10/I10*100</f>
        <v>97.247058823529429</v>
      </c>
      <c r="L10" s="149">
        <f>L14+L18+L23+L26+L30</f>
        <v>6698.4</v>
      </c>
      <c r="M10" s="149">
        <f>M14+M18+M23+M26+M30</f>
        <v>6531.9000000000005</v>
      </c>
      <c r="N10" s="149">
        <f t="shared" ref="N10:N12" si="7">M10/L10*100</f>
        <v>97.514331780723779</v>
      </c>
      <c r="O10" s="149">
        <f>O14+O18+O23+O26+O30</f>
        <v>6996.0999999999995</v>
      </c>
      <c r="P10" s="149">
        <f>P14+P18+P23+P26+P30</f>
        <v>6532.6</v>
      </c>
      <c r="Q10" s="149">
        <f t="shared" ref="Q10:Q12" si="8">P10/O10*100</f>
        <v>93.37488029044755</v>
      </c>
      <c r="R10" s="149">
        <f>R14+R18+R23+R26+R30</f>
        <v>7210.9</v>
      </c>
      <c r="S10" s="149">
        <f>S14+S18+S23+S26+S30</f>
        <v>7161.7</v>
      </c>
      <c r="T10" s="149">
        <f t="shared" ref="T10:T12" si="9">S10/R10*100</f>
        <v>99.317699593670696</v>
      </c>
      <c r="U10" s="149">
        <f>U14+U18+U23+U26+U30</f>
        <v>6802.1999999999989</v>
      </c>
      <c r="V10" s="149">
        <f>V14+V18+V23+V26+V30</f>
        <v>7015.2999999999993</v>
      </c>
      <c r="W10" s="149">
        <f t="shared" ref="W10:W12" si="10">V10/U10*100</f>
        <v>103.13280997324397</v>
      </c>
      <c r="X10" s="149">
        <f>X14+X18+X23+X26+X30</f>
        <v>7782.4</v>
      </c>
      <c r="Y10" s="149">
        <f>Y14+Y18+Y23+Y26+Y30</f>
        <v>6679.0999999999995</v>
      </c>
      <c r="Z10" s="149">
        <f t="shared" ref="Z10:Z12" si="11">Y10/X10*100</f>
        <v>85.82313939144737</v>
      </c>
      <c r="AA10" s="149">
        <f>AA14+AA18+AA23+AA26+AA30</f>
        <v>9121.4</v>
      </c>
      <c r="AB10" s="149">
        <f>AB14+AB18+AB23+AB26+AB30</f>
        <v>9104.6</v>
      </c>
      <c r="AC10" s="149">
        <f t="shared" si="2"/>
        <v>99.815817747275645</v>
      </c>
      <c r="AD10" s="149">
        <f>AD14+AD18+AD23+AD26+AD30</f>
        <v>10229.9</v>
      </c>
      <c r="AE10" s="149">
        <f>AE14+AE18+AE23+AE26+AE30</f>
        <v>10297</v>
      </c>
      <c r="AF10" s="149">
        <f t="shared" ref="AF10:AF25" si="12">AE10/AD10*100</f>
        <v>100.65592039022863</v>
      </c>
      <c r="AG10" s="149">
        <f>AG14+AG18+AG23+AG26+AG30</f>
        <v>7445.7999999999993</v>
      </c>
      <c r="AH10" s="149">
        <f>AH14+AH18+AH23+AH26+AH30</f>
        <v>7630.0000000000009</v>
      </c>
      <c r="AI10" s="149">
        <f>AH10/AG10*100</f>
        <v>102.47387789089153</v>
      </c>
      <c r="AJ10" s="149">
        <f>AJ14+AJ18+AJ23+AJ26+AJ30</f>
        <v>7996.6</v>
      </c>
      <c r="AK10" s="149">
        <f>AK14+AK18+AK23+AK26+AK30</f>
        <v>7996.6</v>
      </c>
      <c r="AL10" s="149">
        <f t="shared" si="3"/>
        <v>100</v>
      </c>
      <c r="AM10" s="149">
        <f>AM14+AM18+AM23+AM26+AM30</f>
        <v>9641.2999999999993</v>
      </c>
      <c r="AN10" s="149">
        <f>AN14+AN18+AN23+AN26+AN30</f>
        <v>9641.2999999999993</v>
      </c>
      <c r="AO10" s="149">
        <f t="shared" si="4"/>
        <v>100</v>
      </c>
      <c r="AP10" s="149">
        <f>AP14+AP18+AP23+AP26+AP30</f>
        <v>12808.4</v>
      </c>
      <c r="AQ10" s="149">
        <f>AQ14+AQ18+AQ23+AQ26+AQ30</f>
        <v>13840.4</v>
      </c>
      <c r="AR10" s="149">
        <f t="shared" si="5"/>
        <v>92.54356810496806</v>
      </c>
      <c r="AS10" s="338"/>
      <c r="AT10" s="341"/>
      <c r="AU10" s="127"/>
    </row>
    <row r="11" spans="1:49" s="100" customFormat="1" ht="24">
      <c r="A11" s="463"/>
      <c r="B11" s="464"/>
      <c r="C11" s="464"/>
      <c r="D11" s="465"/>
      <c r="E11" s="246" t="s">
        <v>44</v>
      </c>
      <c r="F11" s="149">
        <f>F15+F19+F24+F27+F31</f>
        <v>303271.70000000007</v>
      </c>
      <c r="G11" s="149">
        <f>G15+G19+G24+G27+G31</f>
        <v>297023.5</v>
      </c>
      <c r="H11" s="149">
        <f t="shared" si="1"/>
        <v>97.939735227520387</v>
      </c>
      <c r="I11" s="149">
        <f>I15+I19+I24+I27+I31</f>
        <v>12075.1</v>
      </c>
      <c r="J11" s="149">
        <f>J15+J19+J24+J27+J31</f>
        <v>23884.400000000001</v>
      </c>
      <c r="K11" s="149">
        <f t="shared" si="6"/>
        <v>197.79877599357357</v>
      </c>
      <c r="L11" s="149">
        <f>L15+L19+L24+L27+L31</f>
        <v>33067.9</v>
      </c>
      <c r="M11" s="149">
        <f>M15+M19+M24+M27+M31</f>
        <v>24395.100000000002</v>
      </c>
      <c r="N11" s="149">
        <f t="shared" si="7"/>
        <v>73.772752427580841</v>
      </c>
      <c r="O11" s="149">
        <f>O15+O19+O24+O27+O31</f>
        <v>26605.899999999998</v>
      </c>
      <c r="P11" s="149">
        <f>P15+P19+P24+P27+P31</f>
        <v>19209.5</v>
      </c>
      <c r="Q11" s="149">
        <f t="shared" si="8"/>
        <v>72.20015109430615</v>
      </c>
      <c r="R11" s="149">
        <f>R15+R19+R24+R27+R31</f>
        <v>32413.200000000001</v>
      </c>
      <c r="S11" s="149">
        <f>S15+S19+S24+S27+S31</f>
        <v>29690.400000000001</v>
      </c>
      <c r="T11" s="149">
        <f t="shared" si="9"/>
        <v>91.599718633149465</v>
      </c>
      <c r="U11" s="149">
        <f>U15+U19+U24+U27+U31</f>
        <v>26001.1</v>
      </c>
      <c r="V11" s="149">
        <f>V15+V19+V24+V27+V31</f>
        <v>23969.600000000002</v>
      </c>
      <c r="W11" s="149">
        <f t="shared" si="10"/>
        <v>92.18686901708007</v>
      </c>
      <c r="X11" s="149">
        <f>X15+X19+X24+X27+X31</f>
        <v>28828.299999999996</v>
      </c>
      <c r="Y11" s="149">
        <f>Y15+Y19+Y24+Y27+Y31</f>
        <v>24542.999999999996</v>
      </c>
      <c r="Z11" s="149">
        <f t="shared" si="11"/>
        <v>85.135092946861249</v>
      </c>
      <c r="AA11" s="149">
        <f>AA15+AA19+AA24+AA27+AA31</f>
        <v>37076.799999999996</v>
      </c>
      <c r="AB11" s="149">
        <f>AB15+AB19+AB24+AB27+AB31</f>
        <v>31953.8</v>
      </c>
      <c r="AC11" s="149">
        <f t="shared" si="2"/>
        <v>86.182734216545114</v>
      </c>
      <c r="AD11" s="149">
        <f>AD15+AD19+AD24+AD27+AD31</f>
        <v>19574.599999999999</v>
      </c>
      <c r="AE11" s="149">
        <f>AE15+AE19+AE24+AE27+AE31</f>
        <v>18091.2</v>
      </c>
      <c r="AF11" s="149">
        <f t="shared" si="12"/>
        <v>92.421811939963021</v>
      </c>
      <c r="AG11" s="149">
        <f>AG15+AG19+AG24+AG27+AG31</f>
        <v>16721.699999999997</v>
      </c>
      <c r="AH11" s="149">
        <f>AH15+AH19+AH24+AH27+AH31</f>
        <v>14420.399999999998</v>
      </c>
      <c r="AI11" s="149">
        <f>AH11/AG11*100</f>
        <v>86.2376433018174</v>
      </c>
      <c r="AJ11" s="149">
        <f>AJ15+AJ19+AJ24+AJ27+AJ31</f>
        <v>25739.599999999999</v>
      </c>
      <c r="AK11" s="149">
        <f>AK15+AK19+AK24+AK27+AK31</f>
        <v>25827.5</v>
      </c>
      <c r="AL11" s="149">
        <f t="shared" si="3"/>
        <v>100.34149714836285</v>
      </c>
      <c r="AM11" s="149">
        <f>AM15+AM19+AM24+AM27+AM31</f>
        <v>16627.599999999999</v>
      </c>
      <c r="AN11" s="149">
        <f>AN15+AN19+AN24+AN27+AN31</f>
        <v>16512.7</v>
      </c>
      <c r="AO11" s="149">
        <f t="shared" si="4"/>
        <v>99.308980249705328</v>
      </c>
      <c r="AP11" s="149">
        <f>AP15+AP19+AP24+AP27+AP31</f>
        <v>28539.9</v>
      </c>
      <c r="AQ11" s="149">
        <f>AQ15+AQ19+AQ24+AQ27+AQ31</f>
        <v>44525.9</v>
      </c>
      <c r="AR11" s="149">
        <f t="shared" si="5"/>
        <v>64.097300672193029</v>
      </c>
      <c r="AS11" s="338"/>
      <c r="AT11" s="341"/>
      <c r="AU11" s="127"/>
    </row>
    <row r="12" spans="1:49" s="100" customFormat="1" ht="24">
      <c r="A12" s="466"/>
      <c r="B12" s="467"/>
      <c r="C12" s="467"/>
      <c r="D12" s="468"/>
      <c r="E12" s="247" t="s">
        <v>257</v>
      </c>
      <c r="F12" s="149">
        <f>F16+F20+F28</f>
        <v>6013.8</v>
      </c>
      <c r="G12" s="149">
        <f>G16+G20+G28</f>
        <v>5954.7</v>
      </c>
      <c r="H12" s="149">
        <f t="shared" si="1"/>
        <v>99.01726030130699</v>
      </c>
      <c r="I12" s="149">
        <f>I16+I20+I28</f>
        <v>261.8</v>
      </c>
      <c r="J12" s="149">
        <f>J16+J20+J28</f>
        <v>0</v>
      </c>
      <c r="K12" s="149">
        <f t="shared" si="6"/>
        <v>0</v>
      </c>
      <c r="L12" s="149">
        <f>L16+L20+L28</f>
        <v>336.5</v>
      </c>
      <c r="M12" s="149">
        <f>M16+M20+M28</f>
        <v>221.6</v>
      </c>
      <c r="N12" s="149">
        <f t="shared" si="7"/>
        <v>65.854383358098062</v>
      </c>
      <c r="O12" s="149">
        <f>O16+O20+O28</f>
        <v>726.3</v>
      </c>
      <c r="P12" s="149">
        <f>P16+P20+P28</f>
        <v>584.29999999999995</v>
      </c>
      <c r="Q12" s="149">
        <f t="shared" si="8"/>
        <v>80.448850337326178</v>
      </c>
      <c r="R12" s="149">
        <f>R16+R20+R28</f>
        <v>701.6</v>
      </c>
      <c r="S12" s="149">
        <f>S16+S20+S28</f>
        <v>701.5</v>
      </c>
      <c r="T12" s="149">
        <f t="shared" si="9"/>
        <v>99.985746864310144</v>
      </c>
      <c r="U12" s="149">
        <f>U16+U20+U28</f>
        <v>570.70000000000005</v>
      </c>
      <c r="V12" s="149">
        <f>V16+V20+V28</f>
        <v>648.9</v>
      </c>
      <c r="W12" s="149">
        <f t="shared" si="10"/>
        <v>113.70247065007884</v>
      </c>
      <c r="X12" s="149">
        <f>X16+X20+X28</f>
        <v>383.90000000000009</v>
      </c>
      <c r="Y12" s="149">
        <f>Y16+Y20+Y28</f>
        <v>418.6</v>
      </c>
      <c r="Z12" s="149">
        <f t="shared" si="11"/>
        <v>109.03881219067463</v>
      </c>
      <c r="AA12" s="149">
        <f>AA16+AA20+AA28</f>
        <v>629</v>
      </c>
      <c r="AB12" s="149">
        <f>AB16+AB20+AB28</f>
        <v>725.8</v>
      </c>
      <c r="AC12" s="149">
        <f t="shared" si="2"/>
        <v>115.38950715421304</v>
      </c>
      <c r="AD12" s="149">
        <f>AD16+AD20+AD28</f>
        <v>228</v>
      </c>
      <c r="AE12" s="149">
        <f>AE16+AE20+AE28</f>
        <v>325.5</v>
      </c>
      <c r="AF12" s="149">
        <f t="shared" si="12"/>
        <v>142.76315789473685</v>
      </c>
      <c r="AG12" s="149">
        <f>AG16+AG20+AG28</f>
        <v>445.20000000000005</v>
      </c>
      <c r="AH12" s="149">
        <f>AH16+AH20+AH28</f>
        <v>487.8</v>
      </c>
      <c r="AI12" s="149">
        <f>AH12/AG12*100</f>
        <v>109.5687331536388</v>
      </c>
      <c r="AJ12" s="149">
        <f>AJ16+AJ20+AJ28</f>
        <v>600</v>
      </c>
      <c r="AK12" s="149">
        <f>AK16+AK20+AK28</f>
        <v>598.6</v>
      </c>
      <c r="AL12" s="149">
        <f>AK12/AJ12*100</f>
        <v>99.766666666666666</v>
      </c>
      <c r="AM12" s="149">
        <f>AM16+AM20+AM28</f>
        <v>470</v>
      </c>
      <c r="AN12" s="149">
        <f>AN16+AN20+AN28</f>
        <v>463.7</v>
      </c>
      <c r="AO12" s="149">
        <f>AN12/AM12*100</f>
        <v>98.659574468085111</v>
      </c>
      <c r="AP12" s="149">
        <f>AP16+AP20+AP28</f>
        <v>660.8</v>
      </c>
      <c r="AQ12" s="149">
        <f>AQ16+AQ20+AQ28</f>
        <v>778.4</v>
      </c>
      <c r="AR12" s="149">
        <f>AP12/AQ12*100</f>
        <v>84.892086330935243</v>
      </c>
      <c r="AS12" s="339"/>
      <c r="AT12" s="342"/>
      <c r="AU12" s="127"/>
    </row>
    <row r="13" spans="1:49" s="31" customFormat="1" ht="169.5" customHeight="1">
      <c r="A13" s="469" t="s">
        <v>323</v>
      </c>
      <c r="B13" s="346" t="s">
        <v>324</v>
      </c>
      <c r="C13" s="349" t="s">
        <v>325</v>
      </c>
      <c r="D13" s="349" t="s">
        <v>326</v>
      </c>
      <c r="E13" s="248" t="s">
        <v>42</v>
      </c>
      <c r="F13" s="123">
        <f>SUM(F14:F16)</f>
        <v>302739.8</v>
      </c>
      <c r="G13" s="123">
        <f t="shared" ref="G13:P13" si="13">SUM(G14:G16)</f>
        <v>297235.7</v>
      </c>
      <c r="H13" s="123">
        <f t="shared" si="1"/>
        <v>98.181904064150146</v>
      </c>
      <c r="I13" s="123">
        <f t="shared" si="13"/>
        <v>6660.1</v>
      </c>
      <c r="J13" s="123">
        <f t="shared" si="13"/>
        <v>18204.3</v>
      </c>
      <c r="K13" s="123">
        <f>J13/I13*100</f>
        <v>273.33373372772178</v>
      </c>
      <c r="L13" s="123">
        <f t="shared" si="13"/>
        <v>32305.4</v>
      </c>
      <c r="M13" s="123">
        <f t="shared" si="13"/>
        <v>23626.699999999997</v>
      </c>
      <c r="N13" s="123">
        <f>M13/L13*100</f>
        <v>73.135451039145153</v>
      </c>
      <c r="O13" s="123">
        <f t="shared" si="13"/>
        <v>27039.1</v>
      </c>
      <c r="P13" s="123">
        <f t="shared" si="13"/>
        <v>19659.3</v>
      </c>
      <c r="Q13" s="123">
        <f>P13/O13*100</f>
        <v>72.706931813558882</v>
      </c>
      <c r="R13" s="123">
        <f t="shared" ref="R13:AR13" si="14">SUM(R14:R16)</f>
        <v>32411.399999999998</v>
      </c>
      <c r="S13" s="123">
        <f t="shared" si="14"/>
        <v>29682.1</v>
      </c>
      <c r="T13" s="123">
        <f>S13/R13*100</f>
        <v>91.579197442875042</v>
      </c>
      <c r="U13" s="123">
        <f t="shared" si="14"/>
        <v>24796.7</v>
      </c>
      <c r="V13" s="123">
        <f t="shared" si="14"/>
        <v>23092.5</v>
      </c>
      <c r="W13" s="123">
        <f>V13/U13*100</f>
        <v>93.127311295454632</v>
      </c>
      <c r="X13" s="123">
        <f t="shared" si="14"/>
        <v>27368.399999999998</v>
      </c>
      <c r="Y13" s="123">
        <f t="shared" si="14"/>
        <v>23419.699999999997</v>
      </c>
      <c r="Z13" s="123">
        <f t="shared" si="14"/>
        <v>280.62277017968222</v>
      </c>
      <c r="AA13" s="123">
        <f t="shared" si="14"/>
        <v>38408.199999999997</v>
      </c>
      <c r="AB13" s="123">
        <f t="shared" si="14"/>
        <v>33349.5</v>
      </c>
      <c r="AC13" s="117">
        <f t="shared" si="2"/>
        <v>86.829114616149681</v>
      </c>
      <c r="AD13" s="123">
        <f t="shared" si="14"/>
        <v>22928</v>
      </c>
      <c r="AE13" s="123">
        <f t="shared" si="14"/>
        <v>21926</v>
      </c>
      <c r="AF13" s="123">
        <f t="shared" si="12"/>
        <v>95.629797627355202</v>
      </c>
      <c r="AG13" s="123">
        <f t="shared" si="14"/>
        <v>18470.3</v>
      </c>
      <c r="AH13" s="123">
        <f t="shared" si="14"/>
        <v>16804.399999999998</v>
      </c>
      <c r="AI13" s="123">
        <f t="shared" ref="AI13:AI19" si="15">AH13/AG13*100</f>
        <v>90.980655430610213</v>
      </c>
      <c r="AJ13" s="123">
        <f t="shared" si="14"/>
        <v>27336.9</v>
      </c>
      <c r="AK13" s="123">
        <f t="shared" si="14"/>
        <v>27335.5</v>
      </c>
      <c r="AL13" s="123">
        <f t="shared" si="14"/>
        <v>299.76666666666665</v>
      </c>
      <c r="AM13" s="123">
        <f t="shared" si="14"/>
        <v>20083.5</v>
      </c>
      <c r="AN13" s="123">
        <f t="shared" si="14"/>
        <v>20077.2</v>
      </c>
      <c r="AO13" s="123">
        <f t="shared" si="14"/>
        <v>298.65957446808511</v>
      </c>
      <c r="AP13" s="123">
        <f t="shared" si="14"/>
        <v>24931.8</v>
      </c>
      <c r="AQ13" s="123">
        <f t="shared" si="14"/>
        <v>40058.5</v>
      </c>
      <c r="AR13" s="123">
        <f t="shared" si="14"/>
        <v>440.94120759401449</v>
      </c>
      <c r="AS13" s="352" t="s">
        <v>462</v>
      </c>
      <c r="AT13" s="478" t="s">
        <v>463</v>
      </c>
      <c r="AU13" s="121"/>
      <c r="AV13" s="121"/>
      <c r="AW13" s="155"/>
    </row>
    <row r="14" spans="1:49" s="31" customFormat="1" ht="146.25" customHeight="1">
      <c r="A14" s="470"/>
      <c r="B14" s="347"/>
      <c r="C14" s="350"/>
      <c r="D14" s="350"/>
      <c r="E14" s="249" t="s">
        <v>3</v>
      </c>
      <c r="F14" s="123">
        <f>I14+L14+O14+R14+U14+X14+AA14+AD14+AG14+AJ14+AM14+AP14</f>
        <v>82910.599999999991</v>
      </c>
      <c r="G14" s="123">
        <f>J14+M14+P14+S14+V14+Y14+AB14+AE14+AH14+AK14+AN14+AQ14</f>
        <v>82646.400000000009</v>
      </c>
      <c r="H14" s="123">
        <f t="shared" si="1"/>
        <v>99.68134351940526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6488.1</v>
      </c>
      <c r="N14" s="123">
        <f>M14/L14*100</f>
        <v>98.694838680235492</v>
      </c>
      <c r="O14" s="123">
        <f>5300+79.4+1165.4-6.3+184.6-147.7+295.4-14.7</f>
        <v>6856.0999999999995</v>
      </c>
      <c r="P14" s="123">
        <v>6419.5</v>
      </c>
      <c r="Q14" s="123">
        <f>P14/O14*100</f>
        <v>93.631948192120902</v>
      </c>
      <c r="R14" s="123">
        <f>5300+226+5+1479.9+60.1</f>
        <v>7071</v>
      </c>
      <c r="S14" s="123">
        <v>7053.9</v>
      </c>
      <c r="T14" s="123">
        <f>S14/R14*100</f>
        <v>99.758167161646156</v>
      </c>
      <c r="U14" s="250">
        <f>5300+19.7+79.4+21+897.9+136+63</f>
        <v>6516.9999999999991</v>
      </c>
      <c r="V14" s="250">
        <v>6755.4</v>
      </c>
      <c r="W14" s="117">
        <f t="shared" ref="W14:W15" si="16">V14/U14*100</f>
        <v>103.65812490409698</v>
      </c>
      <c r="X14" s="117">
        <f>6259+53.9+5+1168.2-27.8+0.1-6.4</f>
        <v>7452</v>
      </c>
      <c r="Y14" s="117">
        <v>6485.4</v>
      </c>
      <c r="Z14" s="117">
        <f t="shared" ref="Z14:Z15" si="17">Y14/X14*100</f>
        <v>87.028985507246375</v>
      </c>
      <c r="AA14" s="123">
        <f>5350+60+305.7+5+2083.4+1096-0.1</f>
        <v>8900</v>
      </c>
      <c r="AB14" s="123">
        <v>8871.1</v>
      </c>
      <c r="AC14" s="117">
        <f t="shared" si="2"/>
        <v>99.675280898876409</v>
      </c>
      <c r="AD14" s="250">
        <f>7050-500</f>
        <v>6550</v>
      </c>
      <c r="AE14" s="250">
        <v>6590.5</v>
      </c>
      <c r="AF14" s="117">
        <f t="shared" si="12"/>
        <v>100.61832061068702</v>
      </c>
      <c r="AG14" s="251">
        <f>108.1+5300+71+123+136.5+561.4+365.7-0.1-81.8+750.5-816.8+0.1</f>
        <v>6517.5999999999995</v>
      </c>
      <c r="AH14" s="251">
        <v>6627.3</v>
      </c>
      <c r="AI14" s="123">
        <f t="shared" si="15"/>
        <v>101.68313489628085</v>
      </c>
      <c r="AJ14" s="251">
        <v>6866.6</v>
      </c>
      <c r="AK14" s="251">
        <v>6866.6</v>
      </c>
      <c r="AL14" s="251">
        <f>AK14/AJ14*100</f>
        <v>100</v>
      </c>
      <c r="AM14" s="251">
        <v>6680.9</v>
      </c>
      <c r="AN14" s="251">
        <v>6680.9</v>
      </c>
      <c r="AO14" s="251">
        <f>AN14/AM14*100</f>
        <v>100</v>
      </c>
      <c r="AP14" s="251">
        <f>12075.6-0.1</f>
        <v>12075.5</v>
      </c>
      <c r="AQ14" s="123">
        <v>12981.1</v>
      </c>
      <c r="AR14" s="123">
        <f>AQ14/AP14*100</f>
        <v>107.49948242308807</v>
      </c>
      <c r="AS14" s="353"/>
      <c r="AT14" s="479"/>
      <c r="AU14" s="121"/>
      <c r="AV14" s="121"/>
      <c r="AW14" s="155"/>
    </row>
    <row r="15" spans="1:49" s="31" customFormat="1" ht="123.75" customHeight="1">
      <c r="A15" s="470"/>
      <c r="B15" s="347"/>
      <c r="C15" s="350"/>
      <c r="D15" s="350"/>
      <c r="E15" s="249" t="s">
        <v>44</v>
      </c>
      <c r="F15" s="123">
        <f t="shared" ref="F15:G16" si="18">I15+L15+O15+R15+U15+X15+AA15+AD15+AG15+AJ15+AM15+AP15</f>
        <v>213815.4</v>
      </c>
      <c r="G15" s="123">
        <f t="shared" si="18"/>
        <v>208634.59999999998</v>
      </c>
      <c r="H15" s="123">
        <f t="shared" si="1"/>
        <v>97.576975278674965</v>
      </c>
      <c r="I15" s="123">
        <f>40+428.8+4937+6.7+13+122.8</f>
        <v>5548.3</v>
      </c>
      <c r="J15" s="123">
        <v>17377.7</v>
      </c>
      <c r="K15" s="123">
        <f>J15/I15*100</f>
        <v>313.20764918984196</v>
      </c>
      <c r="L15" s="123">
        <f>517.2+2195.7+21252+496.8+361.9+645.7-74+0.3-0.6</f>
        <v>25395.000000000004</v>
      </c>
      <c r="M15" s="123">
        <v>16917</v>
      </c>
      <c r="N15" s="123">
        <f t="shared" ref="N15:N22" si="19">M15/L15*100</f>
        <v>66.615475487300628</v>
      </c>
      <c r="O15" s="123">
        <f>938.9+1669.1+15140.2+361.8+251.7+81+61.3-1+41.1+913.8+0.4-1.6</f>
        <v>19456.7</v>
      </c>
      <c r="P15" s="123">
        <v>12655.5</v>
      </c>
      <c r="Q15" s="123">
        <f t="shared" ref="Q15:Q22" si="20">P15/O15*100</f>
        <v>65.044431995148202</v>
      </c>
      <c r="R15" s="123">
        <f>662.3+2139.5+21249.9+500+398.9+68.6+40-815.5-0.4+400-4.5</f>
        <v>24638.799999999999</v>
      </c>
      <c r="S15" s="123">
        <v>21926.7</v>
      </c>
      <c r="T15" s="123">
        <f t="shared" ref="T15:T22" si="21">S15/R15*100</f>
        <v>88.992564572949988</v>
      </c>
      <c r="U15" s="250">
        <f>114.6+1286.2+14324.5+500+499.1+290.4+293+401.2</f>
        <v>17709</v>
      </c>
      <c r="V15" s="250">
        <v>15688.2</v>
      </c>
      <c r="W15" s="117">
        <f t="shared" si="16"/>
        <v>88.588853125529397</v>
      </c>
      <c r="X15" s="250">
        <f>334.2+1608.2+15696.6+500+535.6+174.6-0.2-122.8+820.7-14.4</f>
        <v>19532.499999999996</v>
      </c>
      <c r="Y15" s="250">
        <v>16515.7</v>
      </c>
      <c r="Z15" s="117">
        <f t="shared" si="17"/>
        <v>84.554972481761183</v>
      </c>
      <c r="AA15" s="250">
        <f>28685.4-4685.4+5105.6-226.4</f>
        <v>28879.199999999997</v>
      </c>
      <c r="AB15" s="250">
        <v>23752.6</v>
      </c>
      <c r="AC15" s="117">
        <f t="shared" si="2"/>
        <v>82.248123216709615</v>
      </c>
      <c r="AD15" s="250">
        <v>16150</v>
      </c>
      <c r="AE15" s="250">
        <v>15010</v>
      </c>
      <c r="AF15" s="117">
        <f t="shared" si="12"/>
        <v>92.941176470588232</v>
      </c>
      <c r="AG15" s="250">
        <f>410.5+1275+9041.8+500+537.9+527.3-0.2-784.8</f>
        <v>11507.499999999998</v>
      </c>
      <c r="AH15" s="117">
        <v>9689.2999999999993</v>
      </c>
      <c r="AI15" s="123">
        <f t="shared" si="15"/>
        <v>84.199869650228123</v>
      </c>
      <c r="AJ15" s="123">
        <v>19870.3</v>
      </c>
      <c r="AK15" s="123">
        <v>19870.3</v>
      </c>
      <c r="AL15" s="123">
        <f>AK15/AJ15*100</f>
        <v>100</v>
      </c>
      <c r="AM15" s="250">
        <v>12932.6</v>
      </c>
      <c r="AN15" s="117">
        <v>12932.6</v>
      </c>
      <c r="AO15" s="117">
        <f>AN15/AM15*100</f>
        <v>100</v>
      </c>
      <c r="AP15" s="123">
        <v>12195.5</v>
      </c>
      <c r="AQ15" s="123">
        <v>26299</v>
      </c>
      <c r="AR15" s="123">
        <f>AQ15/AP15*100</f>
        <v>215.64511500143496</v>
      </c>
      <c r="AS15" s="353"/>
      <c r="AT15" s="479"/>
      <c r="AU15" s="121"/>
      <c r="AV15" s="121"/>
      <c r="AW15" s="155"/>
    </row>
    <row r="16" spans="1:49" s="31" customFormat="1" ht="113.25" customHeight="1">
      <c r="A16" s="471"/>
      <c r="B16" s="348"/>
      <c r="C16" s="351"/>
      <c r="D16" s="351"/>
      <c r="E16" s="143" t="s">
        <v>257</v>
      </c>
      <c r="F16" s="123">
        <f t="shared" si="18"/>
        <v>6013.8</v>
      </c>
      <c r="G16" s="123">
        <f t="shared" si="18"/>
        <v>5954.7</v>
      </c>
      <c r="H16" s="123">
        <f t="shared" si="1"/>
        <v>99.01726030130699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221.6</v>
      </c>
      <c r="N16" s="123">
        <f t="shared" si="19"/>
        <v>65.854383358098062</v>
      </c>
      <c r="O16" s="123">
        <f>811.3-84.7-0.3</f>
        <v>726.3</v>
      </c>
      <c r="P16" s="123">
        <v>584.29999999999995</v>
      </c>
      <c r="Q16" s="123">
        <f t="shared" si="20"/>
        <v>80.448850337326178</v>
      </c>
      <c r="R16" s="123">
        <f>740.6-35-4</f>
        <v>701.6</v>
      </c>
      <c r="S16" s="123">
        <v>701.5</v>
      </c>
      <c r="T16" s="123">
        <f>S16/R16*100</f>
        <v>99.985746864310144</v>
      </c>
      <c r="U16" s="117">
        <f>479.7+19+40+35-3</f>
        <v>570.70000000000005</v>
      </c>
      <c r="V16" s="117">
        <v>648.9</v>
      </c>
      <c r="W16" s="117">
        <f>V16/U16*100</f>
        <v>113.70247065007884</v>
      </c>
      <c r="X16" s="117">
        <f>352.8+98.9-40+7-0.9-33.9</f>
        <v>383.90000000000009</v>
      </c>
      <c r="Y16" s="117">
        <v>418.6</v>
      </c>
      <c r="Z16" s="117">
        <f>Y16/X16*100</f>
        <v>109.03881219067463</v>
      </c>
      <c r="AA16" s="123">
        <f>825.5-156.4+59.9-100</f>
        <v>629</v>
      </c>
      <c r="AB16" s="123">
        <v>725.8</v>
      </c>
      <c r="AC16" s="117">
        <f t="shared" si="2"/>
        <v>115.38950715421304</v>
      </c>
      <c r="AD16" s="117">
        <f>328-100</f>
        <v>228</v>
      </c>
      <c r="AE16" s="117">
        <v>325.5</v>
      </c>
      <c r="AF16" s="117">
        <f t="shared" si="12"/>
        <v>142.76315789473685</v>
      </c>
      <c r="AG16" s="117">
        <f>301.6-2+225.6-80</f>
        <v>445.20000000000005</v>
      </c>
      <c r="AH16" s="117">
        <v>487.8</v>
      </c>
      <c r="AI16" s="123">
        <f t="shared" si="15"/>
        <v>109.5687331536388</v>
      </c>
      <c r="AJ16" s="123">
        <v>600</v>
      </c>
      <c r="AK16" s="123">
        <v>598.6</v>
      </c>
      <c r="AL16" s="123">
        <f>AK16/AJ16*100</f>
        <v>99.766666666666666</v>
      </c>
      <c r="AM16" s="117">
        <v>470</v>
      </c>
      <c r="AN16" s="117">
        <v>463.7</v>
      </c>
      <c r="AO16" s="117">
        <f>AN16/AM16*100</f>
        <v>98.659574468085111</v>
      </c>
      <c r="AP16" s="117">
        <v>660.8</v>
      </c>
      <c r="AQ16" s="123">
        <v>778.4</v>
      </c>
      <c r="AR16" s="123">
        <f>AQ16/AP16*100</f>
        <v>117.79661016949152</v>
      </c>
      <c r="AS16" s="354"/>
      <c r="AT16" s="480"/>
      <c r="AU16" s="121"/>
      <c r="AV16" s="121"/>
      <c r="AW16" s="155"/>
    </row>
    <row r="17" spans="1:49" s="31" customFormat="1" ht="20.100000000000001" customHeight="1">
      <c r="A17" s="469" t="s">
        <v>327</v>
      </c>
      <c r="B17" s="346" t="s">
        <v>328</v>
      </c>
      <c r="C17" s="349" t="s">
        <v>329</v>
      </c>
      <c r="D17" s="355" t="s">
        <v>330</v>
      </c>
      <c r="E17" s="248" t="s">
        <v>42</v>
      </c>
      <c r="F17" s="123">
        <f>SUM(F18:F20)</f>
        <v>89926.8</v>
      </c>
      <c r="G17" s="123">
        <f t="shared" ref="G17:P17" si="22">SUM(G18:G20)</f>
        <v>89074.2</v>
      </c>
      <c r="H17" s="123">
        <f t="shared" si="1"/>
        <v>99.051895541707253</v>
      </c>
      <c r="I17" s="123">
        <f t="shared" si="22"/>
        <v>6091.6</v>
      </c>
      <c r="J17" s="123">
        <f t="shared" si="22"/>
        <v>6082.4</v>
      </c>
      <c r="K17" s="123">
        <f>J17/I17*100</f>
        <v>99.848972355374599</v>
      </c>
      <c r="L17" s="123">
        <f t="shared" si="22"/>
        <v>6886.9</v>
      </c>
      <c r="M17" s="123">
        <f t="shared" si="22"/>
        <v>6744.5</v>
      </c>
      <c r="N17" s="123">
        <f t="shared" si="19"/>
        <v>97.932306262614532</v>
      </c>
      <c r="O17" s="123">
        <f t="shared" si="22"/>
        <v>6522.0999999999995</v>
      </c>
      <c r="P17" s="123">
        <f t="shared" si="22"/>
        <v>6045.7</v>
      </c>
      <c r="Q17" s="123">
        <f t="shared" si="20"/>
        <v>92.695604176568906</v>
      </c>
      <c r="R17" s="123">
        <f t="shared" ref="R17:AB17" si="23">SUM(R18:R20)</f>
        <v>7031.5</v>
      </c>
      <c r="S17" s="123">
        <f t="shared" si="23"/>
        <v>7031.5</v>
      </c>
      <c r="T17" s="123">
        <f t="shared" si="21"/>
        <v>100</v>
      </c>
      <c r="U17" s="123">
        <f t="shared" si="23"/>
        <v>7691.6</v>
      </c>
      <c r="V17" s="123">
        <f t="shared" si="23"/>
        <v>7691.6</v>
      </c>
      <c r="W17" s="123">
        <f t="shared" ref="W17:W19" si="24">V17/U17*100</f>
        <v>100</v>
      </c>
      <c r="X17" s="123">
        <f t="shared" si="23"/>
        <v>8671</v>
      </c>
      <c r="Y17" s="123">
        <f t="shared" si="23"/>
        <v>7317.4</v>
      </c>
      <c r="Z17" s="123">
        <f>Y17/X17*100</f>
        <v>84.389343789643632</v>
      </c>
      <c r="AA17" s="123">
        <f t="shared" si="23"/>
        <v>7525.6</v>
      </c>
      <c r="AB17" s="123">
        <f t="shared" si="23"/>
        <v>7525.6</v>
      </c>
      <c r="AC17" s="117">
        <f t="shared" si="2"/>
        <v>100</v>
      </c>
      <c r="AD17" s="123">
        <f t="shared" ref="AD17:AQ17" si="25">SUM(AD18:AD20)</f>
        <v>5790.1</v>
      </c>
      <c r="AE17" s="123">
        <f t="shared" si="25"/>
        <v>5790.1</v>
      </c>
      <c r="AF17" s="123">
        <f t="shared" si="12"/>
        <v>100</v>
      </c>
      <c r="AG17" s="123">
        <f t="shared" si="25"/>
        <v>5412.2999999999993</v>
      </c>
      <c r="AH17" s="123">
        <f t="shared" si="25"/>
        <v>5049.4000000000005</v>
      </c>
      <c r="AI17" s="123">
        <f t="shared" si="15"/>
        <v>93.294902352049974</v>
      </c>
      <c r="AJ17" s="123">
        <f t="shared" si="25"/>
        <v>6411.6</v>
      </c>
      <c r="AK17" s="123">
        <f t="shared" si="25"/>
        <v>6411.6</v>
      </c>
      <c r="AL17" s="123">
        <f t="shared" ref="AL17:AL18" si="26">AK17/AJ17*100</f>
        <v>100</v>
      </c>
      <c r="AM17" s="123">
        <f t="shared" si="25"/>
        <v>5692.9</v>
      </c>
      <c r="AN17" s="123">
        <f t="shared" si="25"/>
        <v>5692.9</v>
      </c>
      <c r="AO17" s="117">
        <f t="shared" ref="AO17:AO18" si="27">AN17/AM17*100</f>
        <v>100</v>
      </c>
      <c r="AP17" s="123">
        <f t="shared" si="25"/>
        <v>16199.599999999999</v>
      </c>
      <c r="AQ17" s="123">
        <f t="shared" si="25"/>
        <v>17691.5</v>
      </c>
      <c r="AR17" s="123">
        <f t="shared" ref="AR17:AR18" si="28">AQ17/AP17*100</f>
        <v>109.20948665399146</v>
      </c>
      <c r="AS17" s="397" t="s">
        <v>453</v>
      </c>
      <c r="AT17" s="440" t="s">
        <v>454</v>
      </c>
      <c r="AU17" s="121"/>
      <c r="AV17" s="121"/>
      <c r="AW17" s="155"/>
    </row>
    <row r="18" spans="1:49" s="31" customFormat="1" ht="39.75" customHeight="1">
      <c r="A18" s="470"/>
      <c r="B18" s="347"/>
      <c r="C18" s="350"/>
      <c r="D18" s="356"/>
      <c r="E18" s="249" t="s">
        <v>3</v>
      </c>
      <c r="F18" s="123">
        <f>I18+L18+O18+R18+U18+X18+AA18+AD18+AG18+AJ18+AM18+AP18</f>
        <v>7189.8</v>
      </c>
      <c r="G18" s="123">
        <f>J18+M18+P18+S18+V18+Y18+AB18+AE18+AH18+AK18+AN18+AQ18</f>
        <v>7189.7999999999993</v>
      </c>
      <c r="H18" s="123">
        <v>0</v>
      </c>
      <c r="I18" s="123">
        <v>0</v>
      </c>
      <c r="J18" s="123">
        <v>0</v>
      </c>
      <c r="K18" s="123">
        <v>0</v>
      </c>
      <c r="L18" s="150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17">
        <v>0</v>
      </c>
      <c r="V18" s="117">
        <v>0</v>
      </c>
      <c r="W18" s="123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2802.1</v>
      </c>
      <c r="AE18" s="117">
        <v>2802.1</v>
      </c>
      <c r="AF18" s="117">
        <f t="shared" si="12"/>
        <v>100</v>
      </c>
      <c r="AG18" s="117">
        <f>704.8+6.9</f>
        <v>711.69999999999993</v>
      </c>
      <c r="AH18" s="117">
        <f>710.1</f>
        <v>710.1</v>
      </c>
      <c r="AI18" s="123">
        <f t="shared" si="15"/>
        <v>99.77518617394972</v>
      </c>
      <c r="AJ18" s="123">
        <v>868.3</v>
      </c>
      <c r="AK18" s="123">
        <v>868.3</v>
      </c>
      <c r="AL18" s="123">
        <f t="shared" si="26"/>
        <v>100</v>
      </c>
      <c r="AM18" s="117">
        <v>2323.9</v>
      </c>
      <c r="AN18" s="117">
        <v>2323.9</v>
      </c>
      <c r="AO18" s="117">
        <f t="shared" si="27"/>
        <v>100</v>
      </c>
      <c r="AP18" s="123">
        <v>483.8</v>
      </c>
      <c r="AQ18" s="123">
        <v>485.4</v>
      </c>
      <c r="AR18" s="123">
        <f t="shared" si="28"/>
        <v>100.3307151715585</v>
      </c>
      <c r="AS18" s="398"/>
      <c r="AT18" s="441"/>
      <c r="AU18" s="121"/>
      <c r="AV18" s="121"/>
      <c r="AW18" s="155"/>
    </row>
    <row r="19" spans="1:49" s="31" customFormat="1" ht="30.75" customHeight="1">
      <c r="A19" s="470"/>
      <c r="B19" s="347"/>
      <c r="C19" s="350"/>
      <c r="D19" s="356"/>
      <c r="E19" s="249" t="s">
        <v>44</v>
      </c>
      <c r="F19" s="123">
        <f t="shared" ref="F19:G20" si="29">I19+L19+O19+R19+U19+X19+AA19+AD19+AG19+AJ19+AM19+AP19</f>
        <v>82737</v>
      </c>
      <c r="G19" s="123">
        <f t="shared" si="29"/>
        <v>81884.399999999994</v>
      </c>
      <c r="H19" s="123">
        <f>G19/F19*100</f>
        <v>98.969505783385898</v>
      </c>
      <c r="I19" s="123">
        <v>6091.6</v>
      </c>
      <c r="J19" s="123">
        <v>6082.4</v>
      </c>
      <c r="K19" s="123">
        <f t="shared" ref="K19" si="30">J19/I19*100</f>
        <v>99.848972355374599</v>
      </c>
      <c r="L19" s="123">
        <f>7886.9-1000</f>
        <v>6886.9</v>
      </c>
      <c r="M19" s="123">
        <v>6744.5</v>
      </c>
      <c r="N19" s="123">
        <f t="shared" ref="N19" si="31">M19/L19*100</f>
        <v>97.932306262614532</v>
      </c>
      <c r="O19" s="123">
        <f>6537.7-15.6</f>
        <v>6522.0999999999995</v>
      </c>
      <c r="P19" s="123">
        <v>6045.7</v>
      </c>
      <c r="Q19" s="123">
        <f t="shared" si="20"/>
        <v>92.695604176568906</v>
      </c>
      <c r="R19" s="123">
        <v>7031.5</v>
      </c>
      <c r="S19" s="123">
        <v>7031.5</v>
      </c>
      <c r="T19" s="123">
        <f t="shared" ref="T19" si="32">S19/R19*100</f>
        <v>100</v>
      </c>
      <c r="U19" s="250">
        <v>7691.6</v>
      </c>
      <c r="V19" s="250">
        <v>7691.6</v>
      </c>
      <c r="W19" s="123">
        <f t="shared" si="24"/>
        <v>100</v>
      </c>
      <c r="X19" s="250">
        <f>8574.7+96.3</f>
        <v>8671</v>
      </c>
      <c r="Y19" s="250">
        <v>7317.4</v>
      </c>
      <c r="Z19" s="123">
        <f>Y19/X19*100</f>
        <v>84.389343789643632</v>
      </c>
      <c r="AA19" s="123">
        <v>7525.6</v>
      </c>
      <c r="AB19" s="123">
        <v>7525.6</v>
      </c>
      <c r="AC19" s="117">
        <f t="shared" si="2"/>
        <v>100</v>
      </c>
      <c r="AD19" s="250">
        <v>2988</v>
      </c>
      <c r="AE19" s="250">
        <v>2988</v>
      </c>
      <c r="AF19" s="117">
        <f t="shared" si="12"/>
        <v>100</v>
      </c>
      <c r="AG19" s="250">
        <f>4796.9-96.3</f>
        <v>4700.5999999999995</v>
      </c>
      <c r="AH19" s="117">
        <v>4339.3</v>
      </c>
      <c r="AI19" s="123">
        <f t="shared" si="15"/>
        <v>92.313747181210928</v>
      </c>
      <c r="AJ19" s="123">
        <v>5543.3</v>
      </c>
      <c r="AK19" s="123">
        <v>5543.3</v>
      </c>
      <c r="AL19" s="123">
        <f>AK19/AJ19*100</f>
        <v>100</v>
      </c>
      <c r="AM19" s="250">
        <v>3369</v>
      </c>
      <c r="AN19" s="250">
        <v>3369</v>
      </c>
      <c r="AO19" s="117">
        <f>AN19/AM19*100</f>
        <v>100</v>
      </c>
      <c r="AP19" s="250">
        <v>15715.8</v>
      </c>
      <c r="AQ19" s="123">
        <v>17206.099999999999</v>
      </c>
      <c r="AR19" s="123">
        <f>AQ19/AP19*100</f>
        <v>109.48281347433793</v>
      </c>
      <c r="AS19" s="398"/>
      <c r="AT19" s="441"/>
      <c r="AU19" s="121"/>
      <c r="AV19" s="121"/>
      <c r="AW19" s="155"/>
    </row>
    <row r="20" spans="1:49" s="31" customFormat="1" ht="30.75" customHeight="1">
      <c r="A20" s="471"/>
      <c r="B20" s="348"/>
      <c r="C20" s="351"/>
      <c r="D20" s="362"/>
      <c r="E20" s="143" t="s">
        <v>257</v>
      </c>
      <c r="F20" s="123">
        <f t="shared" si="29"/>
        <v>0</v>
      </c>
      <c r="G20" s="123">
        <f t="shared" si="29"/>
        <v>0</v>
      </c>
      <c r="H20" s="123">
        <v>0</v>
      </c>
      <c r="I20" s="123">
        <v>0</v>
      </c>
      <c r="J20" s="123">
        <v>0</v>
      </c>
      <c r="K20" s="123">
        <v>0</v>
      </c>
      <c r="L20" s="150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17">
        <v>0</v>
      </c>
      <c r="V20" s="117">
        <v>0</v>
      </c>
      <c r="W20" s="123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23">
        <v>0</v>
      </c>
      <c r="AK20" s="123">
        <v>0</v>
      </c>
      <c r="AL20" s="123">
        <v>0</v>
      </c>
      <c r="AM20" s="117">
        <v>0</v>
      </c>
      <c r="AN20" s="117">
        <v>0</v>
      </c>
      <c r="AO20" s="117">
        <v>0</v>
      </c>
      <c r="AP20" s="123">
        <v>0</v>
      </c>
      <c r="AQ20" s="123">
        <v>0</v>
      </c>
      <c r="AR20" s="123">
        <v>0</v>
      </c>
      <c r="AS20" s="399"/>
      <c r="AT20" s="442"/>
      <c r="AU20" s="121"/>
      <c r="AV20" s="121"/>
      <c r="AW20" s="155"/>
    </row>
    <row r="21" spans="1:49" s="31" customFormat="1" ht="299.25" customHeight="1">
      <c r="A21" s="236" t="s">
        <v>331</v>
      </c>
      <c r="B21" s="230" t="s">
        <v>332</v>
      </c>
      <c r="C21" s="232" t="s">
        <v>333</v>
      </c>
      <c r="D21" s="234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227" t="s">
        <v>442</v>
      </c>
      <c r="AT21" s="215"/>
      <c r="AU21" s="121"/>
      <c r="AV21" s="121"/>
      <c r="AW21" s="155"/>
    </row>
    <row r="22" spans="1:49" s="31" customFormat="1" ht="29.25" customHeight="1">
      <c r="A22" s="469" t="s">
        <v>334</v>
      </c>
      <c r="B22" s="346" t="s">
        <v>335</v>
      </c>
      <c r="C22" s="349" t="s">
        <v>268</v>
      </c>
      <c r="D22" s="355" t="s">
        <v>336</v>
      </c>
      <c r="E22" s="248" t="s">
        <v>42</v>
      </c>
      <c r="F22" s="123">
        <f>SUM(F23:F24)</f>
        <v>4149.8999999999996</v>
      </c>
      <c r="G22" s="123">
        <f>SUM(G23:G24)</f>
        <v>3956.4000000000005</v>
      </c>
      <c r="H22" s="123">
        <f>G22/F22*100</f>
        <v>95.337237041856454</v>
      </c>
      <c r="I22" s="123">
        <f>SUM(I23:I24)</f>
        <v>326.39999999999998</v>
      </c>
      <c r="J22" s="123">
        <f>SUM(J23:J24)</f>
        <v>326.39999999999998</v>
      </c>
      <c r="K22" s="123">
        <f t="shared" ref="K22:K25" si="33">J22/I22*100</f>
        <v>100</v>
      </c>
      <c r="L22" s="123">
        <f>SUM(L23:L24)</f>
        <v>325.60000000000002</v>
      </c>
      <c r="M22" s="123">
        <f>SUM(M23:M24)</f>
        <v>313.89999999999998</v>
      </c>
      <c r="N22" s="123">
        <f t="shared" si="19"/>
        <v>96.4066339066339</v>
      </c>
      <c r="O22" s="123">
        <f>SUM(O23:O24)</f>
        <v>326</v>
      </c>
      <c r="P22" s="123">
        <f>SUM(P23:P24)</f>
        <v>314.10000000000002</v>
      </c>
      <c r="Q22" s="123">
        <f t="shared" si="20"/>
        <v>96.349693251533751</v>
      </c>
      <c r="R22" s="123">
        <f>SUM(R23:R24)</f>
        <v>326</v>
      </c>
      <c r="S22" s="123">
        <f>SUM(S23:S24)</f>
        <v>315.3</v>
      </c>
      <c r="T22" s="123">
        <f t="shared" si="21"/>
        <v>96.717791411042953</v>
      </c>
      <c r="U22" s="123">
        <f>SUM(U23:U24)</f>
        <v>326</v>
      </c>
      <c r="V22" s="123">
        <f>SUM(V23:V24)</f>
        <v>315.3</v>
      </c>
      <c r="W22" s="123">
        <f t="shared" ref="W22:W24" si="34">V22/U22*100</f>
        <v>96.717791411042953</v>
      </c>
      <c r="X22" s="123">
        <f t="shared" ref="X22:AE22" si="35">SUM(X23:X24)</f>
        <v>326</v>
      </c>
      <c r="Y22" s="123">
        <f t="shared" si="35"/>
        <v>315.3</v>
      </c>
      <c r="Z22" s="123">
        <f t="shared" si="35"/>
        <v>96.717791411042953</v>
      </c>
      <c r="AA22" s="123">
        <f t="shared" si="35"/>
        <v>320</v>
      </c>
      <c r="AB22" s="123">
        <f t="shared" si="35"/>
        <v>315.2</v>
      </c>
      <c r="AC22" s="117">
        <f t="shared" ref="AC22:AC27" si="36">AB22/AA22*100</f>
        <v>98.5</v>
      </c>
      <c r="AD22" s="123">
        <f t="shared" si="35"/>
        <v>332</v>
      </c>
      <c r="AE22" s="123">
        <f t="shared" si="35"/>
        <v>315.3</v>
      </c>
      <c r="AF22" s="123">
        <f t="shared" si="12"/>
        <v>94.969879518072304</v>
      </c>
      <c r="AG22" s="123">
        <f t="shared" ref="AG22:AR22" si="37">SUM(AG23:AG24)</f>
        <v>326</v>
      </c>
      <c r="AH22" s="123">
        <f t="shared" si="37"/>
        <v>315.3</v>
      </c>
      <c r="AI22" s="123">
        <f t="shared" ref="AI22" si="38">AH22/AG22*100</f>
        <v>96.717791411042953</v>
      </c>
      <c r="AJ22" s="123">
        <f t="shared" si="37"/>
        <v>326</v>
      </c>
      <c r="AK22" s="123">
        <f t="shared" si="37"/>
        <v>312</v>
      </c>
      <c r="AL22" s="123">
        <f t="shared" si="37"/>
        <v>95.705521472392647</v>
      </c>
      <c r="AM22" s="123">
        <f t="shared" si="37"/>
        <v>326</v>
      </c>
      <c r="AN22" s="123">
        <f t="shared" si="37"/>
        <v>297.89999999999998</v>
      </c>
      <c r="AO22" s="123">
        <f t="shared" si="37"/>
        <v>91.380368098159508</v>
      </c>
      <c r="AP22" s="123">
        <f t="shared" si="37"/>
        <v>563.9</v>
      </c>
      <c r="AQ22" s="123">
        <f t="shared" si="37"/>
        <v>500.4</v>
      </c>
      <c r="AR22" s="123">
        <f t="shared" si="37"/>
        <v>88.739138145061176</v>
      </c>
      <c r="AS22" s="397" t="s">
        <v>443</v>
      </c>
      <c r="AT22" s="455" t="s">
        <v>461</v>
      </c>
      <c r="AU22" s="121"/>
      <c r="AV22" s="121"/>
      <c r="AW22" s="155"/>
    </row>
    <row r="23" spans="1:49" s="31" customFormat="1" ht="39.75" customHeight="1">
      <c r="A23" s="470"/>
      <c r="B23" s="347"/>
      <c r="C23" s="350"/>
      <c r="D23" s="356"/>
      <c r="E23" s="249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23">
        <v>0</v>
      </c>
      <c r="J23" s="123">
        <v>0</v>
      </c>
      <c r="K23" s="123">
        <v>0</v>
      </c>
      <c r="L23" s="150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17">
        <v>0</v>
      </c>
      <c r="V23" s="117">
        <v>0</v>
      </c>
      <c r="W23" s="123">
        <v>0</v>
      </c>
      <c r="X23" s="117">
        <v>0</v>
      </c>
      <c r="Y23" s="117">
        <v>0</v>
      </c>
      <c r="Z23" s="117">
        <v>0</v>
      </c>
      <c r="AA23" s="117">
        <v>0</v>
      </c>
      <c r="AB23" s="117">
        <v>0</v>
      </c>
      <c r="AC23" s="117">
        <v>0</v>
      </c>
      <c r="AD23" s="117">
        <v>0</v>
      </c>
      <c r="AE23" s="117">
        <v>0</v>
      </c>
      <c r="AF23" s="117">
        <v>0</v>
      </c>
      <c r="AG23" s="117">
        <v>0</v>
      </c>
      <c r="AH23" s="117">
        <v>0</v>
      </c>
      <c r="AI23" s="117">
        <v>0</v>
      </c>
      <c r="AJ23" s="123">
        <v>0</v>
      </c>
      <c r="AK23" s="123">
        <v>0</v>
      </c>
      <c r="AL23" s="123">
        <v>0</v>
      </c>
      <c r="AM23" s="117">
        <v>0</v>
      </c>
      <c r="AN23" s="117">
        <v>0</v>
      </c>
      <c r="AO23" s="117">
        <v>0</v>
      </c>
      <c r="AP23" s="123">
        <v>0</v>
      </c>
      <c r="AQ23" s="123">
        <v>0</v>
      </c>
      <c r="AR23" s="123">
        <v>0</v>
      </c>
      <c r="AS23" s="398"/>
      <c r="AT23" s="456"/>
      <c r="AU23" s="121"/>
      <c r="AV23" s="121"/>
      <c r="AW23" s="155"/>
    </row>
    <row r="24" spans="1:49" s="31" customFormat="1" ht="22.5" customHeight="1">
      <c r="A24" s="470"/>
      <c r="B24" s="347"/>
      <c r="C24" s="350"/>
      <c r="D24" s="356"/>
      <c r="E24" s="249" t="s">
        <v>44</v>
      </c>
      <c r="F24" s="123">
        <f t="shared" ref="F24:G24" si="39">I24+L24+O24+R24+U24+X24+AA24+AD24+AG24+AJ24+AM24+AP24</f>
        <v>4149.8999999999996</v>
      </c>
      <c r="G24" s="123">
        <f t="shared" si="39"/>
        <v>3956.4000000000005</v>
      </c>
      <c r="H24" s="123">
        <f>G24/F24*100</f>
        <v>95.337237041856454</v>
      </c>
      <c r="I24" s="123">
        <v>326.39999999999998</v>
      </c>
      <c r="J24" s="123">
        <v>326.39999999999998</v>
      </c>
      <c r="K24" s="123">
        <f t="shared" si="33"/>
        <v>100</v>
      </c>
      <c r="L24" s="123">
        <v>325.60000000000002</v>
      </c>
      <c r="M24" s="123">
        <v>313.89999999999998</v>
      </c>
      <c r="N24" s="123">
        <f t="shared" ref="N24:N26" si="40">M24/L24*100</f>
        <v>96.4066339066339</v>
      </c>
      <c r="O24" s="123">
        <v>326</v>
      </c>
      <c r="P24" s="123">
        <v>314.10000000000002</v>
      </c>
      <c r="Q24" s="123">
        <f t="shared" ref="Q24:Q26" si="41">P24/O24*100</f>
        <v>96.349693251533751</v>
      </c>
      <c r="R24" s="123">
        <v>326</v>
      </c>
      <c r="S24" s="123">
        <v>315.3</v>
      </c>
      <c r="T24" s="123">
        <f t="shared" ref="T24:T26" si="42">S24/R24*100</f>
        <v>96.717791411042953</v>
      </c>
      <c r="U24" s="117">
        <v>326</v>
      </c>
      <c r="V24" s="117">
        <v>315.3</v>
      </c>
      <c r="W24" s="123">
        <f t="shared" si="34"/>
        <v>96.717791411042953</v>
      </c>
      <c r="X24" s="117">
        <v>326</v>
      </c>
      <c r="Y24" s="117">
        <v>315.3</v>
      </c>
      <c r="Z24" s="117">
        <f>Y24/X24*100</f>
        <v>96.717791411042953</v>
      </c>
      <c r="AA24" s="123">
        <f>326-6</f>
        <v>320</v>
      </c>
      <c r="AB24" s="123">
        <v>315.2</v>
      </c>
      <c r="AC24" s="117">
        <f t="shared" si="36"/>
        <v>98.5</v>
      </c>
      <c r="AD24" s="117">
        <f>326+6</f>
        <v>332</v>
      </c>
      <c r="AE24" s="117">
        <v>315.3</v>
      </c>
      <c r="AF24" s="117">
        <f t="shared" ref="AF24" si="43">AE24/AD24*100</f>
        <v>94.969879518072304</v>
      </c>
      <c r="AG24" s="117">
        <v>326</v>
      </c>
      <c r="AH24" s="117">
        <v>315.3</v>
      </c>
      <c r="AI24" s="123">
        <f t="shared" ref="AI24" si="44">AH24/AG24*100</f>
        <v>96.717791411042953</v>
      </c>
      <c r="AJ24" s="123">
        <v>326</v>
      </c>
      <c r="AK24" s="123">
        <v>312</v>
      </c>
      <c r="AL24" s="123">
        <f>AK24/AJ24*100</f>
        <v>95.705521472392647</v>
      </c>
      <c r="AM24" s="117">
        <v>326</v>
      </c>
      <c r="AN24" s="117">
        <v>297.89999999999998</v>
      </c>
      <c r="AO24" s="117">
        <f>AN24/AM24*100</f>
        <v>91.380368098159508</v>
      </c>
      <c r="AP24" s="117">
        <v>563.9</v>
      </c>
      <c r="AQ24" s="123">
        <v>500.4</v>
      </c>
      <c r="AR24" s="123">
        <f>AQ24/AP24*100</f>
        <v>88.739138145061176</v>
      </c>
      <c r="AS24" s="398"/>
      <c r="AT24" s="457"/>
      <c r="AU24" s="121"/>
      <c r="AV24" s="121"/>
      <c r="AW24" s="155"/>
    </row>
    <row r="25" spans="1:49" s="31" customFormat="1" ht="21.75" customHeight="1">
      <c r="A25" s="469" t="s">
        <v>337</v>
      </c>
      <c r="B25" s="346" t="s">
        <v>338</v>
      </c>
      <c r="C25" s="349" t="s">
        <v>339</v>
      </c>
      <c r="D25" s="355" t="s">
        <v>340</v>
      </c>
      <c r="E25" s="248" t="s">
        <v>42</v>
      </c>
      <c r="F25" s="123">
        <f>SUM(F26:F28)</f>
        <v>5982.4</v>
      </c>
      <c r="G25" s="123">
        <f t="shared" ref="G25:P25" si="45">SUM(G26:G28)</f>
        <v>5899</v>
      </c>
      <c r="H25" s="123">
        <f>G25/F25*100</f>
        <v>98.605910671302482</v>
      </c>
      <c r="I25" s="123">
        <f t="shared" si="45"/>
        <v>108.8</v>
      </c>
      <c r="J25" s="123">
        <f t="shared" si="45"/>
        <v>97.9</v>
      </c>
      <c r="K25" s="123">
        <f t="shared" si="33"/>
        <v>89.981617647058826</v>
      </c>
      <c r="L25" s="123">
        <f t="shared" si="45"/>
        <v>584.9</v>
      </c>
      <c r="M25" s="123">
        <f t="shared" si="45"/>
        <v>463.5</v>
      </c>
      <c r="N25" s="123">
        <f t="shared" si="40"/>
        <v>79.244315267567117</v>
      </c>
      <c r="O25" s="123">
        <f t="shared" si="45"/>
        <v>371.1</v>
      </c>
      <c r="P25" s="123">
        <f t="shared" si="45"/>
        <v>307.29999999999995</v>
      </c>
      <c r="Q25" s="123">
        <f t="shared" si="41"/>
        <v>82.807868499056838</v>
      </c>
      <c r="R25" s="123">
        <f t="shared" ref="R25:Z25" si="46">SUM(R26:R28)</f>
        <v>556.79999999999995</v>
      </c>
      <c r="S25" s="123">
        <f t="shared" si="46"/>
        <v>524.69999999999993</v>
      </c>
      <c r="T25" s="123">
        <f t="shared" si="42"/>
        <v>94.234913793103445</v>
      </c>
      <c r="U25" s="123">
        <f t="shared" si="46"/>
        <v>559.70000000000005</v>
      </c>
      <c r="V25" s="123">
        <f t="shared" si="46"/>
        <v>534.4</v>
      </c>
      <c r="W25" s="123">
        <f t="shared" si="46"/>
        <v>191.12903225806451</v>
      </c>
      <c r="X25" s="123">
        <f t="shared" si="46"/>
        <v>629.20000000000005</v>
      </c>
      <c r="Y25" s="123">
        <f t="shared" si="46"/>
        <v>527.29999999999995</v>
      </c>
      <c r="Z25" s="123">
        <f t="shared" si="46"/>
        <v>170.27249433569631</v>
      </c>
      <c r="AA25" s="123">
        <f t="shared" ref="AA25:AB25" si="47">SUM(AA26:AA28)</f>
        <v>573.40000000000009</v>
      </c>
      <c r="AB25" s="123">
        <f t="shared" si="47"/>
        <v>584.9</v>
      </c>
      <c r="AC25" s="117">
        <f t="shared" si="36"/>
        <v>102.00558074642481</v>
      </c>
      <c r="AD25" s="123">
        <f t="shared" ref="AD25:AQ25" si="48">SUM(AD26:AD28)</f>
        <v>982.39999999999986</v>
      </c>
      <c r="AE25" s="123">
        <f t="shared" si="48"/>
        <v>682.3</v>
      </c>
      <c r="AF25" s="123">
        <f t="shared" si="12"/>
        <v>69.452361563517911</v>
      </c>
      <c r="AG25" s="123">
        <f t="shared" si="48"/>
        <v>404.1</v>
      </c>
      <c r="AH25" s="123">
        <f t="shared" si="48"/>
        <v>369.1</v>
      </c>
      <c r="AI25" s="123">
        <f t="shared" ref="AI25" si="49">AH25/AG25*100</f>
        <v>91.338777530314275</v>
      </c>
      <c r="AJ25" s="123">
        <f t="shared" si="48"/>
        <v>261.7</v>
      </c>
      <c r="AK25" s="123">
        <f t="shared" si="48"/>
        <v>363.6</v>
      </c>
      <c r="AL25" s="123">
        <f>AK25/AJ25*100</f>
        <v>138.93771494077188</v>
      </c>
      <c r="AM25" s="123">
        <f t="shared" si="48"/>
        <v>636.5</v>
      </c>
      <c r="AN25" s="123">
        <f t="shared" si="48"/>
        <v>549.70000000000005</v>
      </c>
      <c r="AO25" s="117">
        <f>AN25/AM25*100</f>
        <v>86.362922230950517</v>
      </c>
      <c r="AP25" s="123">
        <f t="shared" si="48"/>
        <v>313.8</v>
      </c>
      <c r="AQ25" s="123">
        <f t="shared" si="48"/>
        <v>894.3</v>
      </c>
      <c r="AR25" s="123">
        <f>AQ25/AP25*100</f>
        <v>284.99043977055447</v>
      </c>
      <c r="AS25" s="397" t="s">
        <v>445</v>
      </c>
      <c r="AT25" s="440" t="s">
        <v>446</v>
      </c>
      <c r="AU25" s="121"/>
      <c r="AV25" s="121"/>
      <c r="AW25" s="155"/>
    </row>
    <row r="26" spans="1:49" s="31" customFormat="1" ht="42.75" customHeight="1">
      <c r="A26" s="470"/>
      <c r="B26" s="347"/>
      <c r="C26" s="350"/>
      <c r="D26" s="356"/>
      <c r="E26" s="249" t="s">
        <v>3</v>
      </c>
      <c r="F26" s="123">
        <f>I26+L26+O26+R26+U26+X26+AA26+AD26+AG26+AJ26+AM26+AP26</f>
        <v>3482.9999999999995</v>
      </c>
      <c r="G26" s="123">
        <f>J26+M26+P26+S26+V26+Y26+AB26+AE26+AH26+AK26+AN26+AQ26</f>
        <v>3420.8999999999996</v>
      </c>
      <c r="H26" s="123">
        <f>G26/F26*100</f>
        <v>98.217054263565899</v>
      </c>
      <c r="I26" s="123">
        <v>0</v>
      </c>
      <c r="J26" s="123">
        <v>0</v>
      </c>
      <c r="K26" s="123">
        <v>0</v>
      </c>
      <c r="L26" s="150">
        <v>124.5</v>
      </c>
      <c r="M26" s="123">
        <v>43.8</v>
      </c>
      <c r="N26" s="123">
        <f t="shared" si="40"/>
        <v>35.180722891566262</v>
      </c>
      <c r="O26" s="123">
        <f>124.6+15.4</f>
        <v>140</v>
      </c>
      <c r="P26" s="123">
        <v>113.1</v>
      </c>
      <c r="Q26" s="123">
        <f t="shared" si="41"/>
        <v>80.785714285714278</v>
      </c>
      <c r="R26" s="123">
        <f>124.5+15.4</f>
        <v>139.9</v>
      </c>
      <c r="S26" s="123">
        <v>107.8</v>
      </c>
      <c r="T26" s="123">
        <f t="shared" si="42"/>
        <v>77.055039313795561</v>
      </c>
      <c r="U26" s="117">
        <f>141.4+21+122.8</f>
        <v>285.2</v>
      </c>
      <c r="V26" s="117">
        <v>259.89999999999998</v>
      </c>
      <c r="W26" s="117">
        <f>V26/U26*100</f>
        <v>91.129032258064512</v>
      </c>
      <c r="X26" s="117">
        <f>141.4+189</f>
        <v>330.4</v>
      </c>
      <c r="Y26" s="117">
        <v>193.7</v>
      </c>
      <c r="Z26" s="117">
        <f>Y26/X26*100</f>
        <v>58.625907990314772</v>
      </c>
      <c r="AA26" s="117">
        <f>165.8+183.4-99.2-28.6</f>
        <v>221.40000000000006</v>
      </c>
      <c r="AB26" s="117">
        <v>233.5</v>
      </c>
      <c r="AC26" s="117">
        <f t="shared" si="36"/>
        <v>105.46522131887983</v>
      </c>
      <c r="AD26" s="117">
        <f>165.8+182+99.2+430.8</f>
        <v>877.8</v>
      </c>
      <c r="AE26" s="117">
        <v>904.4</v>
      </c>
      <c r="AF26" s="117">
        <f>AE26/AD26*100</f>
        <v>103.03030303030303</v>
      </c>
      <c r="AG26" s="117">
        <f>140.4+122.7+49-3-92.6</f>
        <v>216.50000000000003</v>
      </c>
      <c r="AH26" s="117">
        <v>292.60000000000002</v>
      </c>
      <c r="AI26" s="117">
        <f>AH26/AG26*100</f>
        <v>135.15011547344108</v>
      </c>
      <c r="AJ26" s="123">
        <v>261.7</v>
      </c>
      <c r="AK26" s="123">
        <v>261.7</v>
      </c>
      <c r="AL26" s="123">
        <f>AK26/AJ26*100</f>
        <v>100</v>
      </c>
      <c r="AM26" s="117">
        <v>636.5</v>
      </c>
      <c r="AN26" s="117">
        <v>636.5</v>
      </c>
      <c r="AO26" s="117">
        <f>AN26/AM26*100</f>
        <v>100</v>
      </c>
      <c r="AP26" s="123">
        <f>249+0.1</f>
        <v>249.1</v>
      </c>
      <c r="AQ26" s="123">
        <v>373.9</v>
      </c>
      <c r="AR26" s="123">
        <f>AQ26/AP26*100</f>
        <v>150.10036130068244</v>
      </c>
      <c r="AS26" s="398"/>
      <c r="AT26" s="441"/>
      <c r="AU26" s="121"/>
      <c r="AV26" s="121"/>
      <c r="AW26" s="155"/>
    </row>
    <row r="27" spans="1:49" s="31" customFormat="1" ht="29.25" customHeight="1">
      <c r="A27" s="470"/>
      <c r="B27" s="347"/>
      <c r="C27" s="350"/>
      <c r="D27" s="356"/>
      <c r="E27" s="249" t="s">
        <v>44</v>
      </c>
      <c r="F27" s="123">
        <f t="shared" ref="F27:G28" si="50">I27+L27+O27+R27+U27+X27+AA27+AD27+AG27+AJ27+AM27+AP27</f>
        <v>2499.3999999999996</v>
      </c>
      <c r="G27" s="123">
        <f t="shared" si="50"/>
        <v>2478.1</v>
      </c>
      <c r="H27" s="123">
        <f>G27/F27*100</f>
        <v>99.147795470913024</v>
      </c>
      <c r="I27" s="123">
        <v>108.8</v>
      </c>
      <c r="J27" s="123">
        <v>97.9</v>
      </c>
      <c r="K27" s="123">
        <f>J27/I27*100</f>
        <v>89.981617647058826</v>
      </c>
      <c r="L27" s="123">
        <v>460.4</v>
      </c>
      <c r="M27" s="123">
        <v>419.7</v>
      </c>
      <c r="N27" s="123">
        <f>M27/L27*100</f>
        <v>91.159860990443093</v>
      </c>
      <c r="O27" s="123">
        <v>231.1</v>
      </c>
      <c r="P27" s="123">
        <v>194.2</v>
      </c>
      <c r="Q27" s="123">
        <f>P27/O27*100</f>
        <v>84.032886196451756</v>
      </c>
      <c r="R27" s="123">
        <f>228.5+200-11.6</f>
        <v>416.9</v>
      </c>
      <c r="S27" s="123">
        <v>416.9</v>
      </c>
      <c r="T27" s="123">
        <f>S27/R27*100</f>
        <v>100</v>
      </c>
      <c r="U27" s="117">
        <f>236.6+50-12.1</f>
        <v>274.5</v>
      </c>
      <c r="V27" s="117">
        <v>274.5</v>
      </c>
      <c r="W27" s="117">
        <f>V27/U27*100</f>
        <v>100</v>
      </c>
      <c r="X27" s="117">
        <f>275.1+12.1+11.6</f>
        <v>298.80000000000007</v>
      </c>
      <c r="Y27" s="117">
        <v>333.6</v>
      </c>
      <c r="Z27" s="117">
        <f>Y27/X27*100</f>
        <v>111.64658634538152</v>
      </c>
      <c r="AA27" s="123">
        <f>316.6+35.4</f>
        <v>352</v>
      </c>
      <c r="AB27" s="123">
        <v>351.4</v>
      </c>
      <c r="AC27" s="117">
        <f t="shared" si="36"/>
        <v>99.829545454545439</v>
      </c>
      <c r="AD27" s="117">
        <f>285.3-35.4+21-166.3</f>
        <v>104.59999999999997</v>
      </c>
      <c r="AE27" s="117">
        <v>-222.1</v>
      </c>
      <c r="AF27" s="117">
        <v>0</v>
      </c>
      <c r="AG27" s="117">
        <f>208.6-21</f>
        <v>187.6</v>
      </c>
      <c r="AH27" s="117">
        <v>76.5</v>
      </c>
      <c r="AI27" s="117">
        <v>0</v>
      </c>
      <c r="AJ27" s="123">
        <v>0</v>
      </c>
      <c r="AK27" s="123">
        <v>101.9</v>
      </c>
      <c r="AL27" s="123">
        <v>0</v>
      </c>
      <c r="AM27" s="117">
        <v>0</v>
      </c>
      <c r="AN27" s="117">
        <v>-86.8</v>
      </c>
      <c r="AO27" s="117">
        <v>0</v>
      </c>
      <c r="AP27" s="117">
        <v>64.7</v>
      </c>
      <c r="AQ27" s="123">
        <v>520.4</v>
      </c>
      <c r="AR27" s="123">
        <f>AQ27/AP27*100</f>
        <v>804.32766615146818</v>
      </c>
      <c r="AS27" s="398"/>
      <c r="AT27" s="441"/>
      <c r="AU27" s="121"/>
      <c r="AV27" s="121"/>
      <c r="AW27" s="155"/>
    </row>
    <row r="28" spans="1:49" s="31" customFormat="1" ht="27" customHeight="1">
      <c r="A28" s="471"/>
      <c r="B28" s="348"/>
      <c r="C28" s="351"/>
      <c r="D28" s="362"/>
      <c r="E28" s="143" t="s">
        <v>257</v>
      </c>
      <c r="F28" s="123">
        <f t="shared" si="50"/>
        <v>0</v>
      </c>
      <c r="G28" s="123">
        <f t="shared" si="50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>
        <v>0</v>
      </c>
      <c r="AR28" s="123">
        <v>0</v>
      </c>
      <c r="AS28" s="399"/>
      <c r="AT28" s="442"/>
      <c r="AU28" s="121"/>
      <c r="AV28" s="121"/>
      <c r="AW28" s="155"/>
    </row>
    <row r="29" spans="1:49" s="31" customFormat="1" ht="34.5" customHeight="1">
      <c r="A29" s="469" t="s">
        <v>341</v>
      </c>
      <c r="B29" s="346" t="s">
        <v>342</v>
      </c>
      <c r="C29" s="349" t="s">
        <v>268</v>
      </c>
      <c r="D29" s="355" t="s">
        <v>343</v>
      </c>
      <c r="E29" s="248" t="s">
        <v>42</v>
      </c>
      <c r="F29" s="123">
        <f>SUM(F30:F31)</f>
        <v>70</v>
      </c>
      <c r="G29" s="123">
        <f>SUM(G30:G31)</f>
        <v>70</v>
      </c>
      <c r="H29" s="123">
        <f>G29/F29*100</f>
        <v>100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70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51">SUM(U30:U31)</f>
        <v>0</v>
      </c>
      <c r="V29" s="123">
        <f t="shared" si="51"/>
        <v>0</v>
      </c>
      <c r="W29" s="123">
        <f t="shared" si="51"/>
        <v>0</v>
      </c>
      <c r="X29" s="123">
        <f t="shared" si="51"/>
        <v>0</v>
      </c>
      <c r="Y29" s="123">
        <f t="shared" si="51"/>
        <v>61</v>
      </c>
      <c r="Z29" s="123">
        <v>0</v>
      </c>
      <c r="AA29" s="123">
        <f t="shared" si="51"/>
        <v>0</v>
      </c>
      <c r="AB29" s="123">
        <f t="shared" si="51"/>
        <v>9</v>
      </c>
      <c r="AC29" s="123">
        <v>0</v>
      </c>
      <c r="AD29" s="123">
        <f t="shared" si="51"/>
        <v>0</v>
      </c>
      <c r="AE29" s="123">
        <f t="shared" si="51"/>
        <v>0</v>
      </c>
      <c r="AF29" s="117">
        <v>0</v>
      </c>
      <c r="AG29" s="123">
        <f t="shared" si="51"/>
        <v>0</v>
      </c>
      <c r="AH29" s="123">
        <f t="shared" si="51"/>
        <v>0</v>
      </c>
      <c r="AI29" s="117">
        <v>0</v>
      </c>
      <c r="AJ29" s="123">
        <f t="shared" ref="AJ29:AR29" si="52">SUM(AJ30:AJ31)</f>
        <v>0</v>
      </c>
      <c r="AK29" s="123">
        <f t="shared" si="52"/>
        <v>0</v>
      </c>
      <c r="AL29" s="123">
        <f t="shared" si="52"/>
        <v>0</v>
      </c>
      <c r="AM29" s="123">
        <f t="shared" si="52"/>
        <v>0</v>
      </c>
      <c r="AN29" s="123">
        <f t="shared" si="52"/>
        <v>0</v>
      </c>
      <c r="AO29" s="123">
        <f t="shared" si="52"/>
        <v>0</v>
      </c>
      <c r="AP29" s="123">
        <f t="shared" si="52"/>
        <v>0</v>
      </c>
      <c r="AQ29" s="123">
        <f t="shared" si="52"/>
        <v>0</v>
      </c>
      <c r="AR29" s="123">
        <f t="shared" si="52"/>
        <v>0</v>
      </c>
      <c r="AS29" s="440" t="s">
        <v>444</v>
      </c>
      <c r="AT29" s="440"/>
      <c r="AU29" s="121"/>
      <c r="AV29" s="121"/>
      <c r="AW29" s="155"/>
    </row>
    <row r="30" spans="1:49" s="31" customFormat="1" ht="42" customHeight="1">
      <c r="A30" s="470"/>
      <c r="B30" s="347"/>
      <c r="C30" s="350"/>
      <c r="D30" s="356"/>
      <c r="E30" s="249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  <c r="AS30" s="441"/>
      <c r="AT30" s="441"/>
      <c r="AU30" s="121"/>
      <c r="AV30" s="121"/>
      <c r="AW30" s="155"/>
    </row>
    <row r="31" spans="1:49" s="31" customFormat="1" ht="40.5" customHeight="1">
      <c r="A31" s="470"/>
      <c r="B31" s="347"/>
      <c r="C31" s="350"/>
      <c r="D31" s="356"/>
      <c r="E31" s="249" t="s">
        <v>44</v>
      </c>
      <c r="F31" s="123">
        <f t="shared" ref="F31:G31" si="53">I31+L31+O31+R31+U31+X31+AA31+AD31+AG31+AJ31+AM31+AP31</f>
        <v>70</v>
      </c>
      <c r="G31" s="123">
        <f t="shared" si="53"/>
        <v>70</v>
      </c>
      <c r="H31" s="123">
        <f>G31/F31*100</f>
        <v>100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f>150-80</f>
        <v>70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61</v>
      </c>
      <c r="Z31" s="117">
        <v>0</v>
      </c>
      <c r="AA31" s="123">
        <v>0</v>
      </c>
      <c r="AB31" s="123">
        <v>9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  <c r="AS31" s="442"/>
      <c r="AT31" s="442"/>
      <c r="AU31" s="121"/>
      <c r="AV31" s="121"/>
      <c r="AW31" s="155"/>
    </row>
    <row r="32" spans="1:49" s="31" customFormat="1" ht="29.25" customHeight="1">
      <c r="A32" s="325" t="s">
        <v>344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7"/>
      <c r="AU32" s="121"/>
      <c r="AV32" s="121"/>
      <c r="AW32" s="155"/>
    </row>
    <row r="33" spans="1:49" s="100" customFormat="1" ht="22.5" customHeight="1">
      <c r="A33" s="481" t="s">
        <v>345</v>
      </c>
      <c r="B33" s="482"/>
      <c r="C33" s="482"/>
      <c r="D33" s="483"/>
      <c r="E33" s="245" t="s">
        <v>42</v>
      </c>
      <c r="F33" s="149">
        <f>F34+F35+F36</f>
        <v>36574.299999999996</v>
      </c>
      <c r="G33" s="149">
        <f t="shared" ref="G33:AQ33" si="54">G34+G35+G36</f>
        <v>36574.299999999996</v>
      </c>
      <c r="H33" s="149">
        <f>G33/F33*100</f>
        <v>100</v>
      </c>
      <c r="I33" s="149">
        <f t="shared" si="54"/>
        <v>556</v>
      </c>
      <c r="J33" s="149">
        <f t="shared" si="54"/>
        <v>556</v>
      </c>
      <c r="K33" s="149">
        <f>J33/I33*100</f>
        <v>100</v>
      </c>
      <c r="L33" s="149">
        <f t="shared" si="54"/>
        <v>2328</v>
      </c>
      <c r="M33" s="149">
        <f t="shared" si="54"/>
        <v>2369.3000000000002</v>
      </c>
      <c r="N33" s="149">
        <f>M33/L33*100</f>
        <v>101.77405498281789</v>
      </c>
      <c r="O33" s="149">
        <f t="shared" si="54"/>
        <v>2135.3000000000002</v>
      </c>
      <c r="P33" s="149">
        <f t="shared" si="54"/>
        <v>2216.8000000000002</v>
      </c>
      <c r="Q33" s="149">
        <f>P33/O33*100</f>
        <v>103.81679389312977</v>
      </c>
      <c r="R33" s="149">
        <f t="shared" si="54"/>
        <v>2750</v>
      </c>
      <c r="S33" s="149">
        <f t="shared" si="54"/>
        <v>2723.6</v>
      </c>
      <c r="T33" s="149">
        <f>S33/R33*100</f>
        <v>99.039999999999992</v>
      </c>
      <c r="U33" s="149">
        <f t="shared" si="54"/>
        <v>2729</v>
      </c>
      <c r="V33" s="149">
        <f t="shared" si="54"/>
        <v>2618.1999999999998</v>
      </c>
      <c r="W33" s="149">
        <f>V33/U33*100</f>
        <v>95.939904727006223</v>
      </c>
      <c r="X33" s="149">
        <f t="shared" si="54"/>
        <v>2698</v>
      </c>
      <c r="Y33" s="149">
        <f t="shared" si="54"/>
        <v>2693.9</v>
      </c>
      <c r="Z33" s="149">
        <f>Y33/X33*100</f>
        <v>99.848035581912526</v>
      </c>
      <c r="AA33" s="149">
        <f t="shared" si="54"/>
        <v>3350</v>
      </c>
      <c r="AB33" s="149">
        <f t="shared" si="54"/>
        <v>3331.4</v>
      </c>
      <c r="AC33" s="149">
        <f>AB33/AA33*100</f>
        <v>99.444776119402988</v>
      </c>
      <c r="AD33" s="149">
        <f t="shared" si="54"/>
        <v>1957.0000000000002</v>
      </c>
      <c r="AE33" s="149">
        <f t="shared" si="54"/>
        <v>1955.6</v>
      </c>
      <c r="AF33" s="149">
        <f>AE33/AD33*100</f>
        <v>99.928461931527835</v>
      </c>
      <c r="AG33" s="149">
        <f t="shared" si="54"/>
        <v>3488</v>
      </c>
      <c r="AH33" s="149">
        <f t="shared" si="54"/>
        <v>1564.2</v>
      </c>
      <c r="AI33" s="149">
        <f>AH33/AG33*100</f>
        <v>44.845183486238533</v>
      </c>
      <c r="AJ33" s="149">
        <f t="shared" si="54"/>
        <v>2400.6999999999998</v>
      </c>
      <c r="AK33" s="149">
        <f t="shared" si="54"/>
        <v>3462.9</v>
      </c>
      <c r="AL33" s="149">
        <f>AK33/AJ33*100</f>
        <v>144.2454284167118</v>
      </c>
      <c r="AM33" s="149">
        <f t="shared" si="54"/>
        <v>1449.7</v>
      </c>
      <c r="AN33" s="149">
        <f t="shared" si="54"/>
        <v>2349.8000000000002</v>
      </c>
      <c r="AO33" s="149">
        <f>AN33/AM33*100</f>
        <v>162.08870800855351</v>
      </c>
      <c r="AP33" s="149">
        <f t="shared" si="54"/>
        <v>10732.6</v>
      </c>
      <c r="AQ33" s="149">
        <f t="shared" si="54"/>
        <v>10732.6</v>
      </c>
      <c r="AR33" s="149">
        <f>AQ33/AP33*100</f>
        <v>100</v>
      </c>
      <c r="AS33" s="337"/>
      <c r="AT33" s="378"/>
      <c r="AU33" s="121"/>
      <c r="AV33" s="121"/>
      <c r="AW33" s="155"/>
    </row>
    <row r="34" spans="1:49" s="100" customFormat="1" ht="43.5" customHeight="1">
      <c r="A34" s="484"/>
      <c r="B34" s="485"/>
      <c r="C34" s="485"/>
      <c r="D34" s="486"/>
      <c r="E34" s="246" t="s">
        <v>3</v>
      </c>
      <c r="F34" s="149">
        <f t="shared" ref="F34:G36" si="55">F43</f>
        <v>34041.699999999997</v>
      </c>
      <c r="G34" s="149">
        <f t="shared" si="55"/>
        <v>34041.699999999997</v>
      </c>
      <c r="H34" s="149">
        <f>G34/F34*100</f>
        <v>100</v>
      </c>
      <c r="I34" s="149">
        <f t="shared" ref="I34:J36" si="56">I43</f>
        <v>0</v>
      </c>
      <c r="J34" s="149">
        <f t="shared" si="56"/>
        <v>0</v>
      </c>
      <c r="K34" s="149">
        <v>0</v>
      </c>
      <c r="L34" s="149">
        <f t="shared" ref="L34:M36" si="57">L43</f>
        <v>2178</v>
      </c>
      <c r="M34" s="149">
        <f t="shared" si="57"/>
        <v>2119.3000000000002</v>
      </c>
      <c r="N34" s="149">
        <f t="shared" ref="N34:N35" si="58">M34/L34*100</f>
        <v>97.304866850321403</v>
      </c>
      <c r="O34" s="149">
        <f t="shared" ref="O34:P36" si="59">O43</f>
        <v>1989</v>
      </c>
      <c r="P34" s="149">
        <f t="shared" si="59"/>
        <v>1963.8</v>
      </c>
      <c r="Q34" s="149">
        <f t="shared" ref="Q34:Q35" si="60">P34/O34*100</f>
        <v>98.733031674208135</v>
      </c>
      <c r="R34" s="149">
        <f t="shared" ref="R34:S36" si="61">R43</f>
        <v>2700</v>
      </c>
      <c r="S34" s="149">
        <f t="shared" si="61"/>
        <v>2673.6</v>
      </c>
      <c r="T34" s="149">
        <f t="shared" ref="T34:T35" si="62">S34/R34*100</f>
        <v>99.022222222222226</v>
      </c>
      <c r="U34" s="149">
        <f t="shared" ref="U34:AE34" si="63">U43</f>
        <v>2277</v>
      </c>
      <c r="V34" s="149">
        <f t="shared" si="63"/>
        <v>2166.1999999999998</v>
      </c>
      <c r="W34" s="149">
        <f t="shared" si="63"/>
        <v>95.133948177426433</v>
      </c>
      <c r="X34" s="149">
        <f t="shared" si="63"/>
        <v>2648</v>
      </c>
      <c r="Y34" s="149">
        <f t="shared" si="63"/>
        <v>2643.9</v>
      </c>
      <c r="Z34" s="149">
        <f t="shared" si="63"/>
        <v>99.845166163141997</v>
      </c>
      <c r="AA34" s="149">
        <f t="shared" si="63"/>
        <v>3300</v>
      </c>
      <c r="AB34" s="149">
        <f t="shared" si="63"/>
        <v>3281.4</v>
      </c>
      <c r="AC34" s="149">
        <f t="shared" si="63"/>
        <v>99.436363636363637</v>
      </c>
      <c r="AD34" s="149">
        <f t="shared" si="63"/>
        <v>1505.0000000000002</v>
      </c>
      <c r="AE34" s="149">
        <f t="shared" si="63"/>
        <v>1503.6</v>
      </c>
      <c r="AF34" s="149">
        <f t="shared" ref="AF34:AF35" si="64">AE34/AD34*100</f>
        <v>99.906976744186025</v>
      </c>
      <c r="AG34" s="149">
        <f t="shared" ref="AG34:AR34" si="65">AG43</f>
        <v>3438</v>
      </c>
      <c r="AH34" s="149">
        <f t="shared" si="65"/>
        <v>1514.2</v>
      </c>
      <c r="AI34" s="149">
        <f t="shared" si="65"/>
        <v>44.04304828388598</v>
      </c>
      <c r="AJ34" s="149">
        <f t="shared" si="65"/>
        <v>2294</v>
      </c>
      <c r="AK34" s="149">
        <f t="shared" si="65"/>
        <v>3462.9</v>
      </c>
      <c r="AL34" s="149">
        <f t="shared" si="65"/>
        <v>150.95466434176112</v>
      </c>
      <c r="AM34" s="149">
        <f t="shared" si="65"/>
        <v>1349.7</v>
      </c>
      <c r="AN34" s="149">
        <f t="shared" si="65"/>
        <v>2349.8000000000002</v>
      </c>
      <c r="AO34" s="149">
        <f t="shared" si="65"/>
        <v>174.09794769207974</v>
      </c>
      <c r="AP34" s="149">
        <f t="shared" si="65"/>
        <v>10363</v>
      </c>
      <c r="AQ34" s="149">
        <f t="shared" si="65"/>
        <v>10363</v>
      </c>
      <c r="AR34" s="149">
        <f t="shared" si="65"/>
        <v>100</v>
      </c>
      <c r="AS34" s="338"/>
      <c r="AT34" s="379"/>
      <c r="AU34" s="121"/>
      <c r="AV34" s="121"/>
      <c r="AW34" s="155"/>
    </row>
    <row r="35" spans="1:49" s="100" customFormat="1" ht="29.25" customHeight="1">
      <c r="A35" s="484"/>
      <c r="B35" s="485"/>
      <c r="C35" s="485"/>
      <c r="D35" s="486"/>
      <c r="E35" s="246" t="s">
        <v>44</v>
      </c>
      <c r="F35" s="149">
        <f t="shared" si="55"/>
        <v>2532.6</v>
      </c>
      <c r="G35" s="149">
        <f t="shared" si="55"/>
        <v>2532.6</v>
      </c>
      <c r="H35" s="149">
        <f>G35/F35*100</f>
        <v>100</v>
      </c>
      <c r="I35" s="149">
        <f t="shared" si="56"/>
        <v>556</v>
      </c>
      <c r="J35" s="149">
        <f t="shared" si="56"/>
        <v>556</v>
      </c>
      <c r="K35" s="149">
        <f t="shared" ref="K35" si="66">J35/I35*100</f>
        <v>100</v>
      </c>
      <c r="L35" s="149">
        <f t="shared" si="57"/>
        <v>150</v>
      </c>
      <c r="M35" s="149">
        <f t="shared" si="57"/>
        <v>250</v>
      </c>
      <c r="N35" s="149">
        <f t="shared" si="58"/>
        <v>166.66666666666669</v>
      </c>
      <c r="O35" s="149">
        <f t="shared" si="59"/>
        <v>146.30000000000001</v>
      </c>
      <c r="P35" s="149">
        <f t="shared" si="59"/>
        <v>253</v>
      </c>
      <c r="Q35" s="149">
        <f t="shared" si="60"/>
        <v>172.93233082706766</v>
      </c>
      <c r="R35" s="149">
        <f t="shared" si="61"/>
        <v>50</v>
      </c>
      <c r="S35" s="149">
        <f t="shared" si="61"/>
        <v>50</v>
      </c>
      <c r="T35" s="149">
        <f t="shared" si="62"/>
        <v>100</v>
      </c>
      <c r="U35" s="149">
        <f t="shared" ref="U35:AE35" si="67">U44</f>
        <v>452</v>
      </c>
      <c r="V35" s="149">
        <f t="shared" si="67"/>
        <v>452</v>
      </c>
      <c r="W35" s="149">
        <f t="shared" si="67"/>
        <v>100</v>
      </c>
      <c r="X35" s="149">
        <f t="shared" si="67"/>
        <v>50</v>
      </c>
      <c r="Y35" s="149">
        <f t="shared" si="67"/>
        <v>50</v>
      </c>
      <c r="Z35" s="149">
        <f t="shared" si="67"/>
        <v>100</v>
      </c>
      <c r="AA35" s="149">
        <f t="shared" si="67"/>
        <v>50</v>
      </c>
      <c r="AB35" s="149">
        <f t="shared" si="67"/>
        <v>50</v>
      </c>
      <c r="AC35" s="149">
        <f t="shared" si="67"/>
        <v>100</v>
      </c>
      <c r="AD35" s="149">
        <f t="shared" si="67"/>
        <v>452</v>
      </c>
      <c r="AE35" s="149">
        <f t="shared" si="67"/>
        <v>452</v>
      </c>
      <c r="AF35" s="149">
        <f t="shared" si="64"/>
        <v>100</v>
      </c>
      <c r="AG35" s="149">
        <f t="shared" ref="AG35:AR35" si="68">AG44</f>
        <v>50</v>
      </c>
      <c r="AH35" s="149">
        <f t="shared" si="68"/>
        <v>50</v>
      </c>
      <c r="AI35" s="149">
        <f t="shared" si="68"/>
        <v>100</v>
      </c>
      <c r="AJ35" s="149">
        <f t="shared" si="68"/>
        <v>106.7</v>
      </c>
      <c r="AK35" s="149">
        <f t="shared" si="68"/>
        <v>0</v>
      </c>
      <c r="AL35" s="149">
        <f t="shared" si="68"/>
        <v>0</v>
      </c>
      <c r="AM35" s="149">
        <f t="shared" si="68"/>
        <v>100</v>
      </c>
      <c r="AN35" s="149">
        <f t="shared" si="68"/>
        <v>0</v>
      </c>
      <c r="AO35" s="149">
        <f t="shared" si="68"/>
        <v>0</v>
      </c>
      <c r="AP35" s="149">
        <f t="shared" si="68"/>
        <v>369.6</v>
      </c>
      <c r="AQ35" s="149">
        <f t="shared" si="68"/>
        <v>369.6</v>
      </c>
      <c r="AR35" s="149">
        <f t="shared" si="68"/>
        <v>100</v>
      </c>
      <c r="AS35" s="338"/>
      <c r="AT35" s="379"/>
      <c r="AU35" s="121"/>
      <c r="AV35" s="121"/>
      <c r="AW35" s="155"/>
    </row>
    <row r="36" spans="1:49" s="100" customFormat="1" ht="28.5" customHeight="1">
      <c r="A36" s="487"/>
      <c r="B36" s="488"/>
      <c r="C36" s="488"/>
      <c r="D36" s="489"/>
      <c r="E36" s="247" t="s">
        <v>257</v>
      </c>
      <c r="F36" s="149">
        <f t="shared" si="55"/>
        <v>0</v>
      </c>
      <c r="G36" s="149">
        <f t="shared" si="55"/>
        <v>0</v>
      </c>
      <c r="H36" s="149">
        <v>0</v>
      </c>
      <c r="I36" s="149">
        <f t="shared" si="56"/>
        <v>0</v>
      </c>
      <c r="J36" s="149">
        <f t="shared" si="56"/>
        <v>0</v>
      </c>
      <c r="K36" s="149">
        <v>0</v>
      </c>
      <c r="L36" s="149">
        <f t="shared" si="57"/>
        <v>0</v>
      </c>
      <c r="M36" s="149">
        <f t="shared" si="57"/>
        <v>0</v>
      </c>
      <c r="N36" s="149">
        <v>0</v>
      </c>
      <c r="O36" s="149">
        <f t="shared" si="59"/>
        <v>0</v>
      </c>
      <c r="P36" s="149">
        <f t="shared" si="59"/>
        <v>0</v>
      </c>
      <c r="Q36" s="149">
        <f>Q45</f>
        <v>0</v>
      </c>
      <c r="R36" s="149">
        <f t="shared" si="61"/>
        <v>0</v>
      </c>
      <c r="S36" s="149">
        <f t="shared" si="61"/>
        <v>0</v>
      </c>
      <c r="T36" s="149">
        <v>0</v>
      </c>
      <c r="U36" s="149">
        <f t="shared" ref="U36:AE36" si="69">U45</f>
        <v>0</v>
      </c>
      <c r="V36" s="149">
        <f t="shared" si="69"/>
        <v>0</v>
      </c>
      <c r="W36" s="149">
        <f t="shared" si="69"/>
        <v>0</v>
      </c>
      <c r="X36" s="149">
        <f t="shared" si="69"/>
        <v>0</v>
      </c>
      <c r="Y36" s="149">
        <f t="shared" si="69"/>
        <v>0</v>
      </c>
      <c r="Z36" s="149">
        <f t="shared" si="69"/>
        <v>0</v>
      </c>
      <c r="AA36" s="149">
        <f t="shared" si="69"/>
        <v>0</v>
      </c>
      <c r="AB36" s="149">
        <f t="shared" si="69"/>
        <v>0</v>
      </c>
      <c r="AC36" s="149">
        <f t="shared" si="69"/>
        <v>0</v>
      </c>
      <c r="AD36" s="149">
        <f t="shared" si="69"/>
        <v>0</v>
      </c>
      <c r="AE36" s="149">
        <f t="shared" si="69"/>
        <v>0</v>
      </c>
      <c r="AF36" s="149">
        <f>AF45</f>
        <v>0</v>
      </c>
      <c r="AG36" s="149">
        <f t="shared" ref="AG36:AR36" si="70">AG45</f>
        <v>0</v>
      </c>
      <c r="AH36" s="149">
        <f t="shared" si="70"/>
        <v>0</v>
      </c>
      <c r="AI36" s="149">
        <f t="shared" si="70"/>
        <v>0</v>
      </c>
      <c r="AJ36" s="149">
        <f t="shared" si="70"/>
        <v>0</v>
      </c>
      <c r="AK36" s="149">
        <f t="shared" si="70"/>
        <v>0</v>
      </c>
      <c r="AL36" s="149">
        <f t="shared" si="70"/>
        <v>0</v>
      </c>
      <c r="AM36" s="149">
        <f t="shared" si="70"/>
        <v>0</v>
      </c>
      <c r="AN36" s="149">
        <f t="shared" si="70"/>
        <v>0</v>
      </c>
      <c r="AO36" s="149">
        <f t="shared" si="70"/>
        <v>0</v>
      </c>
      <c r="AP36" s="149">
        <f t="shared" si="70"/>
        <v>0</v>
      </c>
      <c r="AQ36" s="149">
        <f t="shared" si="70"/>
        <v>0</v>
      </c>
      <c r="AR36" s="149">
        <f t="shared" si="70"/>
        <v>0</v>
      </c>
      <c r="AS36" s="339"/>
      <c r="AT36" s="380"/>
      <c r="AU36" s="121"/>
      <c r="AV36" s="121"/>
      <c r="AW36" s="155"/>
    </row>
    <row r="37" spans="1:49" s="100" customFormat="1" ht="183" customHeight="1">
      <c r="A37" s="252" t="s">
        <v>347</v>
      </c>
      <c r="B37" s="253" t="s">
        <v>348</v>
      </c>
      <c r="C37" s="254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218" t="s">
        <v>455</v>
      </c>
      <c r="AT37" s="134"/>
      <c r="AU37" s="121"/>
      <c r="AV37" s="121"/>
      <c r="AW37" s="155"/>
    </row>
    <row r="38" spans="1:49" s="100" customFormat="1" ht="114" customHeight="1">
      <c r="A38" s="255" t="s">
        <v>351</v>
      </c>
      <c r="B38" s="231" t="s">
        <v>352</v>
      </c>
      <c r="C38" s="233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218" t="s">
        <v>456</v>
      </c>
      <c r="AT38" s="134"/>
      <c r="AU38" s="121"/>
      <c r="AV38" s="121"/>
      <c r="AW38" s="155"/>
    </row>
    <row r="39" spans="1:49" s="100" customFormat="1" ht="108.75" customHeight="1">
      <c r="A39" s="252" t="s">
        <v>355</v>
      </c>
      <c r="B39" s="231" t="s">
        <v>356</v>
      </c>
      <c r="C39" s="233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229" t="s">
        <v>457</v>
      </c>
      <c r="AT39" s="134"/>
      <c r="AU39" s="121"/>
      <c r="AV39" s="121"/>
      <c r="AW39" s="155"/>
    </row>
    <row r="40" spans="1:49" s="100" customFormat="1" ht="174.75" customHeight="1">
      <c r="A40" s="252" t="s">
        <v>359</v>
      </c>
      <c r="B40" s="231" t="s">
        <v>360</v>
      </c>
      <c r="C40" s="233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218" t="s">
        <v>458</v>
      </c>
      <c r="AT40" s="134"/>
      <c r="AU40" s="121"/>
      <c r="AV40" s="121"/>
      <c r="AW40" s="155"/>
    </row>
    <row r="41" spans="1:49" s="100" customFormat="1" ht="71.25" customHeight="1">
      <c r="A41" s="252" t="s">
        <v>361</v>
      </c>
      <c r="B41" s="231" t="s">
        <v>362</v>
      </c>
      <c r="C41" s="233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218" t="s">
        <v>459</v>
      </c>
      <c r="AT41" s="134"/>
      <c r="AU41" s="121"/>
      <c r="AV41" s="121"/>
      <c r="AW41" s="155"/>
    </row>
    <row r="42" spans="1:49" s="31" customFormat="1" ht="54.75" customHeight="1">
      <c r="A42" s="490" t="s">
        <v>365</v>
      </c>
      <c r="B42" s="346" t="s">
        <v>366</v>
      </c>
      <c r="C42" s="493" t="s">
        <v>269</v>
      </c>
      <c r="D42" s="355" t="s">
        <v>367</v>
      </c>
      <c r="E42" s="248" t="s">
        <v>42</v>
      </c>
      <c r="F42" s="123">
        <f>SUM(F43:F45)</f>
        <v>36574.299999999996</v>
      </c>
      <c r="G42" s="123">
        <f t="shared" ref="G42" si="71">SUM(G43:G45)</f>
        <v>36574.299999999996</v>
      </c>
      <c r="H42" s="123">
        <f>G42/F42*100</f>
        <v>100</v>
      </c>
      <c r="I42" s="132">
        <f>I43+I44+I45</f>
        <v>556</v>
      </c>
      <c r="J42" s="132">
        <f>J43+J44+J45</f>
        <v>556</v>
      </c>
      <c r="K42" s="123">
        <f t="shared" ref="K42:K44" si="72">J42/I42*100</f>
        <v>100</v>
      </c>
      <c r="L42" s="132">
        <f>L43+L44+L45</f>
        <v>2328</v>
      </c>
      <c r="M42" s="132">
        <f>M43+M44+M45</f>
        <v>2369.3000000000002</v>
      </c>
      <c r="N42" s="132">
        <f>M42/L42*100</f>
        <v>101.77405498281789</v>
      </c>
      <c r="O42" s="132">
        <f>O43+O44+O45</f>
        <v>2135.3000000000002</v>
      </c>
      <c r="P42" s="132">
        <f>P43+P44+P45</f>
        <v>2216.8000000000002</v>
      </c>
      <c r="Q42" s="123">
        <f t="shared" ref="Q42:Q44" si="73">P42/O42*100</f>
        <v>103.81679389312977</v>
      </c>
      <c r="R42" s="132">
        <f>R43+R44+R45</f>
        <v>2750</v>
      </c>
      <c r="S42" s="132">
        <f>S43+S44+S45</f>
        <v>2723.6</v>
      </c>
      <c r="T42" s="132">
        <f>S42/R42*100</f>
        <v>99.039999999999992</v>
      </c>
      <c r="U42" s="132">
        <f t="shared" ref="U42:AQ42" si="74">U43+U44+U45</f>
        <v>2729</v>
      </c>
      <c r="V42" s="132">
        <f t="shared" si="74"/>
        <v>2618.1999999999998</v>
      </c>
      <c r="W42" s="132">
        <f>V42/U42*100</f>
        <v>95.939904727006223</v>
      </c>
      <c r="X42" s="132">
        <f t="shared" si="74"/>
        <v>2698</v>
      </c>
      <c r="Y42" s="132">
        <f t="shared" si="74"/>
        <v>2693.9</v>
      </c>
      <c r="Z42" s="132">
        <f>Y42/X42*100</f>
        <v>99.848035581912526</v>
      </c>
      <c r="AA42" s="132">
        <f t="shared" si="74"/>
        <v>3350</v>
      </c>
      <c r="AB42" s="132">
        <f t="shared" si="74"/>
        <v>3331.4</v>
      </c>
      <c r="AC42" s="132">
        <f>AB42/AA42*100</f>
        <v>99.444776119402988</v>
      </c>
      <c r="AD42" s="132">
        <f t="shared" si="74"/>
        <v>1957.0000000000002</v>
      </c>
      <c r="AE42" s="132">
        <f t="shared" si="74"/>
        <v>1955.6</v>
      </c>
      <c r="AF42" s="132">
        <f>AE42/AD42*100</f>
        <v>99.928461931527835</v>
      </c>
      <c r="AG42" s="132">
        <f t="shared" si="74"/>
        <v>3488</v>
      </c>
      <c r="AH42" s="132">
        <f t="shared" si="74"/>
        <v>1564.2</v>
      </c>
      <c r="AI42" s="117">
        <f>AH42/AG42*100</f>
        <v>44.845183486238533</v>
      </c>
      <c r="AJ42" s="132">
        <f t="shared" si="74"/>
        <v>2400.6999999999998</v>
      </c>
      <c r="AK42" s="132">
        <f t="shared" si="74"/>
        <v>3462.9</v>
      </c>
      <c r="AL42" s="132">
        <f t="shared" si="74"/>
        <v>150.95466434176112</v>
      </c>
      <c r="AM42" s="132">
        <f t="shared" si="74"/>
        <v>1449.7</v>
      </c>
      <c r="AN42" s="132">
        <f t="shared" si="74"/>
        <v>2349.8000000000002</v>
      </c>
      <c r="AO42" s="132">
        <f>AO43+AO44+AO45</f>
        <v>174.09794769207974</v>
      </c>
      <c r="AP42" s="132">
        <f t="shared" si="74"/>
        <v>10732.6</v>
      </c>
      <c r="AQ42" s="132">
        <f t="shared" si="74"/>
        <v>10732.6</v>
      </c>
      <c r="AR42" s="123">
        <f>AQ42/AP42*100</f>
        <v>100</v>
      </c>
      <c r="AS42" s="397" t="s">
        <v>460</v>
      </c>
      <c r="AT42" s="496"/>
      <c r="AU42" s="121"/>
      <c r="AV42" s="121"/>
      <c r="AW42" s="155"/>
    </row>
    <row r="43" spans="1:49" s="31" customFormat="1" ht="64.5" customHeight="1">
      <c r="A43" s="491"/>
      <c r="B43" s="347"/>
      <c r="C43" s="494"/>
      <c r="D43" s="356"/>
      <c r="E43" s="249" t="s">
        <v>3</v>
      </c>
      <c r="F43" s="123">
        <f>I43+L43+O43+R43+U43+X43+AA43+AD43+AG43+AJ43+AM43+AP43</f>
        <v>34041.699999999997</v>
      </c>
      <c r="G43" s="123">
        <f>J43+M43+P43+S43+V43+Y43+AB43+AE43+AH43+AK43+AN43+AQ43</f>
        <v>34041.699999999997</v>
      </c>
      <c r="H43" s="123">
        <f>G43/F43*100</f>
        <v>100</v>
      </c>
      <c r="I43" s="123">
        <v>0</v>
      </c>
      <c r="J43" s="123">
        <v>0</v>
      </c>
      <c r="K43" s="123">
        <v>0</v>
      </c>
      <c r="L43" s="150">
        <v>2178</v>
      </c>
      <c r="M43" s="123">
        <v>2119.3000000000002</v>
      </c>
      <c r="N43" s="138">
        <f t="shared" ref="N43:N44" si="75">M43/L43*100</f>
        <v>97.304866850321403</v>
      </c>
      <c r="O43" s="123">
        <v>1989</v>
      </c>
      <c r="P43" s="123">
        <v>1963.8</v>
      </c>
      <c r="Q43" s="123">
        <f t="shared" si="73"/>
        <v>98.733031674208135</v>
      </c>
      <c r="R43" s="123">
        <f>3010-310</f>
        <v>2700</v>
      </c>
      <c r="S43" s="123">
        <v>2673.6</v>
      </c>
      <c r="T43" s="132">
        <f t="shared" ref="T43:T44" si="76">S43/R43*100</f>
        <v>99.022222222222226</v>
      </c>
      <c r="U43" s="117">
        <f>2037+310-70</f>
        <v>2277</v>
      </c>
      <c r="V43" s="117">
        <v>2166.1999999999998</v>
      </c>
      <c r="W43" s="132">
        <f t="shared" ref="W43:W44" si="77">V43/U43*100</f>
        <v>95.133948177426433</v>
      </c>
      <c r="X43" s="117">
        <f>2578+70</f>
        <v>2648</v>
      </c>
      <c r="Y43" s="117">
        <v>2643.9</v>
      </c>
      <c r="Z43" s="117">
        <f>Y43/X43*100</f>
        <v>99.845166163141997</v>
      </c>
      <c r="AA43" s="117">
        <f>3526-226</f>
        <v>3300</v>
      </c>
      <c r="AB43" s="117">
        <v>3281.4</v>
      </c>
      <c r="AC43" s="117">
        <f>AB43/AA43*100</f>
        <v>99.436363636363637</v>
      </c>
      <c r="AD43" s="117">
        <f>2117+226-125.2-712.8</f>
        <v>1505.0000000000002</v>
      </c>
      <c r="AE43" s="117">
        <v>1503.6</v>
      </c>
      <c r="AF43" s="117">
        <f>AE43/AD43*100</f>
        <v>99.906976744186025</v>
      </c>
      <c r="AG43" s="117">
        <f>2494+106+712.8+125.2</f>
        <v>3438</v>
      </c>
      <c r="AH43" s="117">
        <v>1514.2</v>
      </c>
      <c r="AI43" s="117">
        <f>AH43/AG43*100</f>
        <v>44.04304828388598</v>
      </c>
      <c r="AJ43" s="123">
        <f>3462.9-1168.9</f>
        <v>2294</v>
      </c>
      <c r="AK43" s="123">
        <v>3462.9</v>
      </c>
      <c r="AL43" s="123">
        <f>AK43/AJ43*100</f>
        <v>150.95466434176112</v>
      </c>
      <c r="AM43" s="117">
        <v>1349.7</v>
      </c>
      <c r="AN43" s="117">
        <v>2349.8000000000002</v>
      </c>
      <c r="AO43" s="117">
        <f>AN43/AM43*100</f>
        <v>174.09794769207974</v>
      </c>
      <c r="AP43" s="123">
        <v>10363</v>
      </c>
      <c r="AQ43" s="123">
        <v>10363</v>
      </c>
      <c r="AR43" s="123">
        <f>AQ43/AP43*100</f>
        <v>100</v>
      </c>
      <c r="AS43" s="398"/>
      <c r="AT43" s="497"/>
      <c r="AU43" s="121"/>
      <c r="AV43" s="121"/>
      <c r="AW43" s="155"/>
    </row>
    <row r="44" spans="1:49" s="31" customFormat="1" ht="51" customHeight="1">
      <c r="A44" s="491"/>
      <c r="B44" s="347"/>
      <c r="C44" s="494"/>
      <c r="D44" s="356"/>
      <c r="E44" s="249" t="s">
        <v>44</v>
      </c>
      <c r="F44" s="123">
        <f t="shared" ref="F44:G45" si="78">I44+L44+O44+R44+U44+X44+AA44+AD44+AG44+AJ44+AM44+AP44</f>
        <v>2532.6</v>
      </c>
      <c r="G44" s="123">
        <f t="shared" si="78"/>
        <v>2532.6</v>
      </c>
      <c r="H44" s="123">
        <f>G44/F44*100</f>
        <v>100</v>
      </c>
      <c r="I44" s="123">
        <v>556</v>
      </c>
      <c r="J44" s="123">
        <v>556</v>
      </c>
      <c r="K44" s="123">
        <f t="shared" si="72"/>
        <v>100</v>
      </c>
      <c r="L44" s="150">
        <f>250-100</f>
        <v>150</v>
      </c>
      <c r="M44" s="123">
        <v>250</v>
      </c>
      <c r="N44" s="138">
        <f t="shared" si="75"/>
        <v>166.66666666666669</v>
      </c>
      <c r="O44" s="123">
        <f>253-106.7</f>
        <v>146.30000000000001</v>
      </c>
      <c r="P44" s="123">
        <v>253</v>
      </c>
      <c r="Q44" s="123">
        <f t="shared" si="73"/>
        <v>172.93233082706766</v>
      </c>
      <c r="R44" s="123">
        <v>50</v>
      </c>
      <c r="S44" s="123">
        <v>50</v>
      </c>
      <c r="T44" s="132">
        <f t="shared" si="76"/>
        <v>100</v>
      </c>
      <c r="U44" s="117">
        <v>452</v>
      </c>
      <c r="V44" s="117">
        <v>452</v>
      </c>
      <c r="W44" s="132">
        <f t="shared" si="77"/>
        <v>100</v>
      </c>
      <c r="X44" s="117">
        <v>50</v>
      </c>
      <c r="Y44" s="117">
        <v>50</v>
      </c>
      <c r="Z44" s="117">
        <f>Y44/X44*100</f>
        <v>100</v>
      </c>
      <c r="AA44" s="117">
        <v>50</v>
      </c>
      <c r="AB44" s="117">
        <v>50</v>
      </c>
      <c r="AC44" s="117">
        <f>AB44/AA44*100</f>
        <v>100</v>
      </c>
      <c r="AD44" s="117">
        <v>452</v>
      </c>
      <c r="AE44" s="117">
        <v>452</v>
      </c>
      <c r="AF44" s="117">
        <f>AE44/AD44*100</f>
        <v>100</v>
      </c>
      <c r="AG44" s="117">
        <v>50</v>
      </c>
      <c r="AH44" s="117">
        <v>50</v>
      </c>
      <c r="AI44" s="117">
        <f>AH44/AG44*100</f>
        <v>100</v>
      </c>
      <c r="AJ44" s="123">
        <v>106.7</v>
      </c>
      <c r="AK44" s="123">
        <v>0</v>
      </c>
      <c r="AL44" s="123">
        <v>0</v>
      </c>
      <c r="AM44" s="117">
        <v>100</v>
      </c>
      <c r="AN44" s="117">
        <v>0</v>
      </c>
      <c r="AO44" s="117">
        <v>0</v>
      </c>
      <c r="AP44" s="123">
        <v>369.6</v>
      </c>
      <c r="AQ44" s="123">
        <v>369.6</v>
      </c>
      <c r="AR44" s="123">
        <f>AQ44/AP44*100</f>
        <v>100</v>
      </c>
      <c r="AS44" s="398"/>
      <c r="AT44" s="497"/>
      <c r="AU44" s="121"/>
      <c r="AV44" s="121"/>
      <c r="AW44" s="155"/>
    </row>
    <row r="45" spans="1:49" s="31" customFormat="1" ht="61.5" customHeight="1">
      <c r="A45" s="492"/>
      <c r="B45" s="348"/>
      <c r="C45" s="495"/>
      <c r="D45" s="362"/>
      <c r="E45" s="143" t="s">
        <v>257</v>
      </c>
      <c r="F45" s="123">
        <f t="shared" si="78"/>
        <v>0</v>
      </c>
      <c r="G45" s="123">
        <f t="shared" si="78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23">
        <v>0</v>
      </c>
      <c r="AR45" s="123">
        <v>0</v>
      </c>
      <c r="AS45" s="399"/>
      <c r="AT45" s="498"/>
      <c r="AU45" s="121"/>
      <c r="AV45" s="121"/>
      <c r="AW45" s="155"/>
    </row>
    <row r="46" spans="1:49" s="31" customFormat="1" ht="21.75" customHeight="1">
      <c r="A46" s="325" t="s">
        <v>368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7"/>
      <c r="AU46" s="121"/>
      <c r="AV46" s="121"/>
      <c r="AW46" s="155"/>
    </row>
    <row r="47" spans="1:49" s="31" customFormat="1" ht="26.25" customHeight="1">
      <c r="A47" s="325" t="s">
        <v>369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7"/>
      <c r="AU47" s="121"/>
      <c r="AV47" s="121"/>
      <c r="AW47" s="155"/>
    </row>
    <row r="48" spans="1:49" s="100" customFormat="1" ht="19.5" customHeight="1">
      <c r="A48" s="481" t="s">
        <v>270</v>
      </c>
      <c r="B48" s="482"/>
      <c r="C48" s="482"/>
      <c r="D48" s="483"/>
      <c r="E48" s="245" t="s">
        <v>42</v>
      </c>
      <c r="F48" s="149">
        <f>F49+F50+F51</f>
        <v>757.3</v>
      </c>
      <c r="G48" s="149">
        <f t="shared" ref="G48:AR48" si="79">G49+G50+G51</f>
        <v>692.2</v>
      </c>
      <c r="H48" s="149">
        <f>G48/F48*100</f>
        <v>91.403670936220792</v>
      </c>
      <c r="I48" s="149">
        <f t="shared" si="79"/>
        <v>0</v>
      </c>
      <c r="J48" s="149">
        <f t="shared" si="79"/>
        <v>0</v>
      </c>
      <c r="K48" s="149">
        <v>0</v>
      </c>
      <c r="L48" s="149">
        <f t="shared" si="79"/>
        <v>0</v>
      </c>
      <c r="M48" s="149">
        <f t="shared" si="79"/>
        <v>0</v>
      </c>
      <c r="N48" s="149">
        <v>0</v>
      </c>
      <c r="O48" s="149">
        <f t="shared" si="79"/>
        <v>0</v>
      </c>
      <c r="P48" s="149">
        <f t="shared" si="79"/>
        <v>0</v>
      </c>
      <c r="Q48" s="149">
        <v>0</v>
      </c>
      <c r="R48" s="149">
        <f t="shared" si="79"/>
        <v>5</v>
      </c>
      <c r="S48" s="149">
        <f t="shared" si="79"/>
        <v>5</v>
      </c>
      <c r="T48" s="149">
        <f t="shared" ref="G48:AR51" si="80">T56</f>
        <v>100</v>
      </c>
      <c r="U48" s="149">
        <f t="shared" si="79"/>
        <v>84.6</v>
      </c>
      <c r="V48" s="149">
        <f t="shared" si="79"/>
        <v>83.5</v>
      </c>
      <c r="W48" s="149">
        <f t="shared" si="79"/>
        <v>98.699763593380624</v>
      </c>
      <c r="X48" s="149">
        <f t="shared" si="79"/>
        <v>29.899999999999977</v>
      </c>
      <c r="Y48" s="149">
        <f t="shared" si="79"/>
        <v>29.9</v>
      </c>
      <c r="Z48" s="149">
        <f t="shared" si="79"/>
        <v>100.00000000000007</v>
      </c>
      <c r="AA48" s="149">
        <f t="shared" si="79"/>
        <v>0</v>
      </c>
      <c r="AB48" s="149">
        <f t="shared" si="79"/>
        <v>0</v>
      </c>
      <c r="AC48" s="149">
        <f t="shared" si="79"/>
        <v>0</v>
      </c>
      <c r="AD48" s="149">
        <f t="shared" si="79"/>
        <v>48</v>
      </c>
      <c r="AE48" s="149">
        <f t="shared" si="79"/>
        <v>48</v>
      </c>
      <c r="AF48" s="149">
        <f t="shared" si="79"/>
        <v>100</v>
      </c>
      <c r="AG48" s="149">
        <f t="shared" si="79"/>
        <v>242.09999999999997</v>
      </c>
      <c r="AH48" s="149">
        <f t="shared" si="79"/>
        <v>174.9</v>
      </c>
      <c r="AI48" s="149">
        <f t="shared" si="79"/>
        <v>72.242874845105348</v>
      </c>
      <c r="AJ48" s="149">
        <f t="shared" si="79"/>
        <v>212.8</v>
      </c>
      <c r="AK48" s="149">
        <f t="shared" si="79"/>
        <v>212.8</v>
      </c>
      <c r="AL48" s="149">
        <f t="shared" si="79"/>
        <v>100</v>
      </c>
      <c r="AM48" s="149">
        <f t="shared" si="79"/>
        <v>70.099999999999994</v>
      </c>
      <c r="AN48" s="149">
        <f t="shared" si="79"/>
        <v>70.099999999999994</v>
      </c>
      <c r="AO48" s="149">
        <f t="shared" si="79"/>
        <v>100</v>
      </c>
      <c r="AP48" s="149">
        <f t="shared" si="79"/>
        <v>64.800000000000011</v>
      </c>
      <c r="AQ48" s="149">
        <f t="shared" si="79"/>
        <v>68</v>
      </c>
      <c r="AR48" s="149">
        <f t="shared" si="79"/>
        <v>104.93827160493825</v>
      </c>
      <c r="AS48" s="337"/>
      <c r="AT48" s="378"/>
      <c r="AU48" s="121"/>
      <c r="AV48" s="121"/>
      <c r="AW48" s="155"/>
    </row>
    <row r="49" spans="1:49" s="100" customFormat="1" ht="38.25" customHeight="1">
      <c r="A49" s="484"/>
      <c r="B49" s="485"/>
      <c r="C49" s="485"/>
      <c r="D49" s="486"/>
      <c r="E49" s="246" t="s">
        <v>3</v>
      </c>
      <c r="F49" s="149">
        <f>F57</f>
        <v>0</v>
      </c>
      <c r="G49" s="149">
        <f t="shared" si="80"/>
        <v>0</v>
      </c>
      <c r="H49" s="149">
        <v>0</v>
      </c>
      <c r="I49" s="149">
        <f t="shared" si="80"/>
        <v>0</v>
      </c>
      <c r="J49" s="149">
        <f t="shared" si="80"/>
        <v>0</v>
      </c>
      <c r="K49" s="149">
        <v>0</v>
      </c>
      <c r="L49" s="149">
        <f t="shared" si="80"/>
        <v>0</v>
      </c>
      <c r="M49" s="149">
        <f t="shared" si="80"/>
        <v>0</v>
      </c>
      <c r="N49" s="149">
        <v>0</v>
      </c>
      <c r="O49" s="149">
        <f t="shared" si="80"/>
        <v>0</v>
      </c>
      <c r="P49" s="149">
        <f t="shared" si="80"/>
        <v>0</v>
      </c>
      <c r="Q49" s="149">
        <v>0</v>
      </c>
      <c r="R49" s="149">
        <f t="shared" si="80"/>
        <v>0</v>
      </c>
      <c r="S49" s="149">
        <f t="shared" si="80"/>
        <v>0</v>
      </c>
      <c r="T49" s="149">
        <f t="shared" si="80"/>
        <v>0</v>
      </c>
      <c r="U49" s="149">
        <f t="shared" si="80"/>
        <v>0</v>
      </c>
      <c r="V49" s="149">
        <f t="shared" si="80"/>
        <v>0</v>
      </c>
      <c r="W49" s="149">
        <f t="shared" si="80"/>
        <v>0</v>
      </c>
      <c r="X49" s="149">
        <f t="shared" si="80"/>
        <v>0</v>
      </c>
      <c r="Y49" s="149">
        <f t="shared" si="80"/>
        <v>0</v>
      </c>
      <c r="Z49" s="149">
        <f t="shared" si="80"/>
        <v>0</v>
      </c>
      <c r="AA49" s="149">
        <f t="shared" si="80"/>
        <v>0</v>
      </c>
      <c r="AB49" s="149">
        <f t="shared" si="80"/>
        <v>0</v>
      </c>
      <c r="AC49" s="149">
        <f t="shared" si="80"/>
        <v>0</v>
      </c>
      <c r="AD49" s="149">
        <f t="shared" si="80"/>
        <v>0</v>
      </c>
      <c r="AE49" s="149">
        <f t="shared" si="80"/>
        <v>0</v>
      </c>
      <c r="AF49" s="149">
        <f t="shared" si="80"/>
        <v>0</v>
      </c>
      <c r="AG49" s="149">
        <f t="shared" si="80"/>
        <v>0</v>
      </c>
      <c r="AH49" s="149">
        <f t="shared" si="80"/>
        <v>0</v>
      </c>
      <c r="AI49" s="149">
        <f t="shared" si="80"/>
        <v>0</v>
      </c>
      <c r="AJ49" s="149">
        <f t="shared" si="80"/>
        <v>0</v>
      </c>
      <c r="AK49" s="149">
        <f t="shared" si="80"/>
        <v>0</v>
      </c>
      <c r="AL49" s="149">
        <f t="shared" si="80"/>
        <v>0</v>
      </c>
      <c r="AM49" s="149">
        <f t="shared" si="80"/>
        <v>0</v>
      </c>
      <c r="AN49" s="149">
        <f t="shared" si="80"/>
        <v>0</v>
      </c>
      <c r="AO49" s="149">
        <f t="shared" si="80"/>
        <v>0</v>
      </c>
      <c r="AP49" s="149">
        <f t="shared" si="80"/>
        <v>0</v>
      </c>
      <c r="AQ49" s="149">
        <f t="shared" si="80"/>
        <v>0</v>
      </c>
      <c r="AR49" s="149">
        <f t="shared" si="80"/>
        <v>0</v>
      </c>
      <c r="AS49" s="338"/>
      <c r="AT49" s="379"/>
      <c r="AU49" s="121"/>
      <c r="AV49" s="121"/>
      <c r="AW49" s="155"/>
    </row>
    <row r="50" spans="1:49" s="100" customFormat="1" ht="31.5" customHeight="1">
      <c r="A50" s="484"/>
      <c r="B50" s="485"/>
      <c r="C50" s="485"/>
      <c r="D50" s="486"/>
      <c r="E50" s="246" t="s">
        <v>44</v>
      </c>
      <c r="F50" s="149">
        <f>F58</f>
        <v>757.3</v>
      </c>
      <c r="G50" s="149">
        <f t="shared" si="80"/>
        <v>692.2</v>
      </c>
      <c r="H50" s="149">
        <f>G50/F50*100</f>
        <v>91.403670936220792</v>
      </c>
      <c r="I50" s="149">
        <f t="shared" si="80"/>
        <v>0</v>
      </c>
      <c r="J50" s="149">
        <f t="shared" si="80"/>
        <v>0</v>
      </c>
      <c r="K50" s="149">
        <v>0</v>
      </c>
      <c r="L50" s="149">
        <f t="shared" si="80"/>
        <v>0</v>
      </c>
      <c r="M50" s="149">
        <f t="shared" si="80"/>
        <v>0</v>
      </c>
      <c r="N50" s="149">
        <v>0</v>
      </c>
      <c r="O50" s="149">
        <f t="shared" si="80"/>
        <v>0</v>
      </c>
      <c r="P50" s="149">
        <f t="shared" si="80"/>
        <v>0</v>
      </c>
      <c r="Q50" s="149">
        <v>0</v>
      </c>
      <c r="R50" s="149">
        <f t="shared" si="80"/>
        <v>5</v>
      </c>
      <c r="S50" s="149">
        <f t="shared" si="80"/>
        <v>5</v>
      </c>
      <c r="T50" s="149">
        <f t="shared" si="80"/>
        <v>100</v>
      </c>
      <c r="U50" s="149">
        <f t="shared" si="80"/>
        <v>84.6</v>
      </c>
      <c r="V50" s="149">
        <f t="shared" si="80"/>
        <v>83.5</v>
      </c>
      <c r="W50" s="149">
        <f t="shared" si="80"/>
        <v>98.699763593380624</v>
      </c>
      <c r="X50" s="149">
        <f t="shared" si="80"/>
        <v>29.899999999999977</v>
      </c>
      <c r="Y50" s="149">
        <f t="shared" si="80"/>
        <v>29.9</v>
      </c>
      <c r="Z50" s="149">
        <f t="shared" si="80"/>
        <v>100.00000000000007</v>
      </c>
      <c r="AA50" s="149">
        <f t="shared" si="80"/>
        <v>0</v>
      </c>
      <c r="AB50" s="149">
        <f t="shared" si="80"/>
        <v>0</v>
      </c>
      <c r="AC50" s="149">
        <f t="shared" si="80"/>
        <v>0</v>
      </c>
      <c r="AD50" s="149">
        <f t="shared" si="80"/>
        <v>48</v>
      </c>
      <c r="AE50" s="149">
        <f t="shared" si="80"/>
        <v>48</v>
      </c>
      <c r="AF50" s="149">
        <f t="shared" si="80"/>
        <v>100</v>
      </c>
      <c r="AG50" s="149">
        <f t="shared" si="80"/>
        <v>242.09999999999997</v>
      </c>
      <c r="AH50" s="149">
        <f t="shared" si="80"/>
        <v>174.9</v>
      </c>
      <c r="AI50" s="149">
        <f t="shared" si="80"/>
        <v>72.242874845105348</v>
      </c>
      <c r="AJ50" s="149">
        <f>AJ58</f>
        <v>212.8</v>
      </c>
      <c r="AK50" s="149">
        <f t="shared" si="80"/>
        <v>212.8</v>
      </c>
      <c r="AL50" s="149">
        <f t="shared" si="80"/>
        <v>100</v>
      </c>
      <c r="AM50" s="149">
        <f t="shared" si="80"/>
        <v>70.099999999999994</v>
      </c>
      <c r="AN50" s="149">
        <f t="shared" si="80"/>
        <v>70.099999999999994</v>
      </c>
      <c r="AO50" s="149">
        <f t="shared" si="80"/>
        <v>100</v>
      </c>
      <c r="AP50" s="149">
        <f t="shared" si="80"/>
        <v>64.800000000000011</v>
      </c>
      <c r="AQ50" s="149">
        <f t="shared" si="80"/>
        <v>68</v>
      </c>
      <c r="AR50" s="149">
        <f t="shared" si="80"/>
        <v>104.93827160493825</v>
      </c>
      <c r="AS50" s="338"/>
      <c r="AT50" s="379"/>
      <c r="AU50" s="121"/>
      <c r="AV50" s="121"/>
      <c r="AW50" s="155"/>
    </row>
    <row r="51" spans="1:49" s="100" customFormat="1" ht="30" customHeight="1">
      <c r="A51" s="487"/>
      <c r="B51" s="488"/>
      <c r="C51" s="488"/>
      <c r="D51" s="489"/>
      <c r="E51" s="247" t="s">
        <v>257</v>
      </c>
      <c r="F51" s="149">
        <f>F59</f>
        <v>0</v>
      </c>
      <c r="G51" s="149">
        <f t="shared" si="80"/>
        <v>0</v>
      </c>
      <c r="H51" s="149">
        <v>0</v>
      </c>
      <c r="I51" s="149">
        <f t="shared" si="80"/>
        <v>0</v>
      </c>
      <c r="J51" s="149">
        <f t="shared" si="80"/>
        <v>0</v>
      </c>
      <c r="K51" s="149">
        <f t="shared" si="80"/>
        <v>0</v>
      </c>
      <c r="L51" s="149">
        <f t="shared" si="80"/>
        <v>0</v>
      </c>
      <c r="M51" s="149">
        <f t="shared" si="80"/>
        <v>0</v>
      </c>
      <c r="N51" s="149">
        <v>0</v>
      </c>
      <c r="O51" s="149">
        <f t="shared" si="80"/>
        <v>0</v>
      </c>
      <c r="P51" s="149">
        <f t="shared" si="80"/>
        <v>0</v>
      </c>
      <c r="Q51" s="149">
        <f t="shared" si="80"/>
        <v>0</v>
      </c>
      <c r="R51" s="149">
        <f t="shared" si="80"/>
        <v>0</v>
      </c>
      <c r="S51" s="149">
        <f t="shared" si="80"/>
        <v>0</v>
      </c>
      <c r="T51" s="149">
        <f t="shared" si="80"/>
        <v>0</v>
      </c>
      <c r="U51" s="149">
        <f t="shared" si="80"/>
        <v>0</v>
      </c>
      <c r="V51" s="149">
        <f t="shared" si="80"/>
        <v>0</v>
      </c>
      <c r="W51" s="149">
        <f t="shared" si="80"/>
        <v>0</v>
      </c>
      <c r="X51" s="149">
        <f t="shared" si="80"/>
        <v>0</v>
      </c>
      <c r="Y51" s="149">
        <f t="shared" si="80"/>
        <v>0</v>
      </c>
      <c r="Z51" s="149">
        <f t="shared" si="80"/>
        <v>0</v>
      </c>
      <c r="AA51" s="149">
        <f t="shared" si="80"/>
        <v>0</v>
      </c>
      <c r="AB51" s="149">
        <f t="shared" si="80"/>
        <v>0</v>
      </c>
      <c r="AC51" s="149">
        <f t="shared" si="80"/>
        <v>0</v>
      </c>
      <c r="AD51" s="149">
        <f t="shared" si="80"/>
        <v>0</v>
      </c>
      <c r="AE51" s="149">
        <f t="shared" si="80"/>
        <v>0</v>
      </c>
      <c r="AF51" s="149">
        <f t="shared" si="80"/>
        <v>0</v>
      </c>
      <c r="AG51" s="149">
        <f t="shared" si="80"/>
        <v>0</v>
      </c>
      <c r="AH51" s="149">
        <f t="shared" si="80"/>
        <v>0</v>
      </c>
      <c r="AI51" s="149">
        <f t="shared" si="80"/>
        <v>0</v>
      </c>
      <c r="AJ51" s="149">
        <f t="shared" si="80"/>
        <v>0</v>
      </c>
      <c r="AK51" s="149">
        <f t="shared" si="80"/>
        <v>0</v>
      </c>
      <c r="AL51" s="149">
        <f t="shared" si="80"/>
        <v>0</v>
      </c>
      <c r="AM51" s="149">
        <f t="shared" si="80"/>
        <v>0</v>
      </c>
      <c r="AN51" s="149">
        <f t="shared" si="80"/>
        <v>0</v>
      </c>
      <c r="AO51" s="149">
        <f t="shared" si="80"/>
        <v>0</v>
      </c>
      <c r="AP51" s="149">
        <f t="shared" si="80"/>
        <v>0</v>
      </c>
      <c r="AQ51" s="149">
        <f t="shared" si="80"/>
        <v>0</v>
      </c>
      <c r="AR51" s="149">
        <f t="shared" si="80"/>
        <v>0</v>
      </c>
      <c r="AS51" s="339"/>
      <c r="AT51" s="380"/>
      <c r="AU51" s="121"/>
      <c r="AV51" s="121"/>
      <c r="AW51" s="155"/>
    </row>
    <row r="52" spans="1:49" s="100" customFormat="1" ht="98.25" customHeight="1">
      <c r="A52" s="256" t="s">
        <v>370</v>
      </c>
      <c r="B52" s="253" t="s">
        <v>371</v>
      </c>
      <c r="C52" s="254" t="s">
        <v>276</v>
      </c>
      <c r="D52" s="171" t="s">
        <v>372</v>
      </c>
      <c r="E52" s="143" t="s">
        <v>275</v>
      </c>
      <c r="F52" s="149" t="s">
        <v>279</v>
      </c>
      <c r="G52" s="149" t="s">
        <v>279</v>
      </c>
      <c r="H52" s="149" t="s">
        <v>279</v>
      </c>
      <c r="I52" s="149" t="s">
        <v>279</v>
      </c>
      <c r="J52" s="149" t="s">
        <v>279</v>
      </c>
      <c r="K52" s="149" t="s">
        <v>279</v>
      </c>
      <c r="L52" s="149" t="s">
        <v>279</v>
      </c>
      <c r="M52" s="149" t="s">
        <v>279</v>
      </c>
      <c r="N52" s="149" t="s">
        <v>279</v>
      </c>
      <c r="O52" s="149" t="s">
        <v>279</v>
      </c>
      <c r="P52" s="149" t="s">
        <v>279</v>
      </c>
      <c r="Q52" s="149" t="s">
        <v>279</v>
      </c>
      <c r="R52" s="149" t="s">
        <v>279</v>
      </c>
      <c r="S52" s="149" t="s">
        <v>279</v>
      </c>
      <c r="T52" s="149" t="s">
        <v>279</v>
      </c>
      <c r="U52" s="149" t="s">
        <v>279</v>
      </c>
      <c r="V52" s="149" t="s">
        <v>279</v>
      </c>
      <c r="W52" s="149" t="s">
        <v>279</v>
      </c>
      <c r="X52" s="149" t="s">
        <v>279</v>
      </c>
      <c r="Y52" s="149" t="s">
        <v>279</v>
      </c>
      <c r="Z52" s="149" t="s">
        <v>279</v>
      </c>
      <c r="AA52" s="149" t="s">
        <v>279</v>
      </c>
      <c r="AB52" s="149" t="s">
        <v>279</v>
      </c>
      <c r="AC52" s="149" t="s">
        <v>279</v>
      </c>
      <c r="AD52" s="149" t="s">
        <v>279</v>
      </c>
      <c r="AE52" s="149" t="s">
        <v>279</v>
      </c>
      <c r="AF52" s="149" t="s">
        <v>279</v>
      </c>
      <c r="AG52" s="149" t="s">
        <v>279</v>
      </c>
      <c r="AH52" s="149" t="s">
        <v>279</v>
      </c>
      <c r="AI52" s="149" t="s">
        <v>279</v>
      </c>
      <c r="AJ52" s="149" t="s">
        <v>279</v>
      </c>
      <c r="AK52" s="149" t="s">
        <v>279</v>
      </c>
      <c r="AL52" s="149" t="s">
        <v>279</v>
      </c>
      <c r="AM52" s="149" t="s">
        <v>279</v>
      </c>
      <c r="AN52" s="149" t="s">
        <v>279</v>
      </c>
      <c r="AO52" s="149" t="s">
        <v>279</v>
      </c>
      <c r="AP52" s="149" t="s">
        <v>279</v>
      </c>
      <c r="AQ52" s="149" t="s">
        <v>279</v>
      </c>
      <c r="AR52" s="149" t="s">
        <v>279</v>
      </c>
      <c r="AS52" s="145" t="s">
        <v>447</v>
      </c>
      <c r="AT52" s="214"/>
      <c r="AU52" s="121"/>
      <c r="AV52" s="121"/>
      <c r="AW52" s="155"/>
    </row>
    <row r="53" spans="1:49" s="100" customFormat="1" ht="94.5" customHeight="1">
      <c r="A53" s="252" t="s">
        <v>373</v>
      </c>
      <c r="B53" s="253" t="s">
        <v>374</v>
      </c>
      <c r="C53" s="254" t="s">
        <v>375</v>
      </c>
      <c r="D53" s="171" t="s">
        <v>376</v>
      </c>
      <c r="E53" s="143" t="s">
        <v>275</v>
      </c>
      <c r="F53" s="149" t="s">
        <v>279</v>
      </c>
      <c r="G53" s="149" t="s">
        <v>279</v>
      </c>
      <c r="H53" s="149" t="s">
        <v>279</v>
      </c>
      <c r="I53" s="149" t="s">
        <v>279</v>
      </c>
      <c r="J53" s="149" t="s">
        <v>279</v>
      </c>
      <c r="K53" s="149" t="s">
        <v>279</v>
      </c>
      <c r="L53" s="149" t="s">
        <v>279</v>
      </c>
      <c r="M53" s="149" t="s">
        <v>279</v>
      </c>
      <c r="N53" s="149" t="s">
        <v>279</v>
      </c>
      <c r="O53" s="149" t="s">
        <v>279</v>
      </c>
      <c r="P53" s="149" t="s">
        <v>279</v>
      </c>
      <c r="Q53" s="149" t="s">
        <v>279</v>
      </c>
      <c r="R53" s="149" t="s">
        <v>279</v>
      </c>
      <c r="S53" s="149" t="s">
        <v>279</v>
      </c>
      <c r="T53" s="149" t="s">
        <v>279</v>
      </c>
      <c r="U53" s="149" t="s">
        <v>279</v>
      </c>
      <c r="V53" s="149" t="s">
        <v>279</v>
      </c>
      <c r="W53" s="149" t="s">
        <v>279</v>
      </c>
      <c r="X53" s="149" t="s">
        <v>279</v>
      </c>
      <c r="Y53" s="149" t="s">
        <v>279</v>
      </c>
      <c r="Z53" s="149" t="s">
        <v>279</v>
      </c>
      <c r="AA53" s="149" t="s">
        <v>279</v>
      </c>
      <c r="AB53" s="149" t="s">
        <v>279</v>
      </c>
      <c r="AC53" s="149" t="s">
        <v>279</v>
      </c>
      <c r="AD53" s="149" t="s">
        <v>279</v>
      </c>
      <c r="AE53" s="149" t="s">
        <v>279</v>
      </c>
      <c r="AF53" s="149" t="s">
        <v>279</v>
      </c>
      <c r="AG53" s="149" t="s">
        <v>279</v>
      </c>
      <c r="AH53" s="149" t="s">
        <v>279</v>
      </c>
      <c r="AI53" s="149" t="s">
        <v>279</v>
      </c>
      <c r="AJ53" s="149" t="s">
        <v>279</v>
      </c>
      <c r="AK53" s="149" t="s">
        <v>279</v>
      </c>
      <c r="AL53" s="149" t="s">
        <v>279</v>
      </c>
      <c r="AM53" s="149" t="s">
        <v>279</v>
      </c>
      <c r="AN53" s="149" t="s">
        <v>279</v>
      </c>
      <c r="AO53" s="149" t="s">
        <v>279</v>
      </c>
      <c r="AP53" s="149" t="s">
        <v>279</v>
      </c>
      <c r="AQ53" s="149" t="s">
        <v>279</v>
      </c>
      <c r="AR53" s="149" t="s">
        <v>279</v>
      </c>
      <c r="AS53" s="228" t="s">
        <v>448</v>
      </c>
      <c r="AT53" s="134"/>
      <c r="AU53" s="121"/>
      <c r="AV53" s="121"/>
      <c r="AW53" s="155"/>
    </row>
    <row r="54" spans="1:49" s="100" customFormat="1" ht="88.5" customHeight="1">
      <c r="A54" s="256" t="s">
        <v>377</v>
      </c>
      <c r="B54" s="230" t="s">
        <v>378</v>
      </c>
      <c r="C54" s="254" t="s">
        <v>276</v>
      </c>
      <c r="D54" s="171" t="s">
        <v>379</v>
      </c>
      <c r="E54" s="143" t="s">
        <v>275</v>
      </c>
      <c r="F54" s="149" t="s">
        <v>279</v>
      </c>
      <c r="G54" s="149" t="s">
        <v>279</v>
      </c>
      <c r="H54" s="149" t="s">
        <v>279</v>
      </c>
      <c r="I54" s="149" t="s">
        <v>279</v>
      </c>
      <c r="J54" s="149" t="s">
        <v>279</v>
      </c>
      <c r="K54" s="149" t="s">
        <v>279</v>
      </c>
      <c r="L54" s="149" t="s">
        <v>279</v>
      </c>
      <c r="M54" s="149" t="s">
        <v>279</v>
      </c>
      <c r="N54" s="149" t="s">
        <v>279</v>
      </c>
      <c r="O54" s="149" t="s">
        <v>279</v>
      </c>
      <c r="P54" s="149" t="s">
        <v>279</v>
      </c>
      <c r="Q54" s="149" t="s">
        <v>279</v>
      </c>
      <c r="R54" s="149" t="s">
        <v>279</v>
      </c>
      <c r="S54" s="149" t="s">
        <v>279</v>
      </c>
      <c r="T54" s="149" t="s">
        <v>279</v>
      </c>
      <c r="U54" s="149" t="s">
        <v>279</v>
      </c>
      <c r="V54" s="149" t="s">
        <v>279</v>
      </c>
      <c r="W54" s="149" t="s">
        <v>279</v>
      </c>
      <c r="X54" s="149" t="s">
        <v>279</v>
      </c>
      <c r="Y54" s="149" t="s">
        <v>279</v>
      </c>
      <c r="Z54" s="149" t="s">
        <v>279</v>
      </c>
      <c r="AA54" s="149" t="s">
        <v>279</v>
      </c>
      <c r="AB54" s="149" t="s">
        <v>279</v>
      </c>
      <c r="AC54" s="149" t="s">
        <v>279</v>
      </c>
      <c r="AD54" s="149" t="s">
        <v>279</v>
      </c>
      <c r="AE54" s="149" t="s">
        <v>279</v>
      </c>
      <c r="AF54" s="149" t="s">
        <v>279</v>
      </c>
      <c r="AG54" s="149" t="s">
        <v>279</v>
      </c>
      <c r="AH54" s="149" t="s">
        <v>279</v>
      </c>
      <c r="AI54" s="149" t="s">
        <v>279</v>
      </c>
      <c r="AJ54" s="149" t="s">
        <v>279</v>
      </c>
      <c r="AK54" s="149" t="s">
        <v>279</v>
      </c>
      <c r="AL54" s="149" t="s">
        <v>279</v>
      </c>
      <c r="AM54" s="149" t="s">
        <v>279</v>
      </c>
      <c r="AN54" s="149" t="s">
        <v>279</v>
      </c>
      <c r="AO54" s="149" t="s">
        <v>279</v>
      </c>
      <c r="AP54" s="149" t="s">
        <v>279</v>
      </c>
      <c r="AQ54" s="149"/>
      <c r="AR54" s="149"/>
      <c r="AS54" s="145" t="s">
        <v>449</v>
      </c>
      <c r="AT54" s="134"/>
      <c r="AU54" s="121"/>
      <c r="AV54" s="121"/>
      <c r="AW54" s="155"/>
    </row>
    <row r="55" spans="1:49" s="100" customFormat="1" ht="41.25" customHeight="1">
      <c r="A55" s="257" t="s">
        <v>380</v>
      </c>
      <c r="B55" s="258" t="s">
        <v>278</v>
      </c>
      <c r="C55" s="259" t="s">
        <v>276</v>
      </c>
      <c r="D55" s="171" t="s">
        <v>381</v>
      </c>
      <c r="E55" s="143" t="s">
        <v>275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 t="s">
        <v>279</v>
      </c>
      <c r="AQ55" s="149"/>
      <c r="AR55" s="149"/>
      <c r="AS55" s="145" t="s">
        <v>450</v>
      </c>
      <c r="AT55" s="134"/>
      <c r="AU55" s="121"/>
      <c r="AV55" s="121"/>
      <c r="AW55" s="155"/>
    </row>
    <row r="56" spans="1:49" s="31" customFormat="1" ht="15" customHeight="1">
      <c r="A56" s="469" t="s">
        <v>382</v>
      </c>
      <c r="B56" s="346" t="s">
        <v>259</v>
      </c>
      <c r="C56" s="349" t="s">
        <v>271</v>
      </c>
      <c r="D56" s="355" t="s">
        <v>383</v>
      </c>
      <c r="E56" s="248" t="s">
        <v>42</v>
      </c>
      <c r="F56" s="123">
        <f>SUM(F57:F59)</f>
        <v>757.3</v>
      </c>
      <c r="G56" s="123">
        <f t="shared" ref="G56" si="81">SUM(G57:G59)</f>
        <v>692.2</v>
      </c>
      <c r="H56" s="123">
        <f>G56/F56*100</f>
        <v>91.403670936220792</v>
      </c>
      <c r="I56" s="132">
        <f t="shared" ref="I56:AR56" si="82">I57+I58+I59</f>
        <v>0</v>
      </c>
      <c r="J56" s="132">
        <f t="shared" si="82"/>
        <v>0</v>
      </c>
      <c r="K56" s="123">
        <v>0</v>
      </c>
      <c r="L56" s="132">
        <f t="shared" si="82"/>
        <v>0</v>
      </c>
      <c r="M56" s="132">
        <f t="shared" si="82"/>
        <v>0</v>
      </c>
      <c r="N56" s="132">
        <v>0</v>
      </c>
      <c r="O56" s="132">
        <f t="shared" si="82"/>
        <v>0</v>
      </c>
      <c r="P56" s="132">
        <f t="shared" si="82"/>
        <v>0</v>
      </c>
      <c r="Q56" s="123">
        <v>0</v>
      </c>
      <c r="R56" s="132">
        <f t="shared" si="82"/>
        <v>5</v>
      </c>
      <c r="S56" s="132">
        <f t="shared" si="82"/>
        <v>5</v>
      </c>
      <c r="T56" s="123">
        <f>S56/R56*100</f>
        <v>100</v>
      </c>
      <c r="U56" s="132">
        <f t="shared" si="82"/>
        <v>84.6</v>
      </c>
      <c r="V56" s="132">
        <f t="shared" si="82"/>
        <v>83.5</v>
      </c>
      <c r="W56" s="123">
        <f>V56/U56*100</f>
        <v>98.699763593380624</v>
      </c>
      <c r="X56" s="132">
        <f t="shared" si="82"/>
        <v>29.899999999999977</v>
      </c>
      <c r="Y56" s="132">
        <f t="shared" si="82"/>
        <v>29.9</v>
      </c>
      <c r="Z56" s="132">
        <f t="shared" si="82"/>
        <v>100.00000000000007</v>
      </c>
      <c r="AA56" s="132">
        <f t="shared" si="82"/>
        <v>0</v>
      </c>
      <c r="AB56" s="132">
        <f t="shared" si="82"/>
        <v>0</v>
      </c>
      <c r="AC56" s="132">
        <f t="shared" si="82"/>
        <v>0</v>
      </c>
      <c r="AD56" s="132">
        <f t="shared" si="82"/>
        <v>48</v>
      </c>
      <c r="AE56" s="132">
        <f t="shared" si="82"/>
        <v>48</v>
      </c>
      <c r="AF56" s="123">
        <f>AE56/AD56*100</f>
        <v>100</v>
      </c>
      <c r="AG56" s="132">
        <f t="shared" si="82"/>
        <v>242.09999999999997</v>
      </c>
      <c r="AH56" s="132">
        <f t="shared" si="82"/>
        <v>174.9</v>
      </c>
      <c r="AI56" s="117">
        <f>AH56/AG56*100</f>
        <v>72.242874845105348</v>
      </c>
      <c r="AJ56" s="132">
        <f t="shared" si="82"/>
        <v>212.8</v>
      </c>
      <c r="AK56" s="132">
        <f t="shared" si="82"/>
        <v>212.8</v>
      </c>
      <c r="AL56" s="132">
        <f t="shared" si="82"/>
        <v>100</v>
      </c>
      <c r="AM56" s="132">
        <f t="shared" si="82"/>
        <v>70.099999999999994</v>
      </c>
      <c r="AN56" s="132">
        <f t="shared" si="82"/>
        <v>70.099999999999994</v>
      </c>
      <c r="AO56" s="132">
        <f t="shared" si="82"/>
        <v>100</v>
      </c>
      <c r="AP56" s="132">
        <f t="shared" si="82"/>
        <v>64.800000000000011</v>
      </c>
      <c r="AQ56" s="132">
        <f t="shared" si="82"/>
        <v>68</v>
      </c>
      <c r="AR56" s="132">
        <f t="shared" si="82"/>
        <v>104.93827160493825</v>
      </c>
      <c r="AS56" s="397" t="s">
        <v>451</v>
      </c>
      <c r="AT56" s="440" t="s">
        <v>452</v>
      </c>
      <c r="AU56" s="121"/>
      <c r="AV56" s="121"/>
      <c r="AW56" s="155"/>
    </row>
    <row r="57" spans="1:49" s="31" customFormat="1" ht="39.75" customHeight="1">
      <c r="A57" s="470"/>
      <c r="B57" s="347"/>
      <c r="C57" s="350"/>
      <c r="D57" s="356"/>
      <c r="E57" s="249" t="s">
        <v>3</v>
      </c>
      <c r="F57" s="123">
        <f>I57+L57+O57+R57+U57+X57+AA57+AD57+AG57+AJ57+AM57+AP57</f>
        <v>0</v>
      </c>
      <c r="G57" s="123">
        <f>J57+M57+P57+S57+V57+Y57+AB57+AE57+AH57+AK57+AN57+AQ57</f>
        <v>0</v>
      </c>
      <c r="H57" s="123">
        <v>0</v>
      </c>
      <c r="I57" s="123">
        <v>0</v>
      </c>
      <c r="J57" s="123">
        <v>0</v>
      </c>
      <c r="K57" s="123">
        <v>0</v>
      </c>
      <c r="L57" s="150">
        <v>0</v>
      </c>
      <c r="M57" s="123">
        <v>0</v>
      </c>
      <c r="N57" s="138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23">
        <v>0</v>
      </c>
      <c r="AK57" s="123">
        <v>0</v>
      </c>
      <c r="AL57" s="123">
        <v>0</v>
      </c>
      <c r="AM57" s="117">
        <v>0</v>
      </c>
      <c r="AN57" s="117">
        <v>0</v>
      </c>
      <c r="AO57" s="117">
        <v>0</v>
      </c>
      <c r="AP57" s="123">
        <v>0</v>
      </c>
      <c r="AQ57" s="123">
        <v>0</v>
      </c>
      <c r="AR57" s="123">
        <v>0</v>
      </c>
      <c r="AS57" s="398"/>
      <c r="AT57" s="441"/>
      <c r="AU57" s="121"/>
      <c r="AV57" s="121"/>
      <c r="AW57" s="155"/>
    </row>
    <row r="58" spans="1:49" s="31" customFormat="1" ht="33.75" customHeight="1">
      <c r="A58" s="470"/>
      <c r="B58" s="347"/>
      <c r="C58" s="350"/>
      <c r="D58" s="356"/>
      <c r="E58" s="249" t="s">
        <v>44</v>
      </c>
      <c r="F58" s="123">
        <f t="shared" ref="F58:G59" si="83">I58+L58+O58+R58+U58+X58+AA58+AD58+AG58+AJ58+AM58+AP58</f>
        <v>757.3</v>
      </c>
      <c r="G58" s="123">
        <f t="shared" si="83"/>
        <v>692.2</v>
      </c>
      <c r="H58" s="123">
        <f>G58/F58*100</f>
        <v>91.403670936220792</v>
      </c>
      <c r="I58" s="123">
        <v>0</v>
      </c>
      <c r="J58" s="123">
        <v>0</v>
      </c>
      <c r="K58" s="123">
        <v>0</v>
      </c>
      <c r="L58" s="150">
        <v>0</v>
      </c>
      <c r="M58" s="123">
        <v>0</v>
      </c>
      <c r="N58" s="138">
        <v>0</v>
      </c>
      <c r="O58" s="123">
        <f>119.8-119.8</f>
        <v>0</v>
      </c>
      <c r="P58" s="123">
        <v>0</v>
      </c>
      <c r="Q58" s="123">
        <v>0</v>
      </c>
      <c r="R58" s="123">
        <f>119.8-114.8</f>
        <v>5</v>
      </c>
      <c r="S58" s="123">
        <v>5</v>
      </c>
      <c r="T58" s="123">
        <f>S58/R58*100</f>
        <v>100</v>
      </c>
      <c r="U58" s="117">
        <f>114.8-30.2</f>
        <v>84.6</v>
      </c>
      <c r="V58" s="117">
        <v>83.5</v>
      </c>
      <c r="W58" s="123">
        <f>V58/U58*100</f>
        <v>98.699763593380624</v>
      </c>
      <c r="X58" s="117">
        <f>179.7-149.8</f>
        <v>29.899999999999977</v>
      </c>
      <c r="Y58" s="117">
        <v>29.9</v>
      </c>
      <c r="Z58" s="117">
        <f>Y58/X58*100</f>
        <v>100.00000000000007</v>
      </c>
      <c r="AA58" s="117">
        <v>0</v>
      </c>
      <c r="AB58" s="117">
        <v>0</v>
      </c>
      <c r="AC58" s="117">
        <v>0</v>
      </c>
      <c r="AD58" s="117">
        <v>48</v>
      </c>
      <c r="AE58" s="117">
        <v>48</v>
      </c>
      <c r="AF58" s="123">
        <f>AE58/AD58*100</f>
        <v>100</v>
      </c>
      <c r="AG58" s="117">
        <f>179.7+33-48+38.7+38.7</f>
        <v>242.09999999999997</v>
      </c>
      <c r="AH58" s="117">
        <v>174.9</v>
      </c>
      <c r="AI58" s="117">
        <f>AH58/AG58*100</f>
        <v>72.242874845105348</v>
      </c>
      <c r="AJ58" s="123">
        <v>212.8</v>
      </c>
      <c r="AK58" s="123">
        <v>212.8</v>
      </c>
      <c r="AL58" s="123">
        <f>AK58/AJ58*100</f>
        <v>100</v>
      </c>
      <c r="AM58" s="117">
        <v>70.099999999999994</v>
      </c>
      <c r="AN58" s="117">
        <v>70.099999999999994</v>
      </c>
      <c r="AO58" s="117">
        <f>AN58/AM58*100</f>
        <v>100</v>
      </c>
      <c r="AP58" s="123">
        <f>68-3.1-0.1</f>
        <v>64.800000000000011</v>
      </c>
      <c r="AQ58" s="123">
        <v>68</v>
      </c>
      <c r="AR58" s="123">
        <f>AQ58/AP58*100</f>
        <v>104.93827160493825</v>
      </c>
      <c r="AS58" s="398"/>
      <c r="AT58" s="441"/>
      <c r="AU58" s="121"/>
      <c r="AV58" s="121"/>
      <c r="AW58" s="155"/>
    </row>
    <row r="59" spans="1:49" s="31" customFormat="1" ht="33.75" customHeight="1">
      <c r="A59" s="471"/>
      <c r="B59" s="348"/>
      <c r="C59" s="351"/>
      <c r="D59" s="362"/>
      <c r="E59" s="143" t="s">
        <v>257</v>
      </c>
      <c r="F59" s="123">
        <f t="shared" si="83"/>
        <v>0</v>
      </c>
      <c r="G59" s="123">
        <f t="shared" si="83"/>
        <v>0</v>
      </c>
      <c r="H59" s="123">
        <v>0</v>
      </c>
      <c r="I59" s="123">
        <v>0</v>
      </c>
      <c r="J59" s="123">
        <v>0</v>
      </c>
      <c r="K59" s="123">
        <v>0</v>
      </c>
      <c r="L59" s="150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123">
        <v>0</v>
      </c>
      <c r="T59" s="123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23">
        <v>0</v>
      </c>
      <c r="AK59" s="123">
        <v>0</v>
      </c>
      <c r="AL59" s="123">
        <v>0</v>
      </c>
      <c r="AM59" s="117">
        <v>0</v>
      </c>
      <c r="AN59" s="117">
        <v>0</v>
      </c>
      <c r="AO59" s="117">
        <v>0</v>
      </c>
      <c r="AP59" s="123">
        <v>0</v>
      </c>
      <c r="AQ59" s="123">
        <v>0</v>
      </c>
      <c r="AR59" s="123">
        <v>0</v>
      </c>
      <c r="AS59" s="399"/>
      <c r="AT59" s="442"/>
      <c r="AU59" s="121"/>
      <c r="AV59" s="121"/>
      <c r="AW59" s="155"/>
    </row>
    <row r="60" spans="1:49" s="31" customFormat="1" ht="38.25" customHeight="1">
      <c r="A60" s="325" t="s">
        <v>384</v>
      </c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7"/>
      <c r="AU60" s="121"/>
      <c r="AV60" s="121"/>
      <c r="AW60" s="155"/>
    </row>
    <row r="61" spans="1:49" s="31" customFormat="1" ht="28.5" customHeight="1">
      <c r="A61" s="325" t="s">
        <v>385</v>
      </c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7"/>
      <c r="AU61" s="121"/>
      <c r="AV61" s="121"/>
      <c r="AW61" s="155"/>
    </row>
    <row r="62" spans="1:49" s="100" customFormat="1" ht="18.75" customHeight="1">
      <c r="A62" s="481" t="s">
        <v>272</v>
      </c>
      <c r="B62" s="482"/>
      <c r="C62" s="482"/>
      <c r="D62" s="483"/>
      <c r="E62" s="245" t="s">
        <v>42</v>
      </c>
      <c r="F62" s="149">
        <f>F63+F64+F65</f>
        <v>9709.1</v>
      </c>
      <c r="G62" s="149">
        <f t="shared" ref="G62:AQ62" si="84">G63+G64+G65</f>
        <v>8627.8000000000011</v>
      </c>
      <c r="H62" s="149">
        <f>G62/F62*100</f>
        <v>88.863025409152257</v>
      </c>
      <c r="I62" s="149">
        <f t="shared" si="84"/>
        <v>0</v>
      </c>
      <c r="J62" s="149">
        <f t="shared" si="84"/>
        <v>0</v>
      </c>
      <c r="K62" s="149">
        <v>0</v>
      </c>
      <c r="L62" s="149">
        <f t="shared" si="84"/>
        <v>193.39999999999998</v>
      </c>
      <c r="M62" s="149">
        <f t="shared" si="84"/>
        <v>173.7</v>
      </c>
      <c r="N62" s="149">
        <f t="shared" si="84"/>
        <v>89.813857290589453</v>
      </c>
      <c r="O62" s="149">
        <f t="shared" si="84"/>
        <v>173.90000000000009</v>
      </c>
      <c r="P62" s="149">
        <f t="shared" si="84"/>
        <v>71.3</v>
      </c>
      <c r="Q62" s="149">
        <f>P62/O62*100</f>
        <v>41.000575043128215</v>
      </c>
      <c r="R62" s="149">
        <f t="shared" si="84"/>
        <v>1763.9999999999995</v>
      </c>
      <c r="S62" s="149">
        <f t="shared" si="84"/>
        <v>1760.7</v>
      </c>
      <c r="T62" s="149">
        <f>S62/R62*100</f>
        <v>99.812925170068056</v>
      </c>
      <c r="U62" s="149">
        <f t="shared" si="84"/>
        <v>1300.6000000000001</v>
      </c>
      <c r="V62" s="149">
        <f t="shared" si="84"/>
        <v>1263.5999999999999</v>
      </c>
      <c r="W62" s="149">
        <f>V62/U62*100</f>
        <v>97.155159157311985</v>
      </c>
      <c r="X62" s="149">
        <f t="shared" si="84"/>
        <v>882.90000000000032</v>
      </c>
      <c r="Y62" s="149">
        <f t="shared" si="84"/>
        <v>409.2</v>
      </c>
      <c r="Z62" s="149">
        <f>Y62/X62*100</f>
        <v>46.347264695888526</v>
      </c>
      <c r="AA62" s="149">
        <f t="shared" si="84"/>
        <v>414.4</v>
      </c>
      <c r="AB62" s="149">
        <f t="shared" si="84"/>
        <v>410.2</v>
      </c>
      <c r="AC62" s="149">
        <f>AB62/AA62*100</f>
        <v>98.986486486486484</v>
      </c>
      <c r="AD62" s="149">
        <f t="shared" si="84"/>
        <v>814.80000000000007</v>
      </c>
      <c r="AE62" s="149">
        <f t="shared" si="84"/>
        <v>866.1</v>
      </c>
      <c r="AF62" s="149">
        <f>AE62/AD62*100</f>
        <v>106.2960235640648</v>
      </c>
      <c r="AG62" s="149">
        <f t="shared" si="84"/>
        <v>979.39999999999986</v>
      </c>
      <c r="AH62" s="149">
        <f t="shared" si="84"/>
        <v>539</v>
      </c>
      <c r="AI62" s="149">
        <f>AH62/AG62*100</f>
        <v>55.033694098427624</v>
      </c>
      <c r="AJ62" s="149">
        <f t="shared" si="84"/>
        <v>545.29999999999995</v>
      </c>
      <c r="AK62" s="149">
        <f t="shared" si="84"/>
        <v>544.29999999999995</v>
      </c>
      <c r="AL62" s="149">
        <f>AK62/AJ62*100</f>
        <v>99.816614707500463</v>
      </c>
      <c r="AM62" s="149">
        <f t="shared" si="84"/>
        <v>806.1</v>
      </c>
      <c r="AN62" s="149">
        <f t="shared" si="84"/>
        <v>506.79999999999995</v>
      </c>
      <c r="AO62" s="149">
        <f>AN62/AM62*100</f>
        <v>62.870611586651769</v>
      </c>
      <c r="AP62" s="149">
        <f t="shared" si="84"/>
        <v>1834.3</v>
      </c>
      <c r="AQ62" s="149">
        <f t="shared" si="84"/>
        <v>2082.9</v>
      </c>
      <c r="AR62" s="149">
        <f>AQ62/AP62*100</f>
        <v>113.55285394973561</v>
      </c>
      <c r="AS62" s="337"/>
      <c r="AT62" s="378"/>
      <c r="AU62" s="121"/>
      <c r="AV62" s="121"/>
      <c r="AW62" s="155"/>
    </row>
    <row r="63" spans="1:49" s="100" customFormat="1" ht="40.5" customHeight="1">
      <c r="A63" s="484"/>
      <c r="B63" s="485"/>
      <c r="C63" s="485"/>
      <c r="D63" s="486"/>
      <c r="E63" s="246" t="s">
        <v>3</v>
      </c>
      <c r="F63" s="149">
        <f>F70+F75+F79</f>
        <v>0</v>
      </c>
      <c r="G63" s="149">
        <f>G70+G75+G79</f>
        <v>0</v>
      </c>
      <c r="H63" s="149">
        <v>0</v>
      </c>
      <c r="I63" s="149">
        <f>I70+I75+I79</f>
        <v>0</v>
      </c>
      <c r="J63" s="149">
        <f>J70+J75+J79</f>
        <v>0</v>
      </c>
      <c r="K63" s="149">
        <v>0</v>
      </c>
      <c r="L63" s="149">
        <f>L70+L75+L79</f>
        <v>0</v>
      </c>
      <c r="M63" s="149">
        <f>M70+M75+M79</f>
        <v>0</v>
      </c>
      <c r="N63" s="149">
        <f>N70+N75+N79</f>
        <v>0</v>
      </c>
      <c r="O63" s="149">
        <f>O70+O75+O79</f>
        <v>0</v>
      </c>
      <c r="P63" s="149">
        <f>P70+P75+P79</f>
        <v>0</v>
      </c>
      <c r="Q63" s="149">
        <v>0</v>
      </c>
      <c r="R63" s="149">
        <f>R70+R75+R79</f>
        <v>0</v>
      </c>
      <c r="S63" s="149">
        <f>S70+S75+S79</f>
        <v>0</v>
      </c>
      <c r="T63" s="149">
        <v>0</v>
      </c>
      <c r="U63" s="149">
        <f t="shared" ref="U63:AE63" si="85">U70+U75+U79</f>
        <v>0</v>
      </c>
      <c r="V63" s="149">
        <f t="shared" si="85"/>
        <v>0</v>
      </c>
      <c r="W63" s="149">
        <v>0</v>
      </c>
      <c r="X63" s="149">
        <f t="shared" si="85"/>
        <v>0</v>
      </c>
      <c r="Y63" s="149">
        <f t="shared" si="85"/>
        <v>0</v>
      </c>
      <c r="Z63" s="149">
        <v>0</v>
      </c>
      <c r="AA63" s="149">
        <f t="shared" si="85"/>
        <v>0</v>
      </c>
      <c r="AB63" s="149">
        <f t="shared" si="85"/>
        <v>0</v>
      </c>
      <c r="AC63" s="149">
        <v>0</v>
      </c>
      <c r="AD63" s="149">
        <f t="shared" si="85"/>
        <v>0</v>
      </c>
      <c r="AE63" s="149">
        <f t="shared" si="85"/>
        <v>0</v>
      </c>
      <c r="AF63" s="149">
        <v>0</v>
      </c>
      <c r="AG63" s="149">
        <f t="shared" ref="AG63:AQ63" si="86">AG70+AG75+AG79</f>
        <v>0</v>
      </c>
      <c r="AH63" s="149">
        <f t="shared" si="86"/>
        <v>0</v>
      </c>
      <c r="AI63" s="149">
        <v>0</v>
      </c>
      <c r="AJ63" s="149">
        <f t="shared" si="86"/>
        <v>0</v>
      </c>
      <c r="AK63" s="149">
        <f t="shared" si="86"/>
        <v>0</v>
      </c>
      <c r="AL63" s="149">
        <v>0</v>
      </c>
      <c r="AM63" s="149">
        <f t="shared" si="86"/>
        <v>0</v>
      </c>
      <c r="AN63" s="149">
        <f t="shared" si="86"/>
        <v>0</v>
      </c>
      <c r="AO63" s="149">
        <v>0</v>
      </c>
      <c r="AP63" s="149">
        <f t="shared" si="86"/>
        <v>0</v>
      </c>
      <c r="AQ63" s="149">
        <f t="shared" si="86"/>
        <v>0</v>
      </c>
      <c r="AR63" s="149">
        <v>0</v>
      </c>
      <c r="AS63" s="338"/>
      <c r="AT63" s="379"/>
      <c r="AU63" s="121"/>
      <c r="AV63" s="121"/>
      <c r="AW63" s="155"/>
    </row>
    <row r="64" spans="1:49" s="100" customFormat="1" ht="31.5" customHeight="1">
      <c r="A64" s="484"/>
      <c r="B64" s="485"/>
      <c r="C64" s="485"/>
      <c r="D64" s="486"/>
      <c r="E64" s="246" t="s">
        <v>44</v>
      </c>
      <c r="F64" s="149">
        <f>F71+F76+F80</f>
        <v>9709.1</v>
      </c>
      <c r="G64" s="149">
        <f>G71+G76+G80</f>
        <v>8627.8000000000011</v>
      </c>
      <c r="H64" s="149">
        <f>G64/F64*100</f>
        <v>88.863025409152257</v>
      </c>
      <c r="I64" s="149">
        <f>I71+I76+I80</f>
        <v>0</v>
      </c>
      <c r="J64" s="149">
        <f>J71+J76+J80</f>
        <v>0</v>
      </c>
      <c r="K64" s="149">
        <v>0</v>
      </c>
      <c r="L64" s="149">
        <f>L71+L76+L80</f>
        <v>193.39999999999998</v>
      </c>
      <c r="M64" s="149">
        <f>M71+M76+M80</f>
        <v>173.7</v>
      </c>
      <c r="N64" s="149">
        <f>M64/L64*100</f>
        <v>89.813857290589453</v>
      </c>
      <c r="O64" s="149">
        <f>O71+O76+O80</f>
        <v>173.90000000000009</v>
      </c>
      <c r="P64" s="149">
        <f>P71+P76+P80</f>
        <v>71.3</v>
      </c>
      <c r="Q64" s="149">
        <f t="shared" ref="Q64" si="87">P64/O64*100</f>
        <v>41.000575043128215</v>
      </c>
      <c r="R64" s="149">
        <f>R71+R76+R80</f>
        <v>1763.9999999999995</v>
      </c>
      <c r="S64" s="149">
        <f>S71+S76+S80</f>
        <v>1760.7</v>
      </c>
      <c r="T64" s="149">
        <f t="shared" ref="T64" si="88">S64/R64*100</f>
        <v>99.812925170068056</v>
      </c>
      <c r="U64" s="149">
        <f>U71+U76+U80</f>
        <v>1300.6000000000001</v>
      </c>
      <c r="V64" s="149">
        <f>V71+V76+V80</f>
        <v>1263.5999999999999</v>
      </c>
      <c r="W64" s="149">
        <f t="shared" ref="W64" si="89">V64/U64*100</f>
        <v>97.155159157311985</v>
      </c>
      <c r="X64" s="149">
        <f>X71+X76+X80</f>
        <v>882.90000000000032</v>
      </c>
      <c r="Y64" s="149">
        <f>Y71+Y76+Y80</f>
        <v>409.2</v>
      </c>
      <c r="Z64" s="149">
        <f t="shared" ref="Z64" si="90">Y64/X64*100</f>
        <v>46.347264695888526</v>
      </c>
      <c r="AA64" s="149">
        <f>AA71+AA76+AA80</f>
        <v>414.4</v>
      </c>
      <c r="AB64" s="149">
        <f>AB71+AB76+AB80</f>
        <v>410.2</v>
      </c>
      <c r="AC64" s="149">
        <f t="shared" ref="AC64" si="91">AB64/AA64*100</f>
        <v>98.986486486486484</v>
      </c>
      <c r="AD64" s="149">
        <f>AD71+AD76+AD80</f>
        <v>814.80000000000007</v>
      </c>
      <c r="AE64" s="149">
        <f>AE71+AE76+AE80</f>
        <v>866.1</v>
      </c>
      <c r="AF64" s="149">
        <f t="shared" ref="AF64" si="92">AE64/AD64*100</f>
        <v>106.2960235640648</v>
      </c>
      <c r="AG64" s="149">
        <f t="shared" ref="AG64:AN64" si="93">AG71+AG76+AG80</f>
        <v>979.39999999999986</v>
      </c>
      <c r="AH64" s="149">
        <f t="shared" si="93"/>
        <v>539</v>
      </c>
      <c r="AI64" s="149">
        <f t="shared" ref="AI64" si="94">AH64/AG64*100</f>
        <v>55.033694098427624</v>
      </c>
      <c r="AJ64" s="149">
        <f t="shared" si="93"/>
        <v>545.29999999999995</v>
      </c>
      <c r="AK64" s="149">
        <f t="shared" si="93"/>
        <v>544.29999999999995</v>
      </c>
      <c r="AL64" s="149">
        <f t="shared" ref="AL64" si="95">AK64/AJ64*100</f>
        <v>99.816614707500463</v>
      </c>
      <c r="AM64" s="149">
        <f t="shared" si="93"/>
        <v>806.1</v>
      </c>
      <c r="AN64" s="149">
        <f t="shared" si="93"/>
        <v>506.79999999999995</v>
      </c>
      <c r="AO64" s="149">
        <f t="shared" ref="AO64" si="96">AN64/AM64*100</f>
        <v>62.870611586651769</v>
      </c>
      <c r="AP64" s="149">
        <f>AP71+AP76+AP80</f>
        <v>1834.3</v>
      </c>
      <c r="AQ64" s="149">
        <f>AQ71+AQ76+AQ80</f>
        <v>2082.9</v>
      </c>
      <c r="AR64" s="149">
        <f t="shared" ref="AR64" si="97">AQ64/AP64*100</f>
        <v>113.55285394973561</v>
      </c>
      <c r="AS64" s="338"/>
      <c r="AT64" s="379"/>
      <c r="AU64" s="121"/>
      <c r="AV64" s="121"/>
      <c r="AW64" s="155"/>
    </row>
    <row r="65" spans="1:49" s="100" customFormat="1" ht="27" customHeight="1">
      <c r="A65" s="487"/>
      <c r="B65" s="488"/>
      <c r="C65" s="488"/>
      <c r="D65" s="489"/>
      <c r="E65" s="247" t="s">
        <v>257</v>
      </c>
      <c r="F65" s="149">
        <f>F72+F77</f>
        <v>0</v>
      </c>
      <c r="G65" s="149">
        <f>G72+G77</f>
        <v>0</v>
      </c>
      <c r="H65" s="149">
        <v>0</v>
      </c>
      <c r="I65" s="149">
        <f t="shared" ref="I65:J65" si="98">I72+I77</f>
        <v>0</v>
      </c>
      <c r="J65" s="149">
        <f t="shared" si="98"/>
        <v>0</v>
      </c>
      <c r="K65" s="149">
        <v>0</v>
      </c>
      <c r="L65" s="149">
        <f t="shared" ref="L65:M65" si="99">L72+L77</f>
        <v>0</v>
      </c>
      <c r="M65" s="149">
        <f t="shared" si="99"/>
        <v>0</v>
      </c>
      <c r="N65" s="149">
        <v>0</v>
      </c>
      <c r="O65" s="149">
        <f t="shared" ref="O65:P65" si="100">O72+O77</f>
        <v>0</v>
      </c>
      <c r="P65" s="149">
        <f t="shared" si="100"/>
        <v>0</v>
      </c>
      <c r="Q65" s="149">
        <v>0</v>
      </c>
      <c r="R65" s="149">
        <f t="shared" ref="R65:S65" si="101">R72+R77</f>
        <v>0</v>
      </c>
      <c r="S65" s="149">
        <f t="shared" si="101"/>
        <v>0</v>
      </c>
      <c r="T65" s="149">
        <v>0</v>
      </c>
      <c r="U65" s="149">
        <f t="shared" ref="U65:V65" si="102">U72+U77</f>
        <v>0</v>
      </c>
      <c r="V65" s="149">
        <f t="shared" si="102"/>
        <v>0</v>
      </c>
      <c r="W65" s="149">
        <v>0</v>
      </c>
      <c r="X65" s="149">
        <f t="shared" ref="X65:Y65" si="103">X72+X77</f>
        <v>0</v>
      </c>
      <c r="Y65" s="149">
        <f t="shared" si="103"/>
        <v>0</v>
      </c>
      <c r="Z65" s="149">
        <v>0</v>
      </c>
      <c r="AA65" s="149">
        <f>AA72+AA77</f>
        <v>0</v>
      </c>
      <c r="AB65" s="149">
        <f>AB72+AB77</f>
        <v>0</v>
      </c>
      <c r="AC65" s="149">
        <v>0</v>
      </c>
      <c r="AD65" s="149">
        <f>AD72+AD77</f>
        <v>0</v>
      </c>
      <c r="AE65" s="149">
        <f>AE72+AE77</f>
        <v>0</v>
      </c>
      <c r="AF65" s="149">
        <v>0</v>
      </c>
      <c r="AG65" s="149">
        <f>AG72+AG77</f>
        <v>0</v>
      </c>
      <c r="AH65" s="149">
        <f>AH72+AH77</f>
        <v>0</v>
      </c>
      <c r="AI65" s="149">
        <v>0</v>
      </c>
      <c r="AJ65" s="149">
        <f>AJ72+AJ77</f>
        <v>0</v>
      </c>
      <c r="AK65" s="149">
        <f t="shared" ref="AK65" si="104">AK72+AK77</f>
        <v>0</v>
      </c>
      <c r="AL65" s="149">
        <v>0</v>
      </c>
      <c r="AM65" s="149">
        <f>AM72+AM77</f>
        <v>0</v>
      </c>
      <c r="AN65" s="149">
        <f t="shared" ref="AN65:AQ65" si="105">AN72+AN77</f>
        <v>0</v>
      </c>
      <c r="AO65" s="149">
        <v>0</v>
      </c>
      <c r="AP65" s="149">
        <f t="shared" si="105"/>
        <v>0</v>
      </c>
      <c r="AQ65" s="149">
        <f t="shared" si="105"/>
        <v>0</v>
      </c>
      <c r="AR65" s="149">
        <v>0</v>
      </c>
      <c r="AS65" s="339"/>
      <c r="AT65" s="380"/>
      <c r="AU65" s="121"/>
      <c r="AV65" s="121"/>
      <c r="AW65" s="155"/>
    </row>
    <row r="66" spans="1:49" s="100" customFormat="1" ht="72" customHeight="1">
      <c r="A66" s="256" t="s">
        <v>386</v>
      </c>
      <c r="B66" s="253" t="s">
        <v>280</v>
      </c>
      <c r="C66" s="254" t="s">
        <v>387</v>
      </c>
      <c r="D66" s="171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217" t="s">
        <v>464</v>
      </c>
      <c r="AT66" s="134"/>
      <c r="AU66" s="121"/>
      <c r="AV66" s="121"/>
      <c r="AW66" s="155"/>
    </row>
    <row r="67" spans="1:49" s="100" customFormat="1" ht="117" customHeight="1">
      <c r="A67" s="256" t="s">
        <v>389</v>
      </c>
      <c r="B67" s="253" t="s">
        <v>390</v>
      </c>
      <c r="C67" s="254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465</v>
      </c>
      <c r="AT67" s="134"/>
      <c r="AU67" s="121"/>
      <c r="AV67" s="121"/>
      <c r="AW67" s="155"/>
    </row>
    <row r="68" spans="1:49" s="100" customFormat="1" ht="212.25" customHeight="1">
      <c r="A68" s="256" t="s">
        <v>392</v>
      </c>
      <c r="B68" s="253" t="s">
        <v>393</v>
      </c>
      <c r="C68" s="254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466</v>
      </c>
      <c r="AT68" s="134"/>
      <c r="AU68" s="121"/>
      <c r="AV68" s="121"/>
      <c r="AW68" s="155"/>
    </row>
    <row r="69" spans="1:49" s="31" customFormat="1" ht="23.25" customHeight="1">
      <c r="A69" s="499" t="s">
        <v>395</v>
      </c>
      <c r="B69" s="346" t="s">
        <v>396</v>
      </c>
      <c r="C69" s="349" t="s">
        <v>277</v>
      </c>
      <c r="D69" s="355" t="s">
        <v>397</v>
      </c>
      <c r="E69" s="248" t="s">
        <v>42</v>
      </c>
      <c r="F69" s="123">
        <f>SUM(F70:F72)</f>
        <v>1893.3</v>
      </c>
      <c r="G69" s="123">
        <f t="shared" ref="G69" si="106">SUM(G70:G72)</f>
        <v>1573.7</v>
      </c>
      <c r="H69" s="123">
        <f>G69/F69*100</f>
        <v>83.119421116568958</v>
      </c>
      <c r="I69" s="138">
        <f t="shared" ref="I69:AR69" si="107">I70+I71+I72</f>
        <v>0</v>
      </c>
      <c r="J69" s="138">
        <f t="shared" si="107"/>
        <v>0</v>
      </c>
      <c r="K69" s="123">
        <v>0</v>
      </c>
      <c r="L69" s="138">
        <f t="shared" si="107"/>
        <v>177.39999999999998</v>
      </c>
      <c r="M69" s="132">
        <f t="shared" si="107"/>
        <v>158.1</v>
      </c>
      <c r="N69" s="132">
        <f>M69/L69*100</f>
        <v>89.120631341600912</v>
      </c>
      <c r="O69" s="132">
        <f t="shared" si="107"/>
        <v>70.000000000000014</v>
      </c>
      <c r="P69" s="132">
        <f t="shared" si="107"/>
        <v>69.099999999999994</v>
      </c>
      <c r="Q69" s="123">
        <f t="shared" ref="Q69:Q80" si="108">P69/O69*100</f>
        <v>98.714285714285694</v>
      </c>
      <c r="R69" s="132">
        <f t="shared" si="107"/>
        <v>64</v>
      </c>
      <c r="S69" s="132">
        <f t="shared" si="107"/>
        <v>64.3</v>
      </c>
      <c r="T69" s="132">
        <f>S69/R69*100</f>
        <v>100.46875</v>
      </c>
      <c r="U69" s="138">
        <f t="shared" si="107"/>
        <v>61.4</v>
      </c>
      <c r="V69" s="138">
        <f t="shared" si="107"/>
        <v>74.3</v>
      </c>
      <c r="W69" s="132">
        <f t="shared" ref="W69" si="109">V69/U69*100</f>
        <v>121.00977198697068</v>
      </c>
      <c r="X69" s="132">
        <f t="shared" si="107"/>
        <v>58.8</v>
      </c>
      <c r="Y69" s="132">
        <f t="shared" si="107"/>
        <v>56.5</v>
      </c>
      <c r="Z69" s="132">
        <f t="shared" ref="Z69" si="110">Y69/X69*100</f>
        <v>96.088435374149668</v>
      </c>
      <c r="AA69" s="132">
        <f t="shared" si="107"/>
        <v>64.400000000000006</v>
      </c>
      <c r="AB69" s="132">
        <f t="shared" si="107"/>
        <v>64.3</v>
      </c>
      <c r="AC69" s="132">
        <f t="shared" ref="AC69" si="111">AB69/AA69*100</f>
        <v>99.844720496894396</v>
      </c>
      <c r="AD69" s="132">
        <f t="shared" si="107"/>
        <v>61.4</v>
      </c>
      <c r="AE69" s="138">
        <f t="shared" si="107"/>
        <v>87.4</v>
      </c>
      <c r="AF69" s="123">
        <f t="shared" ref="AF69" si="112">AE69/AD69*100</f>
        <v>142.34527687296418</v>
      </c>
      <c r="AG69" s="138">
        <f t="shared" si="107"/>
        <v>190.7</v>
      </c>
      <c r="AH69" s="138">
        <f t="shared" si="107"/>
        <v>155.5</v>
      </c>
      <c r="AI69" s="132">
        <f t="shared" ref="AI69" si="113">AH69/AG69*100</f>
        <v>81.541688515993712</v>
      </c>
      <c r="AJ69" s="138">
        <f t="shared" si="107"/>
        <v>170</v>
      </c>
      <c r="AK69" s="138">
        <f t="shared" si="107"/>
        <v>169</v>
      </c>
      <c r="AL69" s="138">
        <f t="shared" si="107"/>
        <v>99.411764705882348</v>
      </c>
      <c r="AM69" s="138">
        <f t="shared" si="107"/>
        <v>625.20000000000005</v>
      </c>
      <c r="AN69" s="138">
        <f t="shared" si="107"/>
        <v>325.89999999999998</v>
      </c>
      <c r="AO69" s="138">
        <f t="shared" si="107"/>
        <v>52.127319257837492</v>
      </c>
      <c r="AP69" s="138">
        <f t="shared" si="107"/>
        <v>350</v>
      </c>
      <c r="AQ69" s="138">
        <f t="shared" si="107"/>
        <v>349.3</v>
      </c>
      <c r="AR69" s="138">
        <f t="shared" si="107"/>
        <v>99.8</v>
      </c>
      <c r="AS69" s="397" t="s">
        <v>467</v>
      </c>
      <c r="AT69" s="440" t="s">
        <v>475</v>
      </c>
      <c r="AU69" s="121"/>
      <c r="AV69" s="121"/>
      <c r="AW69" s="155"/>
    </row>
    <row r="70" spans="1:49" s="31" customFormat="1" ht="41.25" customHeight="1">
      <c r="A70" s="500"/>
      <c r="B70" s="347"/>
      <c r="C70" s="350"/>
      <c r="D70" s="356"/>
      <c r="E70" s="249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23">
        <v>0</v>
      </c>
      <c r="AR70" s="123">
        <v>0</v>
      </c>
      <c r="AS70" s="398"/>
      <c r="AT70" s="441"/>
      <c r="AU70" s="121"/>
      <c r="AV70" s="121"/>
      <c r="AW70" s="155"/>
    </row>
    <row r="71" spans="1:49" s="31" customFormat="1" ht="33.75" customHeight="1">
      <c r="A71" s="500"/>
      <c r="B71" s="347"/>
      <c r="C71" s="350"/>
      <c r="D71" s="356"/>
      <c r="E71" s="249" t="s">
        <v>44</v>
      </c>
      <c r="F71" s="123">
        <f t="shared" ref="F71:G72" si="114">I71+L71+O71+R71+U71+X71+AA71+AD71+AG71+AJ71+AM71+AP71</f>
        <v>1893.3</v>
      </c>
      <c r="G71" s="123">
        <f t="shared" si="114"/>
        <v>1573.7</v>
      </c>
      <c r="H71" s="123">
        <f>G71/F71*100</f>
        <v>83.119421116568958</v>
      </c>
      <c r="I71" s="123">
        <v>0</v>
      </c>
      <c r="J71" s="123">
        <v>0</v>
      </c>
      <c r="K71" s="123">
        <v>0</v>
      </c>
      <c r="L71" s="150">
        <f>61.4+10.2+105.8</f>
        <v>177.39999999999998</v>
      </c>
      <c r="M71" s="123">
        <v>158.1</v>
      </c>
      <c r="N71" s="138">
        <f t="shared" ref="N71" si="115">M71/L71*100</f>
        <v>89.120631341600912</v>
      </c>
      <c r="O71" s="123">
        <f>207.4-31.6-105.8</f>
        <v>70.000000000000014</v>
      </c>
      <c r="P71" s="123">
        <v>69.099999999999994</v>
      </c>
      <c r="Q71" s="123">
        <f t="shared" si="108"/>
        <v>98.714285714285694</v>
      </c>
      <c r="R71" s="123">
        <f>61.4+2.6</f>
        <v>64</v>
      </c>
      <c r="S71" s="123">
        <v>64.3</v>
      </c>
      <c r="T71" s="132">
        <f t="shared" ref="T71:T80" si="116">S71/R71*100</f>
        <v>100.46875</v>
      </c>
      <c r="U71" s="117">
        <v>61.4</v>
      </c>
      <c r="V71" s="117">
        <v>74.3</v>
      </c>
      <c r="W71" s="132">
        <f t="shared" ref="W71" si="117">V71/U71*100</f>
        <v>121.00977198697068</v>
      </c>
      <c r="X71" s="117">
        <f>61.4-2.6</f>
        <v>58.8</v>
      </c>
      <c r="Y71" s="117">
        <v>56.5</v>
      </c>
      <c r="Z71" s="132">
        <f t="shared" ref="Z71" si="118">Y71/X71*100</f>
        <v>96.088435374149668</v>
      </c>
      <c r="AA71" s="117">
        <f>61.4+3</f>
        <v>64.400000000000006</v>
      </c>
      <c r="AB71" s="117">
        <v>64.3</v>
      </c>
      <c r="AC71" s="132">
        <f t="shared" ref="AC71" si="119">AB71/AA71*100</f>
        <v>99.844720496894396</v>
      </c>
      <c r="AD71" s="117">
        <v>61.4</v>
      </c>
      <c r="AE71" s="117">
        <v>87.4</v>
      </c>
      <c r="AF71" s="132">
        <f t="shared" ref="AF71" si="120">AE71/AD71*100</f>
        <v>142.34527687296418</v>
      </c>
      <c r="AG71" s="117">
        <f>61.4+10.3-3+122</f>
        <v>190.7</v>
      </c>
      <c r="AH71" s="117">
        <v>155.5</v>
      </c>
      <c r="AI71" s="132">
        <f t="shared" ref="AI71" si="121">AH71/AG71*100</f>
        <v>81.541688515993712</v>
      </c>
      <c r="AJ71" s="123">
        <v>170</v>
      </c>
      <c r="AK71" s="123">
        <v>169</v>
      </c>
      <c r="AL71" s="123">
        <f>AK71/AJ71*100</f>
        <v>99.411764705882348</v>
      </c>
      <c r="AM71" s="117">
        <f>790.7-10.2-122-33.3</f>
        <v>625.20000000000005</v>
      </c>
      <c r="AN71" s="117">
        <v>325.89999999999998</v>
      </c>
      <c r="AO71" s="117">
        <f>AN71/AM71*100</f>
        <v>52.127319257837492</v>
      </c>
      <c r="AP71" s="123">
        <v>350</v>
      </c>
      <c r="AQ71" s="123">
        <v>349.3</v>
      </c>
      <c r="AR71" s="123">
        <f>AQ71/AP71*100</f>
        <v>99.8</v>
      </c>
      <c r="AS71" s="398"/>
      <c r="AT71" s="441"/>
      <c r="AU71" s="121"/>
      <c r="AV71" s="121"/>
      <c r="AW71" s="155"/>
    </row>
    <row r="72" spans="1:49" s="31" customFormat="1" ht="33" customHeight="1">
      <c r="A72" s="501"/>
      <c r="B72" s="348"/>
      <c r="C72" s="351"/>
      <c r="D72" s="362"/>
      <c r="E72" s="143" t="s">
        <v>257</v>
      </c>
      <c r="F72" s="123">
        <f t="shared" si="114"/>
        <v>0</v>
      </c>
      <c r="G72" s="123">
        <f t="shared" si="114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23">
        <v>0</v>
      </c>
      <c r="AR72" s="123">
        <v>0</v>
      </c>
      <c r="AS72" s="399"/>
      <c r="AT72" s="442"/>
      <c r="AU72" s="121"/>
      <c r="AV72" s="121"/>
      <c r="AW72" s="155"/>
    </row>
    <row r="73" spans="1:49" s="216" customFormat="1" ht="62.25" customHeight="1">
      <c r="A73" s="260"/>
      <c r="B73" s="261"/>
      <c r="C73" s="262"/>
      <c r="D73" s="263"/>
      <c r="E73" s="264" t="s">
        <v>476</v>
      </c>
      <c r="F73" s="123">
        <f t="shared" ref="F73" si="122">I73+L73+O73+R73+U73+X73+AA73+AD73+AG73+AJ73+AM73+AP73</f>
        <v>0</v>
      </c>
      <c r="G73" s="123">
        <f t="shared" ref="G73" si="123">J73+M73+P73+S73+V73+Y73+AB73+AE73+AH73+AK73+AN73+AQ73</f>
        <v>168</v>
      </c>
      <c r="H73" s="123">
        <v>0</v>
      </c>
      <c r="I73" s="123">
        <v>0</v>
      </c>
      <c r="J73" s="123">
        <v>0</v>
      </c>
      <c r="K73" s="123">
        <v>0</v>
      </c>
      <c r="L73" s="150">
        <v>0</v>
      </c>
      <c r="M73" s="123">
        <v>0</v>
      </c>
      <c r="N73" s="123">
        <v>0</v>
      </c>
      <c r="O73" s="123">
        <v>0</v>
      </c>
      <c r="P73" s="123">
        <v>99</v>
      </c>
      <c r="Q73" s="123">
        <v>0</v>
      </c>
      <c r="R73" s="123">
        <v>0</v>
      </c>
      <c r="S73" s="123">
        <v>0</v>
      </c>
      <c r="T73" s="132">
        <v>0</v>
      </c>
      <c r="U73" s="117">
        <v>0</v>
      </c>
      <c r="V73" s="117">
        <v>0</v>
      </c>
      <c r="W73" s="117">
        <v>0</v>
      </c>
      <c r="X73" s="117">
        <v>0</v>
      </c>
      <c r="Y73" s="117">
        <v>0</v>
      </c>
      <c r="Z73" s="117">
        <v>0</v>
      </c>
      <c r="AA73" s="117">
        <v>0</v>
      </c>
      <c r="AB73" s="117">
        <v>69</v>
      </c>
      <c r="AC73" s="117">
        <v>0</v>
      </c>
      <c r="AD73" s="117">
        <v>0</v>
      </c>
      <c r="AE73" s="117">
        <v>0</v>
      </c>
      <c r="AF73" s="117">
        <v>0</v>
      </c>
      <c r="AG73" s="117">
        <v>0</v>
      </c>
      <c r="AH73" s="117">
        <v>0</v>
      </c>
      <c r="AI73" s="117">
        <v>0</v>
      </c>
      <c r="AJ73" s="123">
        <v>0</v>
      </c>
      <c r="AK73" s="123">
        <v>0</v>
      </c>
      <c r="AL73" s="123">
        <v>0</v>
      </c>
      <c r="AM73" s="117">
        <v>0</v>
      </c>
      <c r="AN73" s="117">
        <v>0</v>
      </c>
      <c r="AO73" s="117">
        <v>0</v>
      </c>
      <c r="AP73" s="123">
        <v>0</v>
      </c>
      <c r="AQ73" s="123">
        <v>0</v>
      </c>
      <c r="AR73" s="123">
        <v>0</v>
      </c>
      <c r="AS73" s="218" t="s">
        <v>439</v>
      </c>
      <c r="AT73" s="219"/>
      <c r="AU73" s="121"/>
      <c r="AV73" s="121"/>
      <c r="AW73" s="155"/>
    </row>
    <row r="74" spans="1:49" s="31" customFormat="1" ht="25.5" customHeight="1">
      <c r="A74" s="499" t="s">
        <v>398</v>
      </c>
      <c r="B74" s="346" t="s">
        <v>258</v>
      </c>
      <c r="C74" s="349" t="s">
        <v>277</v>
      </c>
      <c r="D74" s="355" t="s">
        <v>400</v>
      </c>
      <c r="E74" s="248" t="s">
        <v>42</v>
      </c>
      <c r="F74" s="123">
        <f>SUM(F75:F77)</f>
        <v>111.4</v>
      </c>
      <c r="G74" s="123">
        <f t="shared" ref="G74" si="124">SUM(G75:G77)</f>
        <v>111.4</v>
      </c>
      <c r="H74" s="123">
        <f>G74/F74*100</f>
        <v>100</v>
      </c>
      <c r="I74" s="138">
        <f t="shared" ref="I74:AR74" si="125">I75+I76+I77</f>
        <v>0</v>
      </c>
      <c r="J74" s="138">
        <f t="shared" si="125"/>
        <v>0</v>
      </c>
      <c r="K74" s="123">
        <v>0</v>
      </c>
      <c r="L74" s="138">
        <f t="shared" si="125"/>
        <v>0</v>
      </c>
      <c r="M74" s="132">
        <f t="shared" si="125"/>
        <v>0</v>
      </c>
      <c r="N74" s="132">
        <v>0</v>
      </c>
      <c r="O74" s="132">
        <f t="shared" si="125"/>
        <v>0</v>
      </c>
      <c r="P74" s="132">
        <f t="shared" si="125"/>
        <v>0</v>
      </c>
      <c r="Q74" s="123">
        <v>0</v>
      </c>
      <c r="R74" s="132">
        <f t="shared" si="125"/>
        <v>0</v>
      </c>
      <c r="S74" s="132">
        <f t="shared" si="125"/>
        <v>0</v>
      </c>
      <c r="T74" s="132">
        <v>0</v>
      </c>
      <c r="U74" s="132">
        <f t="shared" si="125"/>
        <v>0</v>
      </c>
      <c r="V74" s="132">
        <f t="shared" si="125"/>
        <v>0</v>
      </c>
      <c r="W74" s="132">
        <f t="shared" si="125"/>
        <v>0</v>
      </c>
      <c r="X74" s="132">
        <f t="shared" si="125"/>
        <v>0</v>
      </c>
      <c r="Y74" s="132">
        <f t="shared" si="125"/>
        <v>0</v>
      </c>
      <c r="Z74" s="138">
        <f t="shared" si="125"/>
        <v>0</v>
      </c>
      <c r="AA74" s="138">
        <f t="shared" si="125"/>
        <v>0</v>
      </c>
      <c r="AB74" s="138">
        <f t="shared" si="125"/>
        <v>0</v>
      </c>
      <c r="AC74" s="138">
        <f t="shared" si="125"/>
        <v>0</v>
      </c>
      <c r="AD74" s="132">
        <f t="shared" si="125"/>
        <v>0</v>
      </c>
      <c r="AE74" s="132">
        <f t="shared" si="125"/>
        <v>0</v>
      </c>
      <c r="AF74" s="132">
        <f t="shared" si="125"/>
        <v>0</v>
      </c>
      <c r="AG74" s="132">
        <f t="shared" si="125"/>
        <v>0</v>
      </c>
      <c r="AH74" s="132">
        <f t="shared" si="125"/>
        <v>0</v>
      </c>
      <c r="AI74" s="132">
        <f t="shared" si="125"/>
        <v>0</v>
      </c>
      <c r="AJ74" s="132">
        <f t="shared" si="125"/>
        <v>0</v>
      </c>
      <c r="AK74" s="132">
        <f t="shared" si="125"/>
        <v>0</v>
      </c>
      <c r="AL74" s="132">
        <f t="shared" si="125"/>
        <v>0</v>
      </c>
      <c r="AM74" s="132">
        <f t="shared" si="125"/>
        <v>111.4</v>
      </c>
      <c r="AN74" s="132">
        <f t="shared" si="125"/>
        <v>111.4</v>
      </c>
      <c r="AO74" s="132">
        <f t="shared" si="125"/>
        <v>100</v>
      </c>
      <c r="AP74" s="132">
        <f t="shared" si="125"/>
        <v>0</v>
      </c>
      <c r="AQ74" s="132">
        <f t="shared" si="125"/>
        <v>0</v>
      </c>
      <c r="AR74" s="132">
        <f t="shared" si="125"/>
        <v>0</v>
      </c>
      <c r="AS74" s="397" t="s">
        <v>437</v>
      </c>
      <c r="AT74" s="416"/>
      <c r="AU74" s="121"/>
      <c r="AV74" s="121"/>
      <c r="AW74" s="155"/>
    </row>
    <row r="75" spans="1:49" s="31" customFormat="1" ht="40.5" customHeight="1">
      <c r="A75" s="500"/>
      <c r="B75" s="347"/>
      <c r="C75" s="350"/>
      <c r="D75" s="356"/>
      <c r="E75" s="249" t="s">
        <v>3</v>
      </c>
      <c r="F75" s="123">
        <f>I75+L75+O75+R75+U75+X75+AA75+AD75+AG75+AJ75+AM75+AP75</f>
        <v>0</v>
      </c>
      <c r="G75" s="123">
        <f>J75+M75+P75+S75+V75+Y75+AB75+AE75+AH75+AK75+AN75+AQ75</f>
        <v>0</v>
      </c>
      <c r="H75" s="123"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0</v>
      </c>
      <c r="AN75" s="117">
        <v>0</v>
      </c>
      <c r="AO75" s="117">
        <v>0</v>
      </c>
      <c r="AP75" s="123">
        <v>0</v>
      </c>
      <c r="AQ75" s="123">
        <v>0</v>
      </c>
      <c r="AR75" s="123">
        <v>0</v>
      </c>
      <c r="AS75" s="398"/>
      <c r="AT75" s="417"/>
      <c r="AU75" s="121"/>
      <c r="AV75" s="121"/>
      <c r="AW75" s="155"/>
    </row>
    <row r="76" spans="1:49" s="31" customFormat="1" ht="30" customHeight="1">
      <c r="A76" s="500"/>
      <c r="B76" s="347"/>
      <c r="C76" s="350"/>
      <c r="D76" s="356"/>
      <c r="E76" s="249" t="s">
        <v>44</v>
      </c>
      <c r="F76" s="123">
        <f t="shared" ref="F76:G77" si="126">I76+L76+O76+R76+U76+X76+AA76+AD76+AG76+AJ76+AM76+AP76</f>
        <v>111.4</v>
      </c>
      <c r="G76" s="123">
        <f t="shared" si="126"/>
        <v>111.4</v>
      </c>
      <c r="H76" s="123">
        <f>G76/F76*100</f>
        <v>100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38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111.4</v>
      </c>
      <c r="AN76" s="117">
        <v>111.4</v>
      </c>
      <c r="AO76" s="117">
        <f>AN76/AM76*100</f>
        <v>100</v>
      </c>
      <c r="AP76" s="123">
        <v>0</v>
      </c>
      <c r="AQ76" s="123">
        <v>0</v>
      </c>
      <c r="AR76" s="123">
        <v>0</v>
      </c>
      <c r="AS76" s="399"/>
      <c r="AT76" s="418"/>
      <c r="AU76" s="121"/>
      <c r="AV76" s="121"/>
      <c r="AW76" s="155"/>
    </row>
    <row r="77" spans="1:49" s="31" customFormat="1" ht="30" customHeight="1">
      <c r="A77" s="501"/>
      <c r="B77" s="348"/>
      <c r="C77" s="351"/>
      <c r="D77" s="362"/>
      <c r="E77" s="143" t="s">
        <v>257</v>
      </c>
      <c r="F77" s="123">
        <f t="shared" si="126"/>
        <v>0</v>
      </c>
      <c r="G77" s="123">
        <f t="shared" si="126"/>
        <v>0</v>
      </c>
      <c r="H77" s="123">
        <v>0</v>
      </c>
      <c r="I77" s="123">
        <v>0</v>
      </c>
      <c r="J77" s="123">
        <v>0</v>
      </c>
      <c r="K77" s="123">
        <v>0</v>
      </c>
      <c r="L77" s="150">
        <v>0</v>
      </c>
      <c r="M77" s="123">
        <v>0</v>
      </c>
      <c r="N77" s="123">
        <v>0</v>
      </c>
      <c r="O77" s="123">
        <v>0</v>
      </c>
      <c r="P77" s="123">
        <v>0</v>
      </c>
      <c r="Q77" s="123">
        <v>0</v>
      </c>
      <c r="R77" s="123">
        <v>0</v>
      </c>
      <c r="S77" s="123">
        <v>0</v>
      </c>
      <c r="T77" s="138">
        <v>0</v>
      </c>
      <c r="U77" s="117">
        <v>0</v>
      </c>
      <c r="V77" s="117">
        <v>0</v>
      </c>
      <c r="W77" s="117">
        <v>0</v>
      </c>
      <c r="X77" s="117">
        <v>0</v>
      </c>
      <c r="Y77" s="117">
        <v>0</v>
      </c>
      <c r="Z77" s="117">
        <v>0</v>
      </c>
      <c r="AA77" s="117">
        <v>0</v>
      </c>
      <c r="AB77" s="117">
        <v>0</v>
      </c>
      <c r="AC77" s="117">
        <v>0</v>
      </c>
      <c r="AD77" s="117">
        <v>0</v>
      </c>
      <c r="AE77" s="117">
        <v>0</v>
      </c>
      <c r="AF77" s="117">
        <v>0</v>
      </c>
      <c r="AG77" s="117">
        <v>0</v>
      </c>
      <c r="AH77" s="117">
        <v>0</v>
      </c>
      <c r="AI77" s="117">
        <v>0</v>
      </c>
      <c r="AJ77" s="123">
        <v>0</v>
      </c>
      <c r="AK77" s="123">
        <v>0</v>
      </c>
      <c r="AL77" s="123">
        <v>0</v>
      </c>
      <c r="AM77" s="117">
        <v>0</v>
      </c>
      <c r="AN77" s="117">
        <v>0</v>
      </c>
      <c r="AO77" s="117">
        <v>0</v>
      </c>
      <c r="AP77" s="123">
        <v>0</v>
      </c>
      <c r="AQ77" s="123"/>
      <c r="AR77" s="123"/>
      <c r="AS77" s="397" t="s">
        <v>438</v>
      </c>
      <c r="AT77" s="502" t="s">
        <v>468</v>
      </c>
      <c r="AU77" s="121"/>
      <c r="AV77" s="121"/>
      <c r="AW77" s="155"/>
    </row>
    <row r="78" spans="1:49" s="31" customFormat="1" ht="19.5" customHeight="1">
      <c r="A78" s="499" t="s">
        <v>399</v>
      </c>
      <c r="B78" s="346" t="s">
        <v>295</v>
      </c>
      <c r="C78" s="349" t="s">
        <v>401</v>
      </c>
      <c r="D78" s="355" t="s">
        <v>402</v>
      </c>
      <c r="E78" s="248" t="s">
        <v>42</v>
      </c>
      <c r="F78" s="123">
        <f>SUM(F79:F80)</f>
        <v>7704.4000000000005</v>
      </c>
      <c r="G78" s="123">
        <f>SUM(G79:G80)</f>
        <v>6942.7000000000007</v>
      </c>
      <c r="H78" s="123">
        <f>G78/F78*100</f>
        <v>90.113441669695234</v>
      </c>
      <c r="I78" s="132">
        <f>I79+I80</f>
        <v>0</v>
      </c>
      <c r="J78" s="132">
        <f>J79+J80</f>
        <v>0</v>
      </c>
      <c r="K78" s="123">
        <v>0</v>
      </c>
      <c r="L78" s="132">
        <f>L79+L80</f>
        <v>16</v>
      </c>
      <c r="M78" s="132">
        <f>M79+M80</f>
        <v>15.6</v>
      </c>
      <c r="N78" s="132">
        <f>M78/L78*100</f>
        <v>97.5</v>
      </c>
      <c r="O78" s="132">
        <f t="shared" ref="O78:P78" si="127">O79+O80</f>
        <v>103.90000000000009</v>
      </c>
      <c r="P78" s="132">
        <f t="shared" si="127"/>
        <v>2.2000000000000002</v>
      </c>
      <c r="Q78" s="123">
        <f t="shared" si="108"/>
        <v>2.1174205967276212</v>
      </c>
      <c r="R78" s="132">
        <f t="shared" ref="R78:S78" si="128">R79+R80</f>
        <v>1699.9999999999995</v>
      </c>
      <c r="S78" s="132">
        <f t="shared" si="128"/>
        <v>1696.4</v>
      </c>
      <c r="T78" s="132">
        <f t="shared" si="116"/>
        <v>99.788235294117683</v>
      </c>
      <c r="U78" s="132">
        <f t="shared" ref="U78:V78" si="129">U79+U80</f>
        <v>1239.2</v>
      </c>
      <c r="V78" s="132">
        <f t="shared" si="129"/>
        <v>1189.3</v>
      </c>
      <c r="W78" s="138">
        <f t="shared" ref="W78" si="130">V78/U78*100</f>
        <v>95.973208521626844</v>
      </c>
      <c r="X78" s="132">
        <f t="shared" ref="X78:Y78" si="131">X79+X80</f>
        <v>824.10000000000036</v>
      </c>
      <c r="Y78" s="132">
        <f t="shared" si="131"/>
        <v>352.7</v>
      </c>
      <c r="Z78" s="117">
        <f>Y78/X78*100</f>
        <v>42.798204101443979</v>
      </c>
      <c r="AA78" s="132">
        <f>AA79+AA80</f>
        <v>350</v>
      </c>
      <c r="AB78" s="132">
        <f>AB79+AB80</f>
        <v>345.9</v>
      </c>
      <c r="AC78" s="117">
        <f>AB78/AA78*100</f>
        <v>98.828571428571422</v>
      </c>
      <c r="AD78" s="132">
        <f>AD79+AD80</f>
        <v>753.40000000000009</v>
      </c>
      <c r="AE78" s="132">
        <f>AE79+AE80</f>
        <v>778.7</v>
      </c>
      <c r="AF78" s="123">
        <f t="shared" ref="AF78" si="132">AE78/AD78*100</f>
        <v>103.3581099017786</v>
      </c>
      <c r="AG78" s="132">
        <f>AG79+AG80</f>
        <v>788.69999999999982</v>
      </c>
      <c r="AH78" s="132">
        <f>AH79+AH80</f>
        <v>383.5</v>
      </c>
      <c r="AI78" s="123">
        <f t="shared" ref="AI78" si="133">AH78/AG78*100</f>
        <v>48.624318498795496</v>
      </c>
      <c r="AJ78" s="132">
        <f>AJ79+AJ80</f>
        <v>375.3</v>
      </c>
      <c r="AK78" s="132">
        <f t="shared" ref="AK78:AL78" si="134">AK79+AK80</f>
        <v>375.3</v>
      </c>
      <c r="AL78" s="132">
        <f t="shared" si="134"/>
        <v>100</v>
      </c>
      <c r="AM78" s="132">
        <f>AM79+AM80</f>
        <v>69.5</v>
      </c>
      <c r="AN78" s="132">
        <f t="shared" ref="AN78:AR78" si="135">AN79+AN80</f>
        <v>69.5</v>
      </c>
      <c r="AO78" s="132">
        <f t="shared" si="135"/>
        <v>100</v>
      </c>
      <c r="AP78" s="132">
        <f t="shared" si="135"/>
        <v>1484.3</v>
      </c>
      <c r="AQ78" s="132">
        <f t="shared" si="135"/>
        <v>1733.6</v>
      </c>
      <c r="AR78" s="132">
        <f t="shared" si="135"/>
        <v>116.79579599811359</v>
      </c>
      <c r="AS78" s="398"/>
      <c r="AT78" s="502"/>
      <c r="AU78" s="121"/>
      <c r="AV78" s="121"/>
      <c r="AW78" s="155"/>
    </row>
    <row r="79" spans="1:49" s="31" customFormat="1" ht="40.5" customHeight="1">
      <c r="A79" s="500"/>
      <c r="B79" s="347"/>
      <c r="C79" s="350"/>
      <c r="D79" s="356"/>
      <c r="E79" s="249" t="s">
        <v>3</v>
      </c>
      <c r="F79" s="123">
        <f>I79+L79+O79+R79+U79+X79+AA79+AD79+AG79+AJ79+AM79+AP79</f>
        <v>0</v>
      </c>
      <c r="G79" s="123">
        <f>J79+M79+P79+S79+V79+Y79+AB79+AE79+AH79+AK79+AN79+AQ79</f>
        <v>0</v>
      </c>
      <c r="H79" s="123">
        <v>0</v>
      </c>
      <c r="I79" s="123">
        <v>0</v>
      </c>
      <c r="J79" s="123">
        <v>0</v>
      </c>
      <c r="K79" s="123">
        <v>0</v>
      </c>
      <c r="L79" s="150">
        <v>0</v>
      </c>
      <c r="M79" s="123">
        <v>0</v>
      </c>
      <c r="N79" s="138">
        <v>0</v>
      </c>
      <c r="O79" s="123">
        <v>0</v>
      </c>
      <c r="P79" s="123">
        <v>0</v>
      </c>
      <c r="Q79" s="123">
        <v>0</v>
      </c>
      <c r="R79" s="123">
        <v>0</v>
      </c>
      <c r="S79" s="123">
        <v>0</v>
      </c>
      <c r="T79" s="138">
        <v>0</v>
      </c>
      <c r="U79" s="117">
        <v>0</v>
      </c>
      <c r="V79" s="117">
        <v>0</v>
      </c>
      <c r="W79" s="117">
        <v>0</v>
      </c>
      <c r="X79" s="117">
        <v>0</v>
      </c>
      <c r="Y79" s="117">
        <v>0</v>
      </c>
      <c r="Z79" s="117">
        <v>0</v>
      </c>
      <c r="AA79" s="117">
        <v>0</v>
      </c>
      <c r="AB79" s="117">
        <v>0</v>
      </c>
      <c r="AC79" s="117">
        <v>0</v>
      </c>
      <c r="AD79" s="117">
        <v>0</v>
      </c>
      <c r="AE79" s="117">
        <v>0</v>
      </c>
      <c r="AF79" s="117">
        <v>0</v>
      </c>
      <c r="AG79" s="117">
        <v>0</v>
      </c>
      <c r="AH79" s="117">
        <v>0</v>
      </c>
      <c r="AI79" s="117">
        <v>0</v>
      </c>
      <c r="AJ79" s="123">
        <v>0</v>
      </c>
      <c r="AK79" s="123">
        <v>0</v>
      </c>
      <c r="AL79" s="123">
        <v>0</v>
      </c>
      <c r="AM79" s="117">
        <v>0</v>
      </c>
      <c r="AN79" s="117">
        <v>0</v>
      </c>
      <c r="AO79" s="117">
        <v>0</v>
      </c>
      <c r="AP79" s="123">
        <v>0</v>
      </c>
      <c r="AQ79" s="123">
        <v>0</v>
      </c>
      <c r="AR79" s="123">
        <v>0</v>
      </c>
      <c r="AS79" s="398"/>
      <c r="AT79" s="502"/>
      <c r="AU79" s="121"/>
      <c r="AV79" s="121"/>
      <c r="AW79" s="155"/>
    </row>
    <row r="80" spans="1:49" s="31" customFormat="1" ht="39.75" customHeight="1">
      <c r="A80" s="500"/>
      <c r="B80" s="347"/>
      <c r="C80" s="350"/>
      <c r="D80" s="356"/>
      <c r="E80" s="265" t="s">
        <v>44</v>
      </c>
      <c r="F80" s="266">
        <f t="shared" ref="F80:G81" si="136">I80+L80+O80+R80+U80+X80+AA80+AD80+AG80+AJ80+AM80+AP80</f>
        <v>7704.4000000000005</v>
      </c>
      <c r="G80" s="266">
        <f t="shared" si="136"/>
        <v>6942.7000000000007</v>
      </c>
      <c r="H80" s="266">
        <f>G80/F80*100</f>
        <v>90.113441669695234</v>
      </c>
      <c r="I80" s="266">
        <v>0</v>
      </c>
      <c r="J80" s="266">
        <v>0</v>
      </c>
      <c r="K80" s="266">
        <v>0</v>
      </c>
      <c r="L80" s="267">
        <f>2231.1+45-2276.1+16</f>
        <v>16</v>
      </c>
      <c r="M80" s="266">
        <v>15.6</v>
      </c>
      <c r="N80" s="235">
        <f t="shared" ref="N80" si="137">M80/L80*100</f>
        <v>97.5</v>
      </c>
      <c r="O80" s="266">
        <f>1844+40+50-1734.1-16-80</f>
        <v>103.90000000000009</v>
      </c>
      <c r="P80" s="266">
        <v>2.2000000000000002</v>
      </c>
      <c r="Q80" s="266">
        <f t="shared" si="108"/>
        <v>2.1174205967276212</v>
      </c>
      <c r="R80" s="266">
        <f>229.2+38+4010.2-2577.4</f>
        <v>1699.9999999999995</v>
      </c>
      <c r="S80" s="266">
        <v>1696.4</v>
      </c>
      <c r="T80" s="235">
        <f t="shared" si="116"/>
        <v>99.788235294117683</v>
      </c>
      <c r="U80" s="268">
        <f>1129.2+30+80</f>
        <v>1239.2</v>
      </c>
      <c r="V80" s="268">
        <v>1189.3</v>
      </c>
      <c r="W80" s="235">
        <f t="shared" ref="W80" si="138">V80/U80*100</f>
        <v>95.973208521626844</v>
      </c>
      <c r="X80" s="268">
        <f>1149.2+28+50+2577.4-2650+17-347.5</f>
        <v>824.10000000000036</v>
      </c>
      <c r="Y80" s="268">
        <v>352.7</v>
      </c>
      <c r="Z80" s="268">
        <f>Y80/X80*100</f>
        <v>42.798204101443979</v>
      </c>
      <c r="AA80" s="268">
        <f>994.2+20-664.2</f>
        <v>350</v>
      </c>
      <c r="AB80" s="268">
        <v>345.9</v>
      </c>
      <c r="AC80" s="268">
        <f>AB80/AA80*100</f>
        <v>98.828571428571422</v>
      </c>
      <c r="AD80" s="268">
        <f>69.2+20+664.2</f>
        <v>753.40000000000009</v>
      </c>
      <c r="AE80" s="268">
        <v>778.7</v>
      </c>
      <c r="AF80" s="268">
        <f>AE80/AD80*100</f>
        <v>103.3581099017786</v>
      </c>
      <c r="AG80" s="268">
        <f>69.2+20+50+2650-2000.5</f>
        <v>788.69999999999982</v>
      </c>
      <c r="AH80" s="268">
        <v>383.5</v>
      </c>
      <c r="AI80" s="266">
        <f t="shared" ref="AI80" si="139">AH80/AG80*100</f>
        <v>48.624318498795496</v>
      </c>
      <c r="AJ80" s="266">
        <v>375.3</v>
      </c>
      <c r="AK80" s="266">
        <v>375.3</v>
      </c>
      <c r="AL80" s="266">
        <f>AK80/AJ80*100</f>
        <v>100</v>
      </c>
      <c r="AM80" s="268">
        <v>69.5</v>
      </c>
      <c r="AN80" s="268">
        <v>69.5</v>
      </c>
      <c r="AO80" s="268">
        <f>AN80/AM80*100</f>
        <v>100</v>
      </c>
      <c r="AP80" s="266">
        <f>1733.6-249.3</f>
        <v>1484.3</v>
      </c>
      <c r="AQ80" s="266">
        <v>1733.6</v>
      </c>
      <c r="AR80" s="266">
        <f>AQ80/AP80*100</f>
        <v>116.79579599811359</v>
      </c>
      <c r="AS80" s="399"/>
      <c r="AT80" s="502"/>
      <c r="AU80" s="121"/>
      <c r="AV80" s="121"/>
      <c r="AW80" s="155"/>
    </row>
    <row r="81" spans="1:65" s="216" customFormat="1" ht="59.25" customHeight="1">
      <c r="A81" s="269"/>
      <c r="B81" s="270"/>
      <c r="C81" s="271"/>
      <c r="D81" s="272"/>
      <c r="E81" s="264" t="s">
        <v>436</v>
      </c>
      <c r="F81" s="123">
        <f t="shared" si="136"/>
        <v>0</v>
      </c>
      <c r="G81" s="123">
        <f t="shared" si="136"/>
        <v>36</v>
      </c>
      <c r="H81" s="123">
        <v>0</v>
      </c>
      <c r="I81" s="123">
        <v>0</v>
      </c>
      <c r="J81" s="123">
        <v>0</v>
      </c>
      <c r="K81" s="123">
        <v>0</v>
      </c>
      <c r="L81" s="150">
        <v>0</v>
      </c>
      <c r="M81" s="123">
        <v>36</v>
      </c>
      <c r="N81" s="123">
        <v>0</v>
      </c>
      <c r="O81" s="123">
        <v>0</v>
      </c>
      <c r="P81" s="123">
        <v>0</v>
      </c>
      <c r="Q81" s="123">
        <v>0</v>
      </c>
      <c r="R81" s="123">
        <v>0</v>
      </c>
      <c r="S81" s="123">
        <v>0</v>
      </c>
      <c r="T81" s="132">
        <v>0</v>
      </c>
      <c r="U81" s="117">
        <v>0</v>
      </c>
      <c r="V81" s="117">
        <v>0</v>
      </c>
      <c r="W81" s="117">
        <v>0</v>
      </c>
      <c r="X81" s="117">
        <v>0</v>
      </c>
      <c r="Y81" s="117">
        <v>0</v>
      </c>
      <c r="Z81" s="117">
        <v>0</v>
      </c>
      <c r="AA81" s="117">
        <v>0</v>
      </c>
      <c r="AB81" s="117">
        <v>0</v>
      </c>
      <c r="AC81" s="117">
        <v>0</v>
      </c>
      <c r="AD81" s="117">
        <v>0</v>
      </c>
      <c r="AE81" s="117">
        <v>0</v>
      </c>
      <c r="AF81" s="117">
        <v>0</v>
      </c>
      <c r="AG81" s="117">
        <v>0</v>
      </c>
      <c r="AH81" s="117">
        <v>0</v>
      </c>
      <c r="AI81" s="117">
        <v>0</v>
      </c>
      <c r="AJ81" s="123">
        <v>0</v>
      </c>
      <c r="AK81" s="123">
        <v>0</v>
      </c>
      <c r="AL81" s="123">
        <v>0</v>
      </c>
      <c r="AM81" s="117">
        <v>0</v>
      </c>
      <c r="AN81" s="117">
        <v>0</v>
      </c>
      <c r="AO81" s="117">
        <v>0</v>
      </c>
      <c r="AP81" s="123">
        <v>0</v>
      </c>
      <c r="AQ81" s="123">
        <v>0</v>
      </c>
      <c r="AR81" s="123">
        <v>0</v>
      </c>
      <c r="AS81" s="237" t="s">
        <v>440</v>
      </c>
      <c r="AT81" s="222"/>
      <c r="AU81" s="121"/>
      <c r="AV81" s="121"/>
      <c r="AW81" s="155"/>
    </row>
    <row r="82" spans="1:65" s="100" customFormat="1" ht="19.5" customHeight="1">
      <c r="A82" s="503" t="s">
        <v>256</v>
      </c>
      <c r="B82" s="504"/>
      <c r="C82" s="504"/>
      <c r="D82" s="505"/>
      <c r="E82" s="247" t="s">
        <v>42</v>
      </c>
      <c r="F82" s="149">
        <f>F83+F84+F85</f>
        <v>449909.6</v>
      </c>
      <c r="G82" s="149">
        <f>G83+G84+G85</f>
        <v>442129.6</v>
      </c>
      <c r="H82" s="149">
        <f>G82/F82*100</f>
        <v>98.270763726757551</v>
      </c>
      <c r="I82" s="149">
        <f t="shared" ref="I82:J82" si="140">I83+I84+I85</f>
        <v>13742.9</v>
      </c>
      <c r="J82" s="149">
        <f t="shared" si="140"/>
        <v>25267</v>
      </c>
      <c r="K82" s="149">
        <f>J82/I82*100</f>
        <v>183.85493600331807</v>
      </c>
      <c r="L82" s="149">
        <f t="shared" ref="L82:M82" si="141">L83+L84+L85</f>
        <v>42624.200000000004</v>
      </c>
      <c r="M82" s="149">
        <f t="shared" si="141"/>
        <v>33691.599999999999</v>
      </c>
      <c r="N82" s="149">
        <f>M82/L82*100</f>
        <v>79.043360344592955</v>
      </c>
      <c r="O82" s="149">
        <f t="shared" ref="O82:P82" si="142">O83+O84+O85</f>
        <v>36637.5</v>
      </c>
      <c r="P82" s="149">
        <f t="shared" si="142"/>
        <v>28614.499999999996</v>
      </c>
      <c r="Q82" s="149">
        <f>P82/O82*100</f>
        <v>78.101671784373934</v>
      </c>
      <c r="R82" s="149">
        <f t="shared" ref="R82:S82" si="143">R83+R84+R85</f>
        <v>44844.7</v>
      </c>
      <c r="S82" s="149">
        <f t="shared" si="143"/>
        <v>42042.9</v>
      </c>
      <c r="T82" s="149">
        <f>S82/R82*100</f>
        <v>93.752215980929748</v>
      </c>
      <c r="U82" s="149">
        <f t="shared" ref="U82:V82" si="144">U83+U84+U85</f>
        <v>37488.19999999999</v>
      </c>
      <c r="V82" s="149">
        <f t="shared" si="144"/>
        <v>35599.1</v>
      </c>
      <c r="W82" s="149">
        <f>V82/U82*100</f>
        <v>94.960814336244496</v>
      </c>
      <c r="X82" s="149">
        <f t="shared" ref="X82:Y82" si="145">X83+X84+X85</f>
        <v>40605.4</v>
      </c>
      <c r="Y82" s="149">
        <f t="shared" si="145"/>
        <v>34773.699999999997</v>
      </c>
      <c r="Z82" s="149">
        <f>Y82/X82*100</f>
        <v>85.63811709772591</v>
      </c>
      <c r="AA82" s="149">
        <f t="shared" ref="AA82:AB82" si="146">AA83+AA84+AA85</f>
        <v>50591.6</v>
      </c>
      <c r="AB82" s="149">
        <f t="shared" si="146"/>
        <v>45525.8</v>
      </c>
      <c r="AC82" s="149">
        <f>AB82/AA82*100</f>
        <v>89.986875291550376</v>
      </c>
      <c r="AD82" s="149">
        <f t="shared" ref="AD82:AE82" si="147">AD83+AD84+AD85</f>
        <v>32852.299999999996</v>
      </c>
      <c r="AE82" s="149">
        <f t="shared" si="147"/>
        <v>31583.4</v>
      </c>
      <c r="AF82" s="149">
        <f>AE82/AD82*100</f>
        <v>96.137561144881815</v>
      </c>
      <c r="AG82" s="149">
        <f t="shared" ref="AG82:AH82" si="148">AG83+AG84+AG85</f>
        <v>29322.199999999997</v>
      </c>
      <c r="AH82" s="149">
        <f t="shared" si="148"/>
        <v>24816.3</v>
      </c>
      <c r="AI82" s="149">
        <f>AH82/AG82*100</f>
        <v>84.63314485270547</v>
      </c>
      <c r="AJ82" s="149">
        <f t="shared" ref="AJ82:AK82" si="149">AJ83+AJ84+AJ85</f>
        <v>37495</v>
      </c>
      <c r="AK82" s="149">
        <f t="shared" si="149"/>
        <v>38642.699999999997</v>
      </c>
      <c r="AL82" s="149">
        <f>AK82/AJ82*100</f>
        <v>103.06094145886118</v>
      </c>
      <c r="AM82" s="149">
        <f t="shared" ref="AM82:AN82" si="150">AM83+AM84+AM85</f>
        <v>29064.799999999996</v>
      </c>
      <c r="AN82" s="149">
        <f t="shared" si="150"/>
        <v>29544.399999999998</v>
      </c>
      <c r="AO82" s="149">
        <f>AN82/AM82*100</f>
        <v>101.65010597010817</v>
      </c>
      <c r="AP82" s="149">
        <f t="shared" ref="AP82:AQ82" si="151">AP83+AP84+AP85</f>
        <v>54640.800000000003</v>
      </c>
      <c r="AQ82" s="149">
        <f t="shared" si="151"/>
        <v>72028.2</v>
      </c>
      <c r="AR82" s="149">
        <f>AQ82/AP82*100</f>
        <v>131.82127640883735</v>
      </c>
      <c r="AS82" s="220"/>
      <c r="AT82" s="223"/>
      <c r="AU82" s="121"/>
      <c r="AV82" s="121"/>
      <c r="AW82" s="155"/>
    </row>
    <row r="83" spans="1:65" s="100" customFormat="1" ht="41.25" customHeight="1">
      <c r="A83" s="506"/>
      <c r="B83" s="507"/>
      <c r="C83" s="507"/>
      <c r="D83" s="508"/>
      <c r="E83" s="246" t="s">
        <v>3</v>
      </c>
      <c r="F83" s="149">
        <f t="shared" ref="F83:G85" si="152">F10+F34+F49+F63</f>
        <v>127625.09999999999</v>
      </c>
      <c r="G83" s="149">
        <f t="shared" si="152"/>
        <v>127298.8</v>
      </c>
      <c r="H83" s="149">
        <f>G83/F83*100</f>
        <v>99.744329289457951</v>
      </c>
      <c r="I83" s="149">
        <f t="shared" ref="I83:J85" si="153">I10+I34+I49+I63</f>
        <v>849.99999999999989</v>
      </c>
      <c r="J83" s="149">
        <f t="shared" si="153"/>
        <v>826.6</v>
      </c>
      <c r="K83" s="149">
        <f t="shared" ref="K83:K85" si="154">J83/I83*100</f>
        <v>97.247058823529429</v>
      </c>
      <c r="L83" s="149">
        <f t="shared" ref="L83:M85" si="155">L10+L34+L49+L63</f>
        <v>8876.4</v>
      </c>
      <c r="M83" s="149">
        <f t="shared" si="155"/>
        <v>8651.2000000000007</v>
      </c>
      <c r="N83" s="149">
        <f t="shared" ref="N83:N85" si="156">M83/L83*100</f>
        <v>97.462935424271109</v>
      </c>
      <c r="O83" s="149">
        <f t="shared" ref="O83:P85" si="157">O10+O34+O49+O63</f>
        <v>8985.0999999999985</v>
      </c>
      <c r="P83" s="149">
        <f t="shared" si="157"/>
        <v>8496.4</v>
      </c>
      <c r="Q83" s="149">
        <f t="shared" ref="Q83:Q85" si="158">P83/O83*100</f>
        <v>94.560995425760439</v>
      </c>
      <c r="R83" s="149">
        <f t="shared" ref="R83:S85" si="159">R10+R34+R49+R63</f>
        <v>9910.9</v>
      </c>
      <c r="S83" s="149">
        <f t="shared" si="159"/>
        <v>9835.2999999999993</v>
      </c>
      <c r="T83" s="149">
        <f t="shared" ref="T83:T85" si="160">S83/R83*100</f>
        <v>99.237203483033838</v>
      </c>
      <c r="U83" s="149">
        <f t="shared" ref="U83:V85" si="161">U10+U34+U49+U63</f>
        <v>9079.1999999999989</v>
      </c>
      <c r="V83" s="149">
        <f t="shared" si="161"/>
        <v>9181.5</v>
      </c>
      <c r="W83" s="149">
        <f t="shared" ref="W83:W85" si="162">V83/U83*100</f>
        <v>101.12675125561725</v>
      </c>
      <c r="X83" s="149">
        <f t="shared" ref="X83:Y85" si="163">X10+X34+X49+X63</f>
        <v>10430.4</v>
      </c>
      <c r="Y83" s="149">
        <f t="shared" si="163"/>
        <v>9323</v>
      </c>
      <c r="Z83" s="149">
        <f t="shared" ref="Z83:Z85" si="164">Y83/X83*100</f>
        <v>89.382957508820368</v>
      </c>
      <c r="AA83" s="149">
        <f t="shared" ref="AA83:AB85" si="165">AA10+AA34+AA49+AA63</f>
        <v>12421.4</v>
      </c>
      <c r="AB83" s="149">
        <f t="shared" si="165"/>
        <v>12386</v>
      </c>
      <c r="AC83" s="149">
        <f t="shared" ref="AC83:AC85" si="166">AB83/AA83*100</f>
        <v>99.715007970116091</v>
      </c>
      <c r="AD83" s="149">
        <f t="shared" ref="AD83:AE85" si="167">AD10+AD34+AD49+AD63</f>
        <v>11734.9</v>
      </c>
      <c r="AE83" s="149">
        <f t="shared" si="167"/>
        <v>11800.6</v>
      </c>
      <c r="AF83" s="149">
        <f t="shared" ref="AF83:AF85" si="168">AE83/AD83*100</f>
        <v>100.55986842665894</v>
      </c>
      <c r="AG83" s="149">
        <f t="shared" ref="AG83:AH85" si="169">AG10+AG34+AG49+AG63</f>
        <v>10883.8</v>
      </c>
      <c r="AH83" s="149">
        <f t="shared" si="169"/>
        <v>9144.2000000000007</v>
      </c>
      <c r="AI83" s="149">
        <f t="shared" ref="AI83:AI85" si="170">AH83/AG83*100</f>
        <v>84.016611845127628</v>
      </c>
      <c r="AJ83" s="149">
        <f t="shared" ref="AJ83:AK85" si="171">AJ10+AJ34+AJ49+AJ63</f>
        <v>10290.6</v>
      </c>
      <c r="AK83" s="149">
        <f t="shared" si="171"/>
        <v>11459.5</v>
      </c>
      <c r="AL83" s="149">
        <f t="shared" ref="AL83:AL85" si="172">AK83/AJ83*100</f>
        <v>111.35891007327075</v>
      </c>
      <c r="AM83" s="149">
        <f t="shared" ref="AM83:AN85" si="173">AM10+AM34+AM49+AM63</f>
        <v>10991</v>
      </c>
      <c r="AN83" s="149">
        <f t="shared" si="173"/>
        <v>11991.099999999999</v>
      </c>
      <c r="AO83" s="149">
        <f t="shared" ref="AO83:AO85" si="174">AN83/AM83*100</f>
        <v>109.09926303339094</v>
      </c>
      <c r="AP83" s="149">
        <f t="shared" ref="AP83:AQ85" si="175">AP10+AP34+AP49+AP63</f>
        <v>23171.4</v>
      </c>
      <c r="AQ83" s="149">
        <f t="shared" si="175"/>
        <v>24203.4</v>
      </c>
      <c r="AR83" s="149">
        <f t="shared" ref="AR83:AR85" si="176">AQ83/AP83*100</f>
        <v>104.45376628084621</v>
      </c>
      <c r="AS83" s="220"/>
      <c r="AT83" s="223"/>
      <c r="AU83" s="121"/>
      <c r="AV83" s="121"/>
      <c r="AW83" s="155"/>
    </row>
    <row r="84" spans="1:65" s="100" customFormat="1" ht="36.75" customHeight="1">
      <c r="A84" s="506"/>
      <c r="B84" s="507"/>
      <c r="C84" s="507"/>
      <c r="D84" s="508"/>
      <c r="E84" s="246" t="s">
        <v>44</v>
      </c>
      <c r="F84" s="149">
        <f t="shared" si="152"/>
        <v>316270.7</v>
      </c>
      <c r="G84" s="149">
        <f t="shared" si="152"/>
        <v>308876.09999999998</v>
      </c>
      <c r="H84" s="149">
        <f>G84/F84*100</f>
        <v>97.661939597945661</v>
      </c>
      <c r="I84" s="149">
        <f t="shared" si="153"/>
        <v>12631.1</v>
      </c>
      <c r="J84" s="149">
        <f t="shared" si="153"/>
        <v>24440.400000000001</v>
      </c>
      <c r="K84" s="149">
        <f t="shared" si="154"/>
        <v>193.49383664130599</v>
      </c>
      <c r="L84" s="149">
        <f t="shared" si="155"/>
        <v>33411.300000000003</v>
      </c>
      <c r="M84" s="149">
        <f t="shared" si="155"/>
        <v>24818.800000000003</v>
      </c>
      <c r="N84" s="149">
        <f t="shared" si="156"/>
        <v>74.282652874925546</v>
      </c>
      <c r="O84" s="149">
        <f t="shared" si="157"/>
        <v>26926.1</v>
      </c>
      <c r="P84" s="149">
        <f t="shared" si="157"/>
        <v>19533.8</v>
      </c>
      <c r="Q84" s="149">
        <f t="shared" si="158"/>
        <v>72.545968409832838</v>
      </c>
      <c r="R84" s="149">
        <f t="shared" si="159"/>
        <v>34232.199999999997</v>
      </c>
      <c r="S84" s="149">
        <f t="shared" si="159"/>
        <v>31506.100000000002</v>
      </c>
      <c r="T84" s="149">
        <f t="shared" si="160"/>
        <v>92.036445218244822</v>
      </c>
      <c r="U84" s="149">
        <f t="shared" si="161"/>
        <v>27838.299999999996</v>
      </c>
      <c r="V84" s="149">
        <f t="shared" si="161"/>
        <v>25768.7</v>
      </c>
      <c r="W84" s="149">
        <f t="shared" si="162"/>
        <v>92.56563798795186</v>
      </c>
      <c r="X84" s="149">
        <f t="shared" si="163"/>
        <v>29791.1</v>
      </c>
      <c r="Y84" s="149">
        <f t="shared" si="163"/>
        <v>25032.1</v>
      </c>
      <c r="Z84" s="149">
        <f t="shared" si="164"/>
        <v>84.025430413781294</v>
      </c>
      <c r="AA84" s="149">
        <f t="shared" si="165"/>
        <v>37541.199999999997</v>
      </c>
      <c r="AB84" s="149">
        <f t="shared" si="165"/>
        <v>32414</v>
      </c>
      <c r="AC84" s="149">
        <f t="shared" si="166"/>
        <v>86.342471737717503</v>
      </c>
      <c r="AD84" s="149">
        <f t="shared" si="167"/>
        <v>20889.399999999998</v>
      </c>
      <c r="AE84" s="149">
        <f t="shared" si="167"/>
        <v>19457.3</v>
      </c>
      <c r="AF84" s="149">
        <f t="shared" si="168"/>
        <v>93.144369871801018</v>
      </c>
      <c r="AG84" s="149">
        <f t="shared" si="169"/>
        <v>17993.199999999997</v>
      </c>
      <c r="AH84" s="149">
        <f t="shared" si="169"/>
        <v>15184.299999999997</v>
      </c>
      <c r="AI84" s="149">
        <f t="shared" si="170"/>
        <v>84.389102549852169</v>
      </c>
      <c r="AJ84" s="149">
        <f t="shared" si="171"/>
        <v>26604.399999999998</v>
      </c>
      <c r="AK84" s="149">
        <f t="shared" si="171"/>
        <v>26584.6</v>
      </c>
      <c r="AL84" s="149">
        <f t="shared" si="172"/>
        <v>99.925576220474809</v>
      </c>
      <c r="AM84" s="149">
        <f t="shared" si="173"/>
        <v>17603.799999999996</v>
      </c>
      <c r="AN84" s="149">
        <f t="shared" si="173"/>
        <v>17089.599999999999</v>
      </c>
      <c r="AO84" s="149">
        <f t="shared" si="174"/>
        <v>97.079039752780659</v>
      </c>
      <c r="AP84" s="149">
        <f t="shared" si="175"/>
        <v>30808.6</v>
      </c>
      <c r="AQ84" s="149">
        <f t="shared" si="175"/>
        <v>47046.400000000001</v>
      </c>
      <c r="AR84" s="149">
        <f t="shared" si="176"/>
        <v>152.70541342352462</v>
      </c>
      <c r="AS84" s="224"/>
      <c r="AT84" s="221"/>
      <c r="AU84" s="121"/>
      <c r="AV84" s="121"/>
      <c r="AW84" s="155"/>
    </row>
    <row r="85" spans="1:65" s="100" customFormat="1" ht="34.5" customHeight="1">
      <c r="A85" s="506"/>
      <c r="B85" s="507"/>
      <c r="C85" s="507"/>
      <c r="D85" s="508"/>
      <c r="E85" s="247" t="s">
        <v>257</v>
      </c>
      <c r="F85" s="149">
        <f t="shared" si="152"/>
        <v>6013.8</v>
      </c>
      <c r="G85" s="149">
        <f t="shared" si="152"/>
        <v>5954.7</v>
      </c>
      <c r="H85" s="149">
        <f>G85/F85*100</f>
        <v>99.01726030130699</v>
      </c>
      <c r="I85" s="149">
        <f t="shared" si="153"/>
        <v>261.8</v>
      </c>
      <c r="J85" s="149">
        <f t="shared" si="153"/>
        <v>0</v>
      </c>
      <c r="K85" s="149">
        <f t="shared" si="154"/>
        <v>0</v>
      </c>
      <c r="L85" s="149">
        <f t="shared" si="155"/>
        <v>336.5</v>
      </c>
      <c r="M85" s="149">
        <f t="shared" si="155"/>
        <v>221.6</v>
      </c>
      <c r="N85" s="149">
        <f t="shared" si="156"/>
        <v>65.854383358098062</v>
      </c>
      <c r="O85" s="149">
        <f t="shared" si="157"/>
        <v>726.3</v>
      </c>
      <c r="P85" s="149">
        <f t="shared" si="157"/>
        <v>584.29999999999995</v>
      </c>
      <c r="Q85" s="149">
        <f t="shared" si="158"/>
        <v>80.448850337326178</v>
      </c>
      <c r="R85" s="149">
        <f t="shared" si="159"/>
        <v>701.6</v>
      </c>
      <c r="S85" s="149">
        <f t="shared" si="159"/>
        <v>701.5</v>
      </c>
      <c r="T85" s="149">
        <f t="shared" si="160"/>
        <v>99.985746864310144</v>
      </c>
      <c r="U85" s="149">
        <f t="shared" si="161"/>
        <v>570.70000000000005</v>
      </c>
      <c r="V85" s="149">
        <f t="shared" si="161"/>
        <v>648.9</v>
      </c>
      <c r="W85" s="149">
        <f t="shared" si="162"/>
        <v>113.70247065007884</v>
      </c>
      <c r="X85" s="149">
        <f t="shared" si="163"/>
        <v>383.90000000000009</v>
      </c>
      <c r="Y85" s="149">
        <f t="shared" si="163"/>
        <v>418.6</v>
      </c>
      <c r="Z85" s="149">
        <f t="shared" si="164"/>
        <v>109.03881219067463</v>
      </c>
      <c r="AA85" s="149">
        <f t="shared" si="165"/>
        <v>629</v>
      </c>
      <c r="AB85" s="149">
        <f t="shared" si="165"/>
        <v>725.8</v>
      </c>
      <c r="AC85" s="149">
        <f t="shared" si="166"/>
        <v>115.38950715421304</v>
      </c>
      <c r="AD85" s="149">
        <f t="shared" si="167"/>
        <v>228</v>
      </c>
      <c r="AE85" s="149">
        <f t="shared" si="167"/>
        <v>325.5</v>
      </c>
      <c r="AF85" s="149">
        <f t="shared" si="168"/>
        <v>142.76315789473685</v>
      </c>
      <c r="AG85" s="149">
        <f t="shared" si="169"/>
        <v>445.20000000000005</v>
      </c>
      <c r="AH85" s="149">
        <f t="shared" si="169"/>
        <v>487.8</v>
      </c>
      <c r="AI85" s="149">
        <f t="shared" si="170"/>
        <v>109.5687331536388</v>
      </c>
      <c r="AJ85" s="149">
        <f t="shared" si="171"/>
        <v>600</v>
      </c>
      <c r="AK85" s="149">
        <f t="shared" si="171"/>
        <v>598.6</v>
      </c>
      <c r="AL85" s="149">
        <f t="shared" si="172"/>
        <v>99.766666666666666</v>
      </c>
      <c r="AM85" s="149">
        <f t="shared" si="173"/>
        <v>470</v>
      </c>
      <c r="AN85" s="149">
        <f t="shared" si="173"/>
        <v>463.7</v>
      </c>
      <c r="AO85" s="149">
        <f t="shared" si="174"/>
        <v>98.659574468085111</v>
      </c>
      <c r="AP85" s="149">
        <f t="shared" si="175"/>
        <v>660.8</v>
      </c>
      <c r="AQ85" s="149">
        <f t="shared" si="175"/>
        <v>778.4</v>
      </c>
      <c r="AR85" s="149">
        <f t="shared" si="176"/>
        <v>117.79661016949152</v>
      </c>
      <c r="AS85" s="224"/>
      <c r="AT85" s="221"/>
      <c r="AU85" s="121"/>
      <c r="AV85" s="121"/>
      <c r="AW85" s="155"/>
    </row>
    <row r="86" spans="1:65" s="31" customFormat="1" ht="78.75" customHeight="1">
      <c r="A86" s="509"/>
      <c r="B86" s="510"/>
      <c r="C86" s="510"/>
      <c r="D86" s="511"/>
      <c r="E86" s="264" t="s">
        <v>476</v>
      </c>
      <c r="F86" s="123">
        <f t="shared" ref="F86" si="177">I86+L86+O86+R86+U86+X86+AA86+AD86+AG86+AJ86+AM86+AP86</f>
        <v>0</v>
      </c>
      <c r="G86" s="123">
        <f>G73+G81</f>
        <v>204</v>
      </c>
      <c r="H86" s="123">
        <f t="shared" ref="H86:Q86" si="178">-H81+H73</f>
        <v>0</v>
      </c>
      <c r="I86" s="123">
        <f t="shared" si="178"/>
        <v>0</v>
      </c>
      <c r="J86" s="123">
        <f t="shared" si="178"/>
        <v>0</v>
      </c>
      <c r="K86" s="123">
        <f t="shared" si="178"/>
        <v>0</v>
      </c>
      <c r="L86" s="123">
        <f t="shared" si="178"/>
        <v>0</v>
      </c>
      <c r="M86" s="123">
        <f>M81</f>
        <v>36</v>
      </c>
      <c r="N86" s="123">
        <f t="shared" si="178"/>
        <v>0</v>
      </c>
      <c r="O86" s="123">
        <f t="shared" si="178"/>
        <v>0</v>
      </c>
      <c r="P86" s="123">
        <f t="shared" si="178"/>
        <v>99</v>
      </c>
      <c r="Q86" s="123">
        <f t="shared" si="178"/>
        <v>0</v>
      </c>
      <c r="R86" s="123">
        <v>0</v>
      </c>
      <c r="S86" s="123">
        <v>0</v>
      </c>
      <c r="T86" s="132">
        <v>0</v>
      </c>
      <c r="U86" s="117">
        <v>0</v>
      </c>
      <c r="V86" s="117">
        <v>0</v>
      </c>
      <c r="W86" s="117">
        <v>0</v>
      </c>
      <c r="X86" s="117">
        <v>0</v>
      </c>
      <c r="Y86" s="117">
        <v>0</v>
      </c>
      <c r="Z86" s="117">
        <v>0</v>
      </c>
      <c r="AA86" s="117">
        <v>0</v>
      </c>
      <c r="AB86" s="117">
        <v>69</v>
      </c>
      <c r="AC86" s="117">
        <v>0</v>
      </c>
      <c r="AD86" s="117">
        <v>0</v>
      </c>
      <c r="AE86" s="117">
        <v>0</v>
      </c>
      <c r="AF86" s="117">
        <v>0</v>
      </c>
      <c r="AG86" s="117">
        <v>0</v>
      </c>
      <c r="AH86" s="117">
        <v>0</v>
      </c>
      <c r="AI86" s="117">
        <v>0</v>
      </c>
      <c r="AJ86" s="123">
        <v>0</v>
      </c>
      <c r="AK86" s="123">
        <v>0</v>
      </c>
      <c r="AL86" s="123">
        <v>0</v>
      </c>
      <c r="AM86" s="117">
        <v>0</v>
      </c>
      <c r="AN86" s="117">
        <v>0</v>
      </c>
      <c r="AO86" s="117">
        <v>0</v>
      </c>
      <c r="AP86" s="123">
        <v>0</v>
      </c>
      <c r="AQ86" s="123">
        <v>0</v>
      </c>
      <c r="AR86" s="123">
        <v>0</v>
      </c>
      <c r="AS86" s="224"/>
      <c r="AT86" s="221"/>
      <c r="AU86" s="121"/>
      <c r="AV86" s="121"/>
      <c r="AW86" s="155"/>
    </row>
    <row r="87" spans="1:65" ht="15" customHeight="1">
      <c r="AS87" s="225"/>
    </row>
    <row r="88" spans="1:65" s="31" customFormat="1" ht="15.75">
      <c r="A88" s="275" t="s">
        <v>469</v>
      </c>
      <c r="B88" s="275"/>
      <c r="C88" s="275"/>
      <c r="D88" s="151"/>
      <c r="E88" s="29"/>
      <c r="F88" s="101"/>
      <c r="G88" s="276"/>
      <c r="H88" s="277" t="s">
        <v>470</v>
      </c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278"/>
      <c r="BJ88" s="151"/>
      <c r="BK88" s="151"/>
      <c r="BL88" s="151"/>
      <c r="BM88" s="151"/>
    </row>
    <row r="89" spans="1:65" s="31" customFormat="1" ht="15.75">
      <c r="A89" s="458" t="s">
        <v>471</v>
      </c>
      <c r="B89" s="458"/>
      <c r="C89" s="458"/>
      <c r="D89" s="151"/>
      <c r="E89" s="29"/>
      <c r="F89" s="101"/>
      <c r="G89" s="276"/>
      <c r="H89" s="277" t="s">
        <v>472</v>
      </c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</row>
    <row r="90" spans="1:65" s="31" customFormat="1" ht="15.75">
      <c r="A90" s="277"/>
      <c r="B90" s="277"/>
      <c r="C90" s="277"/>
      <c r="D90" s="151"/>
      <c r="E90" s="29"/>
      <c r="F90" s="101"/>
      <c r="G90" s="146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</row>
    <row r="91" spans="1:65" s="31" customFormat="1" ht="42.75" customHeight="1">
      <c r="A91" s="459" t="s">
        <v>474</v>
      </c>
      <c r="B91" s="459"/>
      <c r="C91" s="459"/>
      <c r="D91" s="459"/>
      <c r="E91" s="459"/>
      <c r="F91" s="459"/>
      <c r="G91" s="276"/>
      <c r="H91" s="277" t="s">
        <v>473</v>
      </c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</row>
    <row r="92" spans="1:65" s="31" customFormat="1" ht="15.75">
      <c r="A92" s="151"/>
      <c r="B92" s="151"/>
      <c r="C92" s="151"/>
      <c r="D92" s="151"/>
      <c r="E92" s="29"/>
      <c r="F92" s="101"/>
      <c r="G92" s="101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277"/>
      <c r="AC92" s="277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</row>
    <row r="93" spans="1:65" ht="15" customHeight="1">
      <c r="AS93" s="225"/>
    </row>
    <row r="94" spans="1:65" ht="15" customHeight="1">
      <c r="AS94" s="225"/>
    </row>
    <row r="95" spans="1:65" ht="15" customHeight="1">
      <c r="AS95" s="225"/>
    </row>
    <row r="96" spans="1:65" ht="15" customHeight="1">
      <c r="AS96" s="225"/>
    </row>
    <row r="97" spans="45:45" ht="15" customHeight="1">
      <c r="AS97" s="225"/>
    </row>
    <row r="98" spans="45:45" ht="15" customHeight="1">
      <c r="AS98" s="225"/>
    </row>
    <row r="99" spans="45:45" ht="15" customHeight="1">
      <c r="AS99" s="225"/>
    </row>
    <row r="100" spans="45:45" ht="15" customHeight="1">
      <c r="AS100" s="225"/>
    </row>
    <row r="101" spans="45:45" ht="15" customHeight="1">
      <c r="AS101" s="225"/>
    </row>
    <row r="102" spans="45:45" ht="15" customHeight="1">
      <c r="AS102" s="225"/>
    </row>
    <row r="103" spans="45:45" ht="15" customHeight="1">
      <c r="AS103" s="225"/>
    </row>
    <row r="104" spans="45:45" ht="15" customHeight="1">
      <c r="AS104" s="225"/>
    </row>
    <row r="105" spans="45:45" ht="15" customHeight="1">
      <c r="AS105" s="225"/>
    </row>
    <row r="106" spans="45:45" ht="15" customHeight="1">
      <c r="AS106" s="225"/>
    </row>
    <row r="107" spans="45:45" ht="15" customHeight="1">
      <c r="AS107" s="225"/>
    </row>
    <row r="108" spans="45:45" ht="15" customHeight="1">
      <c r="AS108" s="225"/>
    </row>
    <row r="109" spans="45:45" ht="15" customHeight="1">
      <c r="AS109" s="225"/>
    </row>
    <row r="110" spans="45:45" ht="15" customHeight="1">
      <c r="AS110" s="225"/>
    </row>
    <row r="111" spans="45:45" ht="15" customHeight="1">
      <c r="AS111" s="225"/>
    </row>
    <row r="112" spans="45:45" ht="15" customHeight="1">
      <c r="AS112" s="225"/>
    </row>
    <row r="113" spans="45:45" ht="15" customHeight="1">
      <c r="AS113" s="225"/>
    </row>
    <row r="114" spans="45:45" ht="15" customHeight="1">
      <c r="AS114" s="225"/>
    </row>
    <row r="115" spans="45:45" ht="15" customHeight="1">
      <c r="AS115" s="225"/>
    </row>
    <row r="116" spans="45:45" ht="15" customHeight="1">
      <c r="AS116" s="225"/>
    </row>
    <row r="117" spans="45:45" ht="15" customHeight="1">
      <c r="AS117" s="225"/>
    </row>
    <row r="118" spans="45:45" ht="15" customHeight="1">
      <c r="AS118" s="225"/>
    </row>
    <row r="119" spans="45:45">
      <c r="AS119" s="225"/>
    </row>
    <row r="120" spans="45:45">
      <c r="AS120" s="225"/>
    </row>
    <row r="121" spans="45:45">
      <c r="AS121" s="225"/>
    </row>
    <row r="122" spans="45:45">
      <c r="AS122" s="225"/>
    </row>
    <row r="123" spans="45:45">
      <c r="AS123" s="225"/>
    </row>
    <row r="124" spans="45:45">
      <c r="AS124" s="225"/>
    </row>
    <row r="125" spans="45:45">
      <c r="AS125" s="225"/>
    </row>
    <row r="126" spans="45:45">
      <c r="AS126" s="225"/>
    </row>
    <row r="127" spans="45:45">
      <c r="AS127" s="225"/>
    </row>
    <row r="128" spans="45:45">
      <c r="AS128" s="225"/>
    </row>
    <row r="129" spans="45:45">
      <c r="AS129" s="225"/>
    </row>
    <row r="130" spans="45:45">
      <c r="AS130" s="225"/>
    </row>
    <row r="131" spans="45:45">
      <c r="AS131" s="225"/>
    </row>
    <row r="132" spans="45:45">
      <c r="AS132" s="225"/>
    </row>
    <row r="133" spans="45:45">
      <c r="AS133" s="225"/>
    </row>
    <row r="134" spans="45:45">
      <c r="AS134" s="225"/>
    </row>
    <row r="135" spans="45:45">
      <c r="AS135" s="225"/>
    </row>
    <row r="136" spans="45:45">
      <c r="AS136" s="225"/>
    </row>
    <row r="137" spans="45:45">
      <c r="AS137" s="225"/>
    </row>
    <row r="138" spans="45:45">
      <c r="AS138" s="225"/>
    </row>
    <row r="139" spans="45:45">
      <c r="AS139" s="225"/>
    </row>
    <row r="140" spans="45:45">
      <c r="AS140" s="225"/>
    </row>
    <row r="141" spans="45:45">
      <c r="AS141" s="225"/>
    </row>
    <row r="142" spans="45:45">
      <c r="AS142" s="225"/>
    </row>
    <row r="143" spans="45:45">
      <c r="AS143" s="225"/>
    </row>
    <row r="144" spans="45:45">
      <c r="AS144" s="225"/>
    </row>
    <row r="145" spans="45:45">
      <c r="AS145" s="225"/>
    </row>
    <row r="146" spans="45:45">
      <c r="AS146" s="225"/>
    </row>
    <row r="147" spans="45:45">
      <c r="AS147" s="225"/>
    </row>
    <row r="148" spans="45:45">
      <c r="AS148" s="225"/>
    </row>
    <row r="149" spans="45:45">
      <c r="AS149" s="225"/>
    </row>
    <row r="150" spans="45:45">
      <c r="AS150" s="225"/>
    </row>
    <row r="151" spans="45:45">
      <c r="AS151" s="225"/>
    </row>
    <row r="152" spans="45:45">
      <c r="AS152" s="225"/>
    </row>
    <row r="153" spans="45:45">
      <c r="AS153" s="225"/>
    </row>
    <row r="154" spans="45:45">
      <c r="AS154" s="225"/>
    </row>
    <row r="155" spans="45:45">
      <c r="AS155" s="225"/>
    </row>
    <row r="156" spans="45:45">
      <c r="AS156" s="225"/>
    </row>
    <row r="157" spans="45:45">
      <c r="AS157" s="225"/>
    </row>
  </sheetData>
  <mergeCells count="104">
    <mergeCell ref="AT74:AT76"/>
    <mergeCell ref="AS77:AS80"/>
    <mergeCell ref="AT77:AT80"/>
    <mergeCell ref="A82:D86"/>
    <mergeCell ref="A78:A80"/>
    <mergeCell ref="B78:B80"/>
    <mergeCell ref="C78:C80"/>
    <mergeCell ref="D78:D80"/>
    <mergeCell ref="A74:A77"/>
    <mergeCell ref="B74:B77"/>
    <mergeCell ref="C74:C77"/>
    <mergeCell ref="D74:D77"/>
    <mergeCell ref="AS74:AS76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89:C89"/>
    <mergeCell ref="A91:F91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</mergeCells>
  <conditionalFormatting sqref="H69:H81 H56:H59 T58 T56 H48:H51 H42:H45 H30 H28">
    <cfRule type="cellIs" dxfId="0" priority="3" stopIfTrue="1" operator="notEqual">
      <formula>#REF!</formula>
    </cfRule>
  </conditionalFormatting>
  <pageMargins left="0.70866141732283472" right="0.15748031496062992" top="0.27559055118110237" bottom="0.23622047244094491" header="0.31496062992125984" footer="0.31496062992125984"/>
  <pageSetup paperSize="8" scale="35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свод по подпрограммам</vt:lpstr>
      <vt:lpstr>оценка эффективности</vt:lpstr>
      <vt:lpstr>Выполнение работ</vt:lpstr>
      <vt:lpstr>на 01.01.2018</vt:lpstr>
      <vt:lpstr>на 01.02.2018</vt:lpstr>
      <vt:lpstr>на 01.04.2018</vt:lpstr>
      <vt:lpstr>на 01.01.2019</vt:lpstr>
      <vt:lpstr>'Выполнение работ'!Заголовки_для_печати</vt:lpstr>
      <vt:lpstr>'на 01.01.2018'!Заголовки_для_печати</vt:lpstr>
      <vt:lpstr>'на 01.01.2019'!Заголовки_для_печати</vt:lpstr>
      <vt:lpstr>'Выполнение работ'!Область_печати</vt:lpstr>
      <vt:lpstr>'на 01.01.2019'!Область_печати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Пользователь</cp:lastModifiedBy>
  <cp:lastPrinted>2019-02-01T11:36:10Z</cp:lastPrinted>
  <dcterms:created xsi:type="dcterms:W3CDTF">2011-05-17T05:04:33Z</dcterms:created>
  <dcterms:modified xsi:type="dcterms:W3CDTF">2019-02-01T11:39:20Z</dcterms:modified>
</cp:coreProperties>
</file>