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Отчет по КС за 2018 год " sheetId="1" r:id="rId1"/>
    <sheet name="Целевые показатели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<sst xmlns="http://schemas.openxmlformats.org/spreadsheetml/2006/main" count="367" uniqueCount="181">
  <si>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</si>
  <si>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</si>
  <si>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</si>
  <si>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</si>
  <si>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</si>
  <si>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</si>
  <si>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в том числе: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</si>
  <si>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</si>
  <si>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</si>
  <si>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</si>
  <si>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</si>
  <si>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</si>
  <si>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</si>
  <si>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</si>
  <si>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</si>
  <si>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</si>
  <si>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</si>
  <si>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</si>
  <si>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</si>
  <si>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</si>
  <si>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</si>
  <si>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</si>
  <si>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</si>
  <si>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</si>
  <si>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</si>
  <si>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Цель 1. Создание условий для сохранения культурной самобытности, доступности культурных благ и обеспечение прав граждан на развитие и реализацию культурного и духовного потенциала на территории города Урай</t>
  </si>
  <si>
    <t>1.1.</t>
  </si>
  <si>
    <t>1.1.1.</t>
  </si>
  <si>
    <t>Подпрограмма I «Библиотечное дело»</t>
  </si>
  <si>
    <t>1.1.1.1.</t>
  </si>
  <si>
    <t>Мероприятие 1.1. Создание условий для модернизационного развития муниципальных библиотек</t>
  </si>
  <si>
    <t>МАУ "Культура"</t>
  </si>
  <si>
    <t>№ 1</t>
  </si>
  <si>
    <t>1.1.1.2.</t>
  </si>
  <si>
    <t>Мероприятие 1.2. Совершенствование подготовки и повышение квалификации библиотечных кадров</t>
  </si>
  <si>
    <t>№ 6</t>
  </si>
  <si>
    <t>1.1.1.3.</t>
  </si>
  <si>
    <t>Мероприятие 1.3. Реализация библиотечных проектов</t>
  </si>
  <si>
    <t>№ 7</t>
  </si>
  <si>
    <t>1.1.1.4.</t>
  </si>
  <si>
    <t>Мероприятие 1.4. Укрепление материально-технической базы муниципальных библиотек</t>
  </si>
  <si>
    <t>№7</t>
  </si>
  <si>
    <t>1.1.1.5.</t>
  </si>
  <si>
    <t xml:space="preserve">Мероприятие 1.5. Издание печатной продукции </t>
  </si>
  <si>
    <t>1.2.</t>
  </si>
  <si>
    <t>1.2.1.</t>
  </si>
  <si>
    <t xml:space="preserve">Подпрограмма II.  «Музейное дело». </t>
  </si>
  <si>
    <t>1.2.1.1.</t>
  </si>
  <si>
    <t>Мероприятие 2.1. Создание условий для модернизационного развития Музея города Урай</t>
  </si>
  <si>
    <t>№2</t>
  </si>
  <si>
    <t>1.2.1.2.</t>
  </si>
  <si>
    <t>Мероприятие 2.2. Выставочная деятельность (в том числе на безвозмездной основе)</t>
  </si>
  <si>
    <t>№ 3</t>
  </si>
  <si>
    <t>1.2.1.3.</t>
  </si>
  <si>
    <t>Мероприятие 2.3. Организация повышения профессионального уровня работников путем направления на семинары, курсы повышения квалификации, обучение</t>
  </si>
  <si>
    <t>1.2.1.4.</t>
  </si>
  <si>
    <t>Мероприятие 2.4. Укрепление материально-технической базы Музея города Урай</t>
  </si>
  <si>
    <t>№2, №7</t>
  </si>
  <si>
    <t>1.3.</t>
  </si>
  <si>
    <t>1.3.1.</t>
  </si>
  <si>
    <t xml:space="preserve"> Подпрограмма III. «Художественно-эстетическое образование».</t>
  </si>
  <si>
    <t>1.3.1.1.</t>
  </si>
  <si>
    <t xml:space="preserve">Мероприятие 3.1. Организация повышения профессионального уровня работников путем направления на семинары, курсы повышения квалификации, обучение </t>
  </si>
  <si>
    <t>МБУ ДО «Детская школа искусств №1», МБУ ДО «Детская школа искусств №2»</t>
  </si>
  <si>
    <t>1.3.1.2.</t>
  </si>
  <si>
    <t>Мероприятие 3.2.Организация конкурсов музыкального, художественного и хореографического направлений</t>
  </si>
  <si>
    <t>№ 4</t>
  </si>
  <si>
    <t>1.3.1.3.</t>
  </si>
  <si>
    <t xml:space="preserve">Мероприятие 3.3. Укрепление материально-технической базы 
организаций дополнительного образования в сфере культуры
</t>
  </si>
  <si>
    <t xml:space="preserve">1.4. </t>
  </si>
  <si>
    <t>1.4.1.</t>
  </si>
  <si>
    <t>Подпрограмма IV. "Народное творчество и традиционная культура. Развитие культурно-досуговой деятельности".</t>
  </si>
  <si>
    <t>1.4.1.1.</t>
  </si>
  <si>
    <t>Мероприятие 4.1.Организация повышения профессионального уровня работников путем направления на семинары, курсы повышения квалификации, обучение</t>
  </si>
  <si>
    <t>1.4.1.2.</t>
  </si>
  <si>
    <t>№ 5</t>
  </si>
  <si>
    <t>1.4.1.3.</t>
  </si>
  <si>
    <t>Мероприятие 4.3. Обеспечение комплексной безопасности Парка культуры и отдыха</t>
  </si>
  <si>
    <t>1.4.1.4.</t>
  </si>
  <si>
    <t>1.4.1.5.</t>
  </si>
  <si>
    <t>Мероприятие 4.5. Укрепление материально-технической базы культурно-досуговых учреждений</t>
  </si>
  <si>
    <t>МАУ "Культура", МКУ "УКС"</t>
  </si>
  <si>
    <t>1.5.</t>
  </si>
  <si>
    <t>1.5.1.</t>
  </si>
  <si>
    <t>Подпрограмма V."Обеспечение муниципальной поддержки учреждений культуры и организаций дополнительного образования в сфере культуры".</t>
  </si>
  <si>
    <t>1.5.1.1.</t>
  </si>
  <si>
    <t>Мероприятие 5.1. Расходы на обеспечение деятельности (оказание услуг) МАУ "Культура"</t>
  </si>
  <si>
    <t>1.5.1.2.</t>
  </si>
  <si>
    <t>Мероприятие 5.1. Расходы на обеспечение деятельности (оказание услуг) организаций дополнительного образования в сфере культуры</t>
  </si>
  <si>
    <t>ВСЕГО по  программе: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</si>
  <si>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</si>
  <si>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</si>
  <si>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</si>
  <si>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</si>
  <si>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</si>
  <si>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Тел.: 8 (34676) 29576</t>
  </si>
  <si>
    <t>Отчет по комплексному плану (сетевой график) реализации</t>
  </si>
  <si>
    <t>Согласовано:</t>
  </si>
  <si>
    <t>"_______"_______________________ 2018 г.</t>
  </si>
  <si>
    <t>"_______"______________ 2018 г.</t>
  </si>
  <si>
    <t>Задача 3. Создание условий для раскрытия творческого потенциала горожан, приобщение жителей города к культурно-массовым мероприятиям и культурным формам отдыха; 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культуры; Задача 6. Создание условий для сохранения и поддержки национальных культур, инновационных проектов в сфере  культуры; Задача 7. Обеспечение поддержки социокультурных гражданских инициатив.</t>
  </si>
  <si>
    <t>Задача 4.Создание условий для укрепления материально-технической базы учреждений культуры и организаций дополнительного образования в сфере культуры.</t>
  </si>
  <si>
    <t>Задача 1. Модернизационное развитие общедоступных библиотек; 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культуры.</t>
  </si>
  <si>
    <t>Задача 2.Развитие музейного дела и удовлетворение потребности населения в предоставлении доступа к культурным ценностям; 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культуры.</t>
  </si>
  <si>
    <t>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культуры.</t>
  </si>
  <si>
    <t>1.4.1.6.</t>
  </si>
  <si>
    <t>Мероприятие 4.6. Реализация социокультурных проектов</t>
  </si>
  <si>
    <t>№5,7</t>
  </si>
  <si>
    <t>Финансирование предусмотрено в 2021 году.</t>
  </si>
  <si>
    <t>Финансирование в 2018 году не предусмотрено.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</si>
  <si>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</si>
  <si>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>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 №1» и муниципального бюджетного учреждения дополнительного образования «Детская школа искусств №2».</t>
  </si>
  <si>
    <t xml:space="preserve">Денежные средства были направлены на организацию и проведение городского конкурса «Юный музыкант» (художественное оформление, призовой фонд), который состоялся 23.03.2018 года в МБУ ДО "Детская школа искусств №1". Количество участников 48 человек.  </t>
  </si>
  <si>
    <t>Исполнители:</t>
  </si>
  <si>
    <t xml:space="preserve">ведущий специалист управления по культуре и </t>
  </si>
  <si>
    <t>социальным вопросам администрации города Урай</t>
  </si>
  <si>
    <t>Председатель Комитета по финансам</t>
  </si>
  <si>
    <t>И.В. Хусаинова</t>
  </si>
  <si>
    <t>Начальник управления по культуре и социальной вопросам</t>
  </si>
  <si>
    <t>У.В. Кащеева</t>
  </si>
  <si>
    <t xml:space="preserve">К.В. Ермакова </t>
  </si>
  <si>
    <t>Тел.: 8 (34676) 23347</t>
  </si>
  <si>
    <t>муниципальной программы "Культура города Урай" на 2017 - 2021 годы за  2018 год</t>
  </si>
  <si>
    <t>Денежные средства в размере 4700,31 руб. возвращены в бюджет ХМАО-Югры</t>
  </si>
  <si>
    <t>Денежные средства направлены на приобретение цифрового рояля, радиосистемы с динамическим микрофоном и банкетки для цифрового рояля.</t>
  </si>
  <si>
    <t>Денежные средства были направлены на оплату курсов повышения квалификации специалиста КДЦ "Нефтяник" МАУ "Культура" по теме: "Роль со зрителями в театрах, культурно-досуговых учреждениях: PR, маркетинг".</t>
  </si>
  <si>
    <t xml:space="preserve">Денежные средства направлены на реализацию социокультурных проектов: 
стратегическая сессия сообщества «Живые города», 
VIII Открытый фестиваль любительских театров «Надежда есть!», IX Общегородской форум «Урай – Наш общий дом» (изготовление печатной продукции и расходных материалов, приобретение призового фонда).
</t>
  </si>
  <si>
    <t>ОТЧЕТ</t>
  </si>
  <si>
    <t xml:space="preserve">о достижении целевых показателей муниципальной программы </t>
  </si>
  <si>
    <t>"Культура города Урай" на 2017-2021 годы за 12 месяцев 2018 года</t>
  </si>
  <si>
    <t>№п/п</t>
  </si>
  <si>
    <t>Ед. изм.</t>
  </si>
  <si>
    <t>Значение целевого показателя муниицпальной программы</t>
  </si>
  <si>
    <t>Динамика выполнения целевого показателя (факт/план*100), %</t>
  </si>
  <si>
    <t>Обоснование отклонений значений показателя (индикатора) на конец отчетного года (при наличии)</t>
  </si>
  <si>
    <t xml:space="preserve">год, предшествующий отчетному году </t>
  </si>
  <si>
    <t>отчетный год (план)</t>
  </si>
  <si>
    <t>отчетный год (факт)</t>
  </si>
  <si>
    <t>7=6/5*100</t>
  </si>
  <si>
    <t>Объем библиотечного фонда на 1000 жителей</t>
  </si>
  <si>
    <t>экз.</t>
  </si>
  <si>
    <t>Посещаемость музея (на 1 жителя в год)</t>
  </si>
  <si>
    <t>пос.</t>
  </si>
  <si>
    <t>Динамика количества выставочных проектов (в том числе передвижных выставок), ежегодный рост не менее 2%</t>
  </si>
  <si>
    <t>%</t>
  </si>
  <si>
    <t>В 2018 году экспонировалось 55 выставки (в 2017 - 54 выставки).</t>
  </si>
  <si>
    <t>Доля детей, привлекаемых к участию в творческих мероприятиях, от общего числа детей</t>
  </si>
  <si>
    <t>Посещаемость культурно-досуговых мероприятий (на 1 жителя в год)</t>
  </si>
  <si>
    <t>Доля работников, прошедших повышение квалификации путем направления на семинары, курсы повышения квалификации, обучение</t>
  </si>
  <si>
    <t>Сохранение уровня удовлетворенности жителей города Урай качеством услуг, предоставляемых учреждениями в сфере культуры</t>
  </si>
  <si>
    <t>Доля зданий учреждений культуры, соответствующих требованиям и рекомендациям стандартов, нормативов, в общем количестве зданий учреждений культуры</t>
  </si>
  <si>
    <t>Отдельно стоящие здания учреждений культуры, находящиеся в удовлетворительном состоянии, не требующих капитального ремонта, с  условиями для беспрепятственного доступа инвалидов - 5 зданий. Общее количество зданий - 9.</t>
  </si>
  <si>
    <t xml:space="preserve">Начальник управления по культуре и социальным вопросам </t>
  </si>
  <si>
    <t>"_______"___________________2018 г.</t>
  </si>
  <si>
    <t>Исполнитель:</t>
  </si>
  <si>
    <t>ведущий специалист управления по культуре и социальным вопросам</t>
  </si>
  <si>
    <t>К.В. Ермакова</t>
  </si>
  <si>
    <t>Тел.: 8 (34676) 2-33-47</t>
  </si>
  <si>
    <t>Денежные средства были направлены на модернизацию кинопроекционного оборудования и студии звукозаписи, так же приобретены фотоаппарат, концертные костюмы, вокальная радиосистема, балетные станки, произведен демонтаж и монтаж напольного покрытия в культурно-досуговых учреждениях.</t>
  </si>
  <si>
    <t>Мероприятие 4.4. Создание комфортного и современного учреждения культуры (Реконструкция недилого здания под музейно-библиотечный центр по адресу мкр.2 дом 39/1), модернизация учреждений культуры</t>
  </si>
  <si>
    <t>В соответствии с Комплексным планом реализации мероприятий государственной программы «Развитие культуры в Ханты-Мансийском автономном округе-Югре» на 2018-2025 годы и на плановый период до 2030 года» денежные средства были направлены на оплату за предоставление телекоммуникационных услуг Музею истории города Урай (подключение к сети Интернет) и услуг по обеспечению функционирования комплексной автоматизированной музейной информационной системы (КАМИС).</t>
  </si>
  <si>
    <t>Количество детей, привлекаемых к участию в творческих мероприятиях - 4283 человек.  Общее количество детей до 17 лет – 10 615 человек.</t>
  </si>
  <si>
    <t>Денежные средства были направлены на проведение общегородских праздничных мероприятий: День защитника Отечества, Международный женский день, Проводы русской Зимы, День весны и труда, День Победы в ВОВ 1941-1945 гг., День славянской письменности и культуры,  национальный праздник «Сабантуй», открытый фестиваль  «Семья – Божий дар»,  День России, День города Урай, День народного единства, праздничный концерт, посвященный 100-летию Ленинского комсомола «Юность комсомольская моя», День образования ХМАО-Югры, Новый год и открытие городской новогодней площади, а также организация и проведение I городского конкурса вокального искусства "Твой голос"(художественное оформление, расходные материалы и призовой фонд).</t>
  </si>
  <si>
    <t xml:space="preserve">Остаток средств сложился по причине внесения изменений в дизайн-проект музейной экспозиции. Договор на поставку музейной экспозиции будет заключен после утверждения изменений дизайн-проекта.
</t>
  </si>
  <si>
    <t>Курсы повышение квалификации (семинары, обучение) за 2018 год прошли 56 сотрудников. Общее количество сотрудников на 31.12.2018 года 243 чел.</t>
  </si>
  <si>
    <t>Денежные средства были направлены на реализацию социальных проектов «Информационный центр краеведения», «Наследие», «Библиотека для растущего человека», «Библиотека рядом!», «От сердца к сердцу», также на проведение семинара молодых писателей города Урай и Кондинского района (приобретение: дипломы, благодарственные письма, канцелярские товары, картридж, фоторамки, пазлы, а также изготовление обложки календаря знаменательных и памятных дат).</t>
  </si>
  <si>
    <t>В соответствии с Комплексным планом реализации мероприятий государственной программы «Развитие культуры в Ханты-Мансийском автономном округе-Югре» на 2018-2025  годы и на плановый период до 2030 года» денежные средства были направлены на оплату за предоставление телекоммуникационных услуг 2-х библиотек (подключение к сети Интернет центральной и детской библиотек Централизованной библиотечной системы), приобретение электронных баз данных, оцифровку (перевод в электронный формат) периодических изданий, комплектование библиотечных фондов, в том числе и  периодическими изданиями.</t>
  </si>
  <si>
    <t>Денежные средства направлены на приобретение баннера для организации выставки, посвященной празднованию 73-й годовщины Победы в Великой Отечественной войне 1941-1945 гг.</t>
  </si>
  <si>
    <t>Мероприятие 4.2. Организация проведения общегородских праздничных мероприятий, а также региональных (окружных) фестивалей и конкурсов</t>
  </si>
  <si>
    <t>Остаток средств в размере 2045,6 тыс.руб. сложился в связи с тем, что приемка объекта "Реконструкция нежилого здания под музейно-библиотечный центр по адресу мкр.2 дом 39/1" была перенесена на 28 декабря 2018 года. В связи с этим проведение мероприятий по закупке данного оборудования в рамках 223-ФЗ  не представлялась возможным.</t>
  </si>
  <si>
    <t>Денежные средства в размере 521,40 руб. возвращены в бюджет ХМАО-Югры.</t>
  </si>
  <si>
    <t>Наименование целевого показателя муниципальной программы</t>
  </si>
  <si>
    <t>Количество жителей, принявших участие в социологических опросах 135 человека, из них 129 человек -
удовлетворены качеством  услуг, предоставляемых учреждениями в сфере культуры.</t>
  </si>
  <si>
    <t xml:space="preserve">Библиотечный фонд составил 106 059 экземпляров. Численность населения на 31.12.2018 года составляет 40301 чел. </t>
  </si>
  <si>
    <t xml:space="preserve">Количество посещений 16 283 человек. Численность населения на 31.12.2018 года составляет 40301 чел. </t>
  </si>
  <si>
    <t>Количество посещений культурно-досуговых мероприятий – 175 105 чел. Численность населения на 31.12.2018 года составляет 40301 чел.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</si>
  <si>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</si>
  <si>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</si>
  <si>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</si>
  <si>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города Урай</t>
  </si>
  <si>
    <t>Иные источники финансирования (привлеченные средства)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</si>
</sst>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172" fontId="4" fillId="0" borderId="10" xfId="6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8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72" fontId="5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2" fillId="0" borderId="10" xfId="0" applyNumberFormat="1" applyFont="1" applyBorder="1" applyAlignment="1">
      <alignment horizontal="center" vertical="center" wrapText="1"/>
    </xf>
    <xf numFmtId="173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73" fontId="52" fillId="0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2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4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2" fillId="0" borderId="16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208"/>
  <sheetViews>
    <sheetView tabSelected="1" zoomScale="85" zoomScaleNormal="85" zoomScalePageLayoutView="0" workbookViewId="0" topLeftCell="A1">
      <pane xSplit="8" ySplit="7" topLeftCell="I11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26" sqref="I126"/>
    </sheetView>
  </sheetViews>
  <sheetFormatPr defaultColWidth="9.140625" defaultRowHeight="15"/>
  <cols>
    <col min="1" max="1" width="8.00390625" style="1" customWidth="1"/>
    <col min="2" max="2" width="29.7109375" style="1" customWidth="1"/>
    <col min="3" max="3" width="16.140625" style="1" customWidth="1"/>
    <col min="4" max="4" width="15.00390625" style="1" customWidth="1"/>
    <col min="5" max="5" width="11.28125" style="1" customWidth="1"/>
    <col min="6" max="6" width="10.421875" style="1" customWidth="1"/>
    <col min="7" max="7" width="9.140625" style="1" customWidth="1"/>
    <col min="8" max="8" width="10.00390625" style="1" customWidth="1"/>
    <col min="9" max="9" width="8.421875" style="1" customWidth="1"/>
    <col min="10" max="10" width="8.28125" style="1" customWidth="1"/>
    <col min="11" max="11" width="8.421875" style="1" customWidth="1"/>
    <col min="12" max="12" width="9.28125" style="1" customWidth="1"/>
    <col min="13" max="13" width="10.28125" style="1" customWidth="1"/>
    <col min="14" max="14" width="8.28125" style="1" customWidth="1"/>
    <col min="15" max="15" width="9.7109375" style="1" customWidth="1"/>
    <col min="16" max="16" width="8.8515625" style="1" customWidth="1"/>
    <col min="17" max="17" width="6.7109375" style="1" customWidth="1"/>
    <col min="18" max="18" width="9.57421875" style="1" customWidth="1"/>
    <col min="19" max="19" width="8.421875" style="1" customWidth="1"/>
    <col min="20" max="20" width="7.7109375" style="1" customWidth="1"/>
    <col min="21" max="21" width="8.8515625" style="2" customWidth="1"/>
    <col min="22" max="23" width="7.8515625" style="2" customWidth="1"/>
    <col min="24" max="24" width="10.28125" style="1" customWidth="1"/>
    <col min="25" max="25" width="7.8515625" style="1" customWidth="1"/>
    <col min="26" max="26" width="6.7109375" style="1" customWidth="1"/>
    <col min="27" max="27" width="9.28125" style="43" customWidth="1"/>
    <col min="28" max="28" width="8.57421875" style="43" customWidth="1"/>
    <col min="29" max="29" width="8.00390625" style="43" customWidth="1"/>
    <col min="30" max="30" width="10.140625" style="43" customWidth="1"/>
    <col min="31" max="31" width="9.7109375" style="43" customWidth="1"/>
    <col min="32" max="32" width="7.7109375" style="43" customWidth="1"/>
    <col min="33" max="33" width="9.57421875" style="43" customWidth="1"/>
    <col min="34" max="34" width="9.28125" style="43" customWidth="1"/>
    <col min="35" max="35" width="6.7109375" style="43" customWidth="1"/>
    <col min="36" max="36" width="9.00390625" style="1" customWidth="1"/>
    <col min="37" max="37" width="8.7109375" style="1" customWidth="1"/>
    <col min="38" max="38" width="8.00390625" style="1" customWidth="1"/>
    <col min="39" max="39" width="9.57421875" style="1" customWidth="1"/>
    <col min="40" max="40" width="9.140625" style="1" customWidth="1"/>
    <col min="41" max="41" width="6.8515625" style="1" customWidth="1"/>
    <col min="42" max="42" width="8.8515625" style="1" customWidth="1"/>
    <col min="43" max="43" width="8.28125" style="1" customWidth="1"/>
    <col min="44" max="44" width="9.00390625" style="1" customWidth="1"/>
    <col min="45" max="45" width="46.57421875" style="1" customWidth="1"/>
    <col min="46" max="46" width="26.57421875" style="1" customWidth="1"/>
    <col min="47" max="16384" width="9.140625" style="1" customWidth="1"/>
  </cols>
  <sheetData>
    <row r="1" spans="1:12" ht="15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1" t="s">
        <v>122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46" ht="32.25" customHeight="1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3" t="s">
        <v>5</v>
      </c>
      <c r="G5" s="73"/>
      <c r="H5" s="73"/>
      <c r="I5" s="72" t="s">
        <v>6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 t="s">
        <v>7</v>
      </c>
      <c r="AT5" s="72" t="s">
        <v>8</v>
      </c>
    </row>
    <row r="6" spans="1:46" ht="15">
      <c r="A6" s="72"/>
      <c r="B6" s="72"/>
      <c r="C6" s="72"/>
      <c r="D6" s="72"/>
      <c r="E6" s="72"/>
      <c r="F6" s="73"/>
      <c r="G6" s="73"/>
      <c r="H6" s="73"/>
      <c r="I6" s="72" t="s">
        <v>9</v>
      </c>
      <c r="J6" s="72"/>
      <c r="K6" s="72"/>
      <c r="L6" s="72" t="s">
        <v>10</v>
      </c>
      <c r="M6" s="72"/>
      <c r="N6" s="72"/>
      <c r="O6" s="72" t="s">
        <v>11</v>
      </c>
      <c r="P6" s="72"/>
      <c r="Q6" s="72"/>
      <c r="R6" s="72" t="s">
        <v>12</v>
      </c>
      <c r="S6" s="72"/>
      <c r="T6" s="72"/>
      <c r="U6" s="72" t="s">
        <v>13</v>
      </c>
      <c r="V6" s="72"/>
      <c r="W6" s="72"/>
      <c r="X6" s="72" t="s">
        <v>14</v>
      </c>
      <c r="Y6" s="72"/>
      <c r="Z6" s="72"/>
      <c r="AA6" s="72" t="s">
        <v>15</v>
      </c>
      <c r="AB6" s="72"/>
      <c r="AC6" s="72"/>
      <c r="AD6" s="72" t="s">
        <v>16</v>
      </c>
      <c r="AE6" s="72"/>
      <c r="AF6" s="72"/>
      <c r="AG6" s="72" t="s">
        <v>17</v>
      </c>
      <c r="AH6" s="72"/>
      <c r="AI6" s="72"/>
      <c r="AJ6" s="72" t="s">
        <v>18</v>
      </c>
      <c r="AK6" s="72"/>
      <c r="AL6" s="72"/>
      <c r="AM6" s="72" t="s">
        <v>19</v>
      </c>
      <c r="AN6" s="72"/>
      <c r="AO6" s="72"/>
      <c r="AP6" s="72" t="s">
        <v>20</v>
      </c>
      <c r="AQ6" s="72"/>
      <c r="AR6" s="72"/>
      <c r="AS6" s="72"/>
      <c r="AT6" s="72"/>
    </row>
    <row r="7" spans="1:46" ht="38.25">
      <c r="A7" s="72"/>
      <c r="B7" s="72"/>
      <c r="C7" s="72"/>
      <c r="D7" s="72"/>
      <c r="E7" s="72"/>
      <c r="F7" s="33" t="s">
        <v>21</v>
      </c>
      <c r="G7" s="33" t="s">
        <v>22</v>
      </c>
      <c r="H7" s="33" t="s">
        <v>23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21</v>
      </c>
      <c r="S7" s="4" t="s">
        <v>22</v>
      </c>
      <c r="T7" s="4" t="s">
        <v>23</v>
      </c>
      <c r="U7" s="4" t="s">
        <v>21</v>
      </c>
      <c r="V7" s="4" t="s">
        <v>22</v>
      </c>
      <c r="W7" s="4" t="s">
        <v>23</v>
      </c>
      <c r="X7" s="4" t="s">
        <v>21</v>
      </c>
      <c r="Y7" s="4" t="s">
        <v>22</v>
      </c>
      <c r="Z7" s="4" t="s">
        <v>23</v>
      </c>
      <c r="AA7" s="4" t="s">
        <v>21</v>
      </c>
      <c r="AB7" s="4" t="s">
        <v>22</v>
      </c>
      <c r="AC7" s="4" t="s">
        <v>23</v>
      </c>
      <c r="AD7" s="4" t="s">
        <v>21</v>
      </c>
      <c r="AE7" s="4" t="s">
        <v>22</v>
      </c>
      <c r="AF7" s="4" t="s">
        <v>23</v>
      </c>
      <c r="AG7" s="4" t="s">
        <v>21</v>
      </c>
      <c r="AH7" s="4" t="s">
        <v>22</v>
      </c>
      <c r="AI7" s="4" t="s">
        <v>23</v>
      </c>
      <c r="AJ7" s="4" t="s">
        <v>21</v>
      </c>
      <c r="AK7" s="4" t="s">
        <v>22</v>
      </c>
      <c r="AL7" s="4" t="s">
        <v>23</v>
      </c>
      <c r="AM7" s="4" t="s">
        <v>21</v>
      </c>
      <c r="AN7" s="4" t="s">
        <v>22</v>
      </c>
      <c r="AO7" s="4" t="s">
        <v>23</v>
      </c>
      <c r="AP7" s="4" t="s">
        <v>21</v>
      </c>
      <c r="AQ7" s="4" t="s">
        <v>22</v>
      </c>
      <c r="AR7" s="4" t="s">
        <v>23</v>
      </c>
      <c r="AS7" s="72"/>
      <c r="AT7" s="72"/>
    </row>
    <row r="8" spans="1:46" s="5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33">
        <v>6</v>
      </c>
      <c r="G8" s="33">
        <v>7</v>
      </c>
      <c r="H8" s="33" t="s">
        <v>24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62">
        <v>20</v>
      </c>
      <c r="U8" s="62">
        <v>21</v>
      </c>
      <c r="V8" s="62">
        <v>22</v>
      </c>
      <c r="W8" s="62">
        <v>23</v>
      </c>
      <c r="X8" s="62">
        <v>24</v>
      </c>
      <c r="Y8" s="62">
        <v>25</v>
      </c>
      <c r="Z8" s="62">
        <v>26</v>
      </c>
      <c r="AA8" s="62">
        <v>27</v>
      </c>
      <c r="AB8" s="62">
        <v>28</v>
      </c>
      <c r="AC8" s="62">
        <v>29</v>
      </c>
      <c r="AD8" s="62">
        <v>30</v>
      </c>
      <c r="AE8" s="62">
        <v>31</v>
      </c>
      <c r="AF8" s="62">
        <v>32</v>
      </c>
      <c r="AG8" s="62">
        <v>33</v>
      </c>
      <c r="AH8" s="62">
        <v>34</v>
      </c>
      <c r="AI8" s="62">
        <v>35</v>
      </c>
      <c r="AJ8" s="62">
        <v>36</v>
      </c>
      <c r="AK8" s="62">
        <v>37</v>
      </c>
      <c r="AL8" s="62">
        <v>38</v>
      </c>
      <c r="AM8" s="62">
        <v>39</v>
      </c>
      <c r="AN8" s="62">
        <v>40</v>
      </c>
      <c r="AO8" s="62">
        <v>41</v>
      </c>
      <c r="AP8" s="62">
        <v>42</v>
      </c>
      <c r="AQ8" s="62">
        <v>43</v>
      </c>
      <c r="AR8" s="62">
        <v>44</v>
      </c>
      <c r="AS8" s="62">
        <v>45</v>
      </c>
      <c r="AT8" s="62">
        <v>46</v>
      </c>
    </row>
    <row r="9" spans="1:46" s="5" customFormat="1" ht="15">
      <c r="A9" s="4">
        <v>1</v>
      </c>
      <c r="B9" s="79" t="s">
        <v>25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</row>
    <row r="10" spans="1:46" s="5" customFormat="1" ht="30.75" customHeight="1">
      <c r="A10" s="4" t="s">
        <v>26</v>
      </c>
      <c r="B10" s="79" t="s">
        <v>102</v>
      </c>
      <c r="C10" s="80"/>
      <c r="D10" s="80"/>
      <c r="E10" s="82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</row>
    <row r="11" spans="1:46" s="6" customFormat="1" ht="21" customHeight="1">
      <c r="A11" s="74" t="s">
        <v>27</v>
      </c>
      <c r="B11" s="73" t="s">
        <v>28</v>
      </c>
      <c r="C11" s="73"/>
      <c r="D11" s="76"/>
      <c r="E11" s="64" t="s">
        <v>176</v>
      </c>
      <c r="F11" s="63">
        <f>F13+F14+F12</f>
        <v>688.1</v>
      </c>
      <c r="G11" s="16">
        <f>G13+G14+G12</f>
        <v>688.12</v>
      </c>
      <c r="H11" s="16">
        <f aca="true" t="shared" si="0" ref="H11:H18">G11/F11*100</f>
        <v>100.0029065542799</v>
      </c>
      <c r="I11" s="16">
        <f>I13+I14</f>
        <v>0</v>
      </c>
      <c r="J11" s="16">
        <f aca="true" t="shared" si="1" ref="J11:AQ11">J13+J14</f>
        <v>0</v>
      </c>
      <c r="K11" s="16"/>
      <c r="L11" s="16">
        <f t="shared" si="1"/>
        <v>446.6</v>
      </c>
      <c r="M11" s="16">
        <f t="shared" si="1"/>
        <v>30</v>
      </c>
      <c r="N11" s="16"/>
      <c r="O11" s="16">
        <f>O13+O14+O12</f>
        <v>91.5</v>
      </c>
      <c r="P11" s="16">
        <f t="shared" si="1"/>
        <v>145.7</v>
      </c>
      <c r="Q11" s="16">
        <f>P11/O11*100</f>
        <v>159.2349726775956</v>
      </c>
      <c r="R11" s="16">
        <f t="shared" si="1"/>
        <v>0</v>
      </c>
      <c r="S11" s="16">
        <f t="shared" si="1"/>
        <v>64</v>
      </c>
      <c r="T11" s="16"/>
      <c r="U11" s="16">
        <f t="shared" si="1"/>
        <v>0</v>
      </c>
      <c r="V11" s="16">
        <f t="shared" si="1"/>
        <v>101.9</v>
      </c>
      <c r="W11" s="16"/>
      <c r="X11" s="16">
        <f>X13+X14+X12</f>
        <v>150</v>
      </c>
      <c r="Y11" s="16">
        <f t="shared" si="1"/>
        <v>203.6</v>
      </c>
      <c r="Z11" s="16">
        <f>Y11/X11*100</f>
        <v>135.73333333333332</v>
      </c>
      <c r="AA11" s="16">
        <f t="shared" si="1"/>
        <v>0</v>
      </c>
      <c r="AB11" s="16">
        <f t="shared" si="1"/>
        <v>0</v>
      </c>
      <c r="AC11" s="16"/>
      <c r="AD11" s="16">
        <f>AD13+AD14+AD12</f>
        <v>0</v>
      </c>
      <c r="AE11" s="16">
        <f>AE13+AE14+AE12</f>
        <v>64.89999999999999</v>
      </c>
      <c r="AF11" s="16"/>
      <c r="AG11" s="16">
        <f t="shared" si="1"/>
        <v>0</v>
      </c>
      <c r="AH11" s="16">
        <f t="shared" si="1"/>
        <v>-13.7</v>
      </c>
      <c r="AI11" s="16"/>
      <c r="AJ11" s="16">
        <f t="shared" si="1"/>
        <v>0</v>
      </c>
      <c r="AK11" s="16">
        <f t="shared" si="1"/>
        <v>78.7</v>
      </c>
      <c r="AL11" s="16"/>
      <c r="AM11" s="16">
        <f t="shared" si="1"/>
        <v>0</v>
      </c>
      <c r="AN11" s="16">
        <f t="shared" si="1"/>
        <v>0</v>
      </c>
      <c r="AO11" s="16"/>
      <c r="AP11" s="16">
        <f t="shared" si="1"/>
        <v>0</v>
      </c>
      <c r="AQ11" s="16">
        <f t="shared" si="1"/>
        <v>0.22</v>
      </c>
      <c r="AR11" s="16"/>
      <c r="AS11" s="16"/>
      <c r="AT11" s="16"/>
    </row>
    <row r="12" spans="1:46" s="6" customFormat="1" ht="32.25" customHeight="1">
      <c r="A12" s="74"/>
      <c r="B12" s="73"/>
      <c r="C12" s="73"/>
      <c r="D12" s="76"/>
      <c r="E12" s="64" t="s">
        <v>177</v>
      </c>
      <c r="F12" s="63">
        <f>I12+L12+O12+R12+U12+X12+AA12+AD12+AG12+AJ12+AM12+AP12</f>
        <v>12.8</v>
      </c>
      <c r="G12" s="16">
        <f aca="true" t="shared" si="2" ref="F12:G14">J12+M12+P12+S12+V12+Y12+AB12+AE12+AH12+AK12+AN12+AQ12</f>
        <v>12.8</v>
      </c>
      <c r="H12" s="16">
        <f t="shared" si="0"/>
        <v>100</v>
      </c>
      <c r="I12" s="16">
        <f>I16</f>
        <v>0</v>
      </c>
      <c r="J12" s="16">
        <f>J16</f>
        <v>0</v>
      </c>
      <c r="K12" s="16"/>
      <c r="L12" s="16">
        <f>L16</f>
        <v>0</v>
      </c>
      <c r="M12" s="16">
        <f>M16</f>
        <v>0</v>
      </c>
      <c r="N12" s="16"/>
      <c r="O12" s="16">
        <f>O16</f>
        <v>12.8</v>
      </c>
      <c r="P12" s="16">
        <f>P16</f>
        <v>0</v>
      </c>
      <c r="Q12" s="16">
        <f>P12/O12*100</f>
        <v>0</v>
      </c>
      <c r="R12" s="16">
        <f>R16</f>
        <v>0</v>
      </c>
      <c r="S12" s="16">
        <f>S16</f>
        <v>0</v>
      </c>
      <c r="T12" s="16"/>
      <c r="U12" s="16">
        <f>U16</f>
        <v>0</v>
      </c>
      <c r="V12" s="16">
        <f>V16</f>
        <v>0</v>
      </c>
      <c r="W12" s="16"/>
      <c r="X12" s="16">
        <f>X16</f>
        <v>0</v>
      </c>
      <c r="Y12" s="16">
        <f>Y16</f>
        <v>0</v>
      </c>
      <c r="Z12" s="16"/>
      <c r="AA12" s="16">
        <f>AA16</f>
        <v>0</v>
      </c>
      <c r="AB12" s="16">
        <f>AB16</f>
        <v>0</v>
      </c>
      <c r="AC12" s="16"/>
      <c r="AD12" s="16">
        <f>AD16</f>
        <v>0</v>
      </c>
      <c r="AE12" s="16">
        <f>AE16</f>
        <v>0</v>
      </c>
      <c r="AF12" s="16"/>
      <c r="AG12" s="16">
        <f>AG16</f>
        <v>0</v>
      </c>
      <c r="AH12" s="16">
        <f>AH16</f>
        <v>0</v>
      </c>
      <c r="AI12" s="16"/>
      <c r="AJ12" s="16">
        <f>AJ16</f>
        <v>0</v>
      </c>
      <c r="AK12" s="16">
        <f>AK16</f>
        <v>12.8</v>
      </c>
      <c r="AL12" s="16"/>
      <c r="AM12" s="16">
        <f>AM16</f>
        <v>0</v>
      </c>
      <c r="AN12" s="16">
        <f>AN16</f>
        <v>0</v>
      </c>
      <c r="AO12" s="16"/>
      <c r="AP12" s="16">
        <f>AP16</f>
        <v>0</v>
      </c>
      <c r="AQ12" s="16">
        <f>AQ16</f>
        <v>0</v>
      </c>
      <c r="AR12" s="16"/>
      <c r="AS12" s="16"/>
      <c r="AT12" s="16"/>
    </row>
    <row r="13" spans="1:46" s="6" customFormat="1" ht="104.25" customHeight="1">
      <c r="A13" s="74"/>
      <c r="B13" s="73"/>
      <c r="C13" s="73"/>
      <c r="D13" s="76"/>
      <c r="E13" s="64" t="s">
        <v>178</v>
      </c>
      <c r="F13" s="63">
        <f t="shared" si="2"/>
        <v>569.1</v>
      </c>
      <c r="G13" s="16">
        <f t="shared" si="2"/>
        <v>569.1</v>
      </c>
      <c r="H13" s="16">
        <f t="shared" si="0"/>
        <v>100</v>
      </c>
      <c r="I13" s="16">
        <f>I17+I21+I25+I29+I33</f>
        <v>0</v>
      </c>
      <c r="J13" s="16">
        <f>J17+J21+J25+J29+J33</f>
        <v>0</v>
      </c>
      <c r="K13" s="16"/>
      <c r="L13" s="16">
        <f>L17+L21+L25+L29+L33</f>
        <v>354.1</v>
      </c>
      <c r="M13" s="16">
        <f>M17+M21+M25+M29+M33</f>
        <v>0</v>
      </c>
      <c r="N13" s="16"/>
      <c r="O13" s="16">
        <f>O17+O21+O25+O29+O33</f>
        <v>65</v>
      </c>
      <c r="P13" s="16">
        <f>P17+P21+P25+P29+P33</f>
        <v>117</v>
      </c>
      <c r="Q13" s="16">
        <f>P13/O13*100</f>
        <v>180</v>
      </c>
      <c r="R13" s="16">
        <f>R17+R21+R25+R29+R33</f>
        <v>0</v>
      </c>
      <c r="S13" s="16">
        <f>S17+S21+S25+S29+S33</f>
        <v>49.6</v>
      </c>
      <c r="T13" s="16"/>
      <c r="U13" s="16">
        <f>U17+U21+U25+U29+U33</f>
        <v>0</v>
      </c>
      <c r="V13" s="16">
        <f>V17+V21+V25+V29+V33</f>
        <v>86.7</v>
      </c>
      <c r="W13" s="16"/>
      <c r="X13" s="16">
        <f>X17+X21+X25+X29+X33</f>
        <v>150</v>
      </c>
      <c r="Y13" s="16">
        <f>Y17+Y21+Y25+Y29+Y33</f>
        <v>195.5</v>
      </c>
      <c r="Z13" s="16">
        <f>Y13/X13*100</f>
        <v>130.33333333333331</v>
      </c>
      <c r="AA13" s="16">
        <f>AA17+AA21+AA25+AA29+AA33</f>
        <v>0</v>
      </c>
      <c r="AB13" s="16">
        <f>AB17+AB21+AB25+AB29+AB33</f>
        <v>0</v>
      </c>
      <c r="AC13" s="16"/>
      <c r="AD13" s="16">
        <f>AD17+AD21+AD25+AD29+AD33</f>
        <v>0</v>
      </c>
      <c r="AE13" s="16">
        <f>AE17+AE21+AE25+AE29+AE33</f>
        <v>55.3</v>
      </c>
      <c r="AF13" s="16"/>
      <c r="AG13" s="16">
        <f>AG17+AG21+AG25+AG29+AG33</f>
        <v>0</v>
      </c>
      <c r="AH13" s="16">
        <f>AH17+AH21+AH25+AH29+AH33</f>
        <v>0</v>
      </c>
      <c r="AI13" s="16"/>
      <c r="AJ13" s="16">
        <f>AJ17+AJ21+AJ25+AJ29+AJ33</f>
        <v>0</v>
      </c>
      <c r="AK13" s="16">
        <f>AK17+AK21+AK25+AK29+AK33</f>
        <v>65</v>
      </c>
      <c r="AL13" s="16"/>
      <c r="AM13" s="16">
        <f>AM17+AM21+AM25+AM29+AM33</f>
        <v>0</v>
      </c>
      <c r="AN13" s="16">
        <f>AN17+AN21+AN25+AN29+AN33</f>
        <v>0</v>
      </c>
      <c r="AO13" s="16"/>
      <c r="AP13" s="16">
        <f>AP17+AP21+AP25+AP29+AP33</f>
        <v>0</v>
      </c>
      <c r="AQ13" s="16">
        <f>AQ17+AQ21+AQ25+AQ29+AQ33</f>
        <v>0</v>
      </c>
      <c r="AR13" s="16"/>
      <c r="AS13" s="16"/>
      <c r="AT13" s="16"/>
    </row>
    <row r="14" spans="1:46" s="6" customFormat="1" ht="82.5" customHeight="1">
      <c r="A14" s="74"/>
      <c r="B14" s="73"/>
      <c r="C14" s="75"/>
      <c r="D14" s="77"/>
      <c r="E14" s="65" t="s">
        <v>179</v>
      </c>
      <c r="F14" s="63">
        <f t="shared" si="2"/>
        <v>106.2</v>
      </c>
      <c r="G14" s="16">
        <f t="shared" si="2"/>
        <v>106.22</v>
      </c>
      <c r="H14" s="16">
        <f t="shared" si="0"/>
        <v>100.01883239171374</v>
      </c>
      <c r="I14" s="16">
        <f>I18+I22+I26+I30+I34</f>
        <v>0</v>
      </c>
      <c r="J14" s="16">
        <f>J18+J22+J26+J30+J34</f>
        <v>0</v>
      </c>
      <c r="K14" s="16"/>
      <c r="L14" s="16">
        <f>L18+L22+L26+L30+L34</f>
        <v>92.5</v>
      </c>
      <c r="M14" s="16">
        <f>M18+M22+M26+M30+M34</f>
        <v>30</v>
      </c>
      <c r="N14" s="16"/>
      <c r="O14" s="16">
        <f>O18+O22+O26+O30+O34</f>
        <v>13.7</v>
      </c>
      <c r="P14" s="16">
        <f>P18+P22+P26+P30+P34</f>
        <v>28.7</v>
      </c>
      <c r="Q14" s="16">
        <f>P14/O14*100</f>
        <v>209.48905109489053</v>
      </c>
      <c r="R14" s="16">
        <f>R18+R22+R26+R30+R34</f>
        <v>0</v>
      </c>
      <c r="S14" s="16">
        <f>S18+S22+S26+S30+S34</f>
        <v>14.4</v>
      </c>
      <c r="T14" s="16"/>
      <c r="U14" s="16">
        <f>U18+U22+U26+U30+U34</f>
        <v>0</v>
      </c>
      <c r="V14" s="16">
        <f>V18+V22+V26+V30+V34</f>
        <v>15.2</v>
      </c>
      <c r="W14" s="16"/>
      <c r="X14" s="16">
        <f>X18+X22+X26+X30+X34</f>
        <v>0</v>
      </c>
      <c r="Y14" s="16">
        <f>Y18+Y22+Y26+Y30+Y34</f>
        <v>8.1</v>
      </c>
      <c r="Z14" s="16"/>
      <c r="AA14" s="16">
        <f>AA18+AA22+AA26+AA30+AA34</f>
        <v>0</v>
      </c>
      <c r="AB14" s="16">
        <f>AB18+AB22+AB26+AB30+AB34</f>
        <v>0</v>
      </c>
      <c r="AC14" s="16"/>
      <c r="AD14" s="16">
        <f>AD18+AD22+AD26+AD30+AD34</f>
        <v>0</v>
      </c>
      <c r="AE14" s="16">
        <f>AE18+AE22+AE26+AE30+AE34</f>
        <v>9.6</v>
      </c>
      <c r="AF14" s="16"/>
      <c r="AG14" s="16">
        <f>AG18+AG22+AG26+AG30+AG34</f>
        <v>0</v>
      </c>
      <c r="AH14" s="16">
        <f>AH18+AH22+AH26+AH30+AH34</f>
        <v>-13.7</v>
      </c>
      <c r="AI14" s="16"/>
      <c r="AJ14" s="16">
        <f>AJ18+AJ22+AJ26+AJ30+AJ34</f>
        <v>0</v>
      </c>
      <c r="AK14" s="16">
        <f>AK18+AK22+AK26+AK30+AK34</f>
        <v>13.7</v>
      </c>
      <c r="AL14" s="16"/>
      <c r="AM14" s="16">
        <f>AM18+AM22+AM26+AM30+AM34</f>
        <v>0</v>
      </c>
      <c r="AN14" s="16">
        <f>AN18+AN22+AN26+AN30+AN34</f>
        <v>0</v>
      </c>
      <c r="AO14" s="16"/>
      <c r="AP14" s="16">
        <f>AP18+AP22+AP26+AP30+AP34</f>
        <v>0</v>
      </c>
      <c r="AQ14" s="16">
        <f>AQ18+AQ22+AQ26+AQ30+AQ34</f>
        <v>0.22</v>
      </c>
      <c r="AR14" s="16"/>
      <c r="AS14" s="16"/>
      <c r="AT14" s="16"/>
    </row>
    <row r="15" spans="1:46" s="8" customFormat="1" ht="19.5" customHeight="1">
      <c r="A15" s="78" t="s">
        <v>29</v>
      </c>
      <c r="B15" s="84" t="s">
        <v>30</v>
      </c>
      <c r="C15" s="78" t="s">
        <v>31</v>
      </c>
      <c r="D15" s="72" t="s">
        <v>32</v>
      </c>
      <c r="E15" s="66" t="s">
        <v>176</v>
      </c>
      <c r="F15" s="63">
        <f>F17+F18+F16</f>
        <v>508.1</v>
      </c>
      <c r="G15" s="16">
        <f>G17+G18+G16</f>
        <v>508.12</v>
      </c>
      <c r="H15" s="16">
        <f t="shared" si="0"/>
        <v>100.00393623302499</v>
      </c>
      <c r="I15" s="7">
        <f aca="true" t="shared" si="3" ref="I15:P15">I17+I18</f>
        <v>0</v>
      </c>
      <c r="J15" s="7">
        <f t="shared" si="3"/>
        <v>0</v>
      </c>
      <c r="K15" s="7"/>
      <c r="L15" s="7">
        <f t="shared" si="3"/>
        <v>416.6</v>
      </c>
      <c r="M15" s="7">
        <f t="shared" si="3"/>
        <v>0</v>
      </c>
      <c r="N15" s="7"/>
      <c r="O15" s="7">
        <f>O17+O18+O16</f>
        <v>91.5</v>
      </c>
      <c r="P15" s="7">
        <f t="shared" si="3"/>
        <v>145.7</v>
      </c>
      <c r="Q15" s="7">
        <f>P15/O15*100</f>
        <v>159.2349726775956</v>
      </c>
      <c r="R15" s="7">
        <f aca="true" t="shared" si="4" ref="R15:Y15">R17+R18</f>
        <v>0</v>
      </c>
      <c r="S15" s="7">
        <f t="shared" si="4"/>
        <v>64</v>
      </c>
      <c r="T15" s="7"/>
      <c r="U15" s="7">
        <f t="shared" si="4"/>
        <v>0</v>
      </c>
      <c r="V15" s="7">
        <f>V17+V18</f>
        <v>101.9</v>
      </c>
      <c r="W15" s="7"/>
      <c r="X15" s="7">
        <f>X17+X18</f>
        <v>0</v>
      </c>
      <c r="Y15" s="7">
        <f t="shared" si="4"/>
        <v>53.6</v>
      </c>
      <c r="Z15" s="7">
        <v>0</v>
      </c>
      <c r="AA15" s="7">
        <f aca="true" t="shared" si="5" ref="AA15:AH15">AA17+AA18</f>
        <v>0</v>
      </c>
      <c r="AB15" s="7">
        <f t="shared" si="5"/>
        <v>0</v>
      </c>
      <c r="AC15" s="7"/>
      <c r="AD15" s="7">
        <f>AD17+AD18+AD16</f>
        <v>0</v>
      </c>
      <c r="AE15" s="7">
        <f t="shared" si="5"/>
        <v>64.89999999999999</v>
      </c>
      <c r="AF15" s="7"/>
      <c r="AG15" s="7">
        <f t="shared" si="5"/>
        <v>0</v>
      </c>
      <c r="AH15" s="7">
        <f t="shared" si="5"/>
        <v>-13.7</v>
      </c>
      <c r="AI15" s="7"/>
      <c r="AJ15" s="7">
        <f aca="true" t="shared" si="6" ref="AJ15:AQ15">AJ17+AJ18</f>
        <v>0</v>
      </c>
      <c r="AK15" s="7">
        <f t="shared" si="6"/>
        <v>78.7</v>
      </c>
      <c r="AL15" s="7"/>
      <c r="AM15" s="7">
        <f t="shared" si="6"/>
        <v>0</v>
      </c>
      <c r="AN15" s="7">
        <f t="shared" si="6"/>
        <v>0</v>
      </c>
      <c r="AO15" s="7"/>
      <c r="AP15" s="7">
        <f t="shared" si="6"/>
        <v>0</v>
      </c>
      <c r="AQ15" s="7">
        <f t="shared" si="6"/>
        <v>0.22</v>
      </c>
      <c r="AR15" s="7"/>
      <c r="AS15" s="93" t="s">
        <v>166</v>
      </c>
      <c r="AT15" s="93"/>
    </row>
    <row r="16" spans="1:46" s="10" customFormat="1" ht="25.5">
      <c r="A16" s="78"/>
      <c r="B16" s="84"/>
      <c r="C16" s="78"/>
      <c r="D16" s="72"/>
      <c r="E16" s="66" t="s">
        <v>177</v>
      </c>
      <c r="F16" s="63">
        <f aca="true" t="shared" si="7" ref="F16:G18">I16+L16+O16+R16+U16+X16+AA16+AD16+AG16+AJ16+AM16+AP16</f>
        <v>12.8</v>
      </c>
      <c r="G16" s="16">
        <f t="shared" si="7"/>
        <v>12.8</v>
      </c>
      <c r="H16" s="16">
        <f t="shared" si="0"/>
        <v>100</v>
      </c>
      <c r="I16" s="9"/>
      <c r="J16" s="9"/>
      <c r="K16" s="9"/>
      <c r="L16" s="9">
        <v>0</v>
      </c>
      <c r="M16" s="9"/>
      <c r="N16" s="9"/>
      <c r="O16" s="9">
        <v>12.8</v>
      </c>
      <c r="P16" s="9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>
        <v>12.8</v>
      </c>
      <c r="AL16" s="9"/>
      <c r="AM16" s="9"/>
      <c r="AN16" s="9"/>
      <c r="AO16" s="9"/>
      <c r="AP16" s="9"/>
      <c r="AQ16" s="9"/>
      <c r="AR16" s="9"/>
      <c r="AS16" s="94"/>
      <c r="AT16" s="94"/>
    </row>
    <row r="17" spans="1:46" s="10" customFormat="1" ht="89.25">
      <c r="A17" s="78"/>
      <c r="B17" s="84"/>
      <c r="C17" s="78"/>
      <c r="D17" s="72"/>
      <c r="E17" s="66" t="s">
        <v>178</v>
      </c>
      <c r="F17" s="63">
        <f t="shared" si="7"/>
        <v>419.1</v>
      </c>
      <c r="G17" s="16">
        <f t="shared" si="7"/>
        <v>419.1</v>
      </c>
      <c r="H17" s="16">
        <f t="shared" si="0"/>
        <v>100</v>
      </c>
      <c r="I17" s="9"/>
      <c r="J17" s="9"/>
      <c r="K17" s="9"/>
      <c r="L17" s="9">
        <v>354.1</v>
      </c>
      <c r="M17" s="9">
        <v>0</v>
      </c>
      <c r="N17" s="9"/>
      <c r="O17" s="9">
        <v>65</v>
      </c>
      <c r="P17" s="9">
        <v>117</v>
      </c>
      <c r="Q17" s="9">
        <f>P17/O17*100</f>
        <v>180</v>
      </c>
      <c r="R17" s="9">
        <v>0</v>
      </c>
      <c r="S17" s="9">
        <v>49.6</v>
      </c>
      <c r="T17" s="9"/>
      <c r="U17" s="9">
        <v>0</v>
      </c>
      <c r="V17" s="9">
        <v>86.7</v>
      </c>
      <c r="W17" s="9"/>
      <c r="X17" s="9">
        <v>0</v>
      </c>
      <c r="Y17" s="9">
        <v>45.5</v>
      </c>
      <c r="Z17" s="9">
        <v>0</v>
      </c>
      <c r="AA17" s="9"/>
      <c r="AB17" s="9"/>
      <c r="AC17" s="9"/>
      <c r="AD17" s="9">
        <v>0</v>
      </c>
      <c r="AE17" s="9">
        <v>55.3</v>
      </c>
      <c r="AF17" s="9"/>
      <c r="AG17" s="9"/>
      <c r="AH17" s="9"/>
      <c r="AI17" s="9"/>
      <c r="AJ17" s="9"/>
      <c r="AK17" s="9">
        <v>65</v>
      </c>
      <c r="AL17" s="9"/>
      <c r="AM17" s="9"/>
      <c r="AN17" s="9"/>
      <c r="AO17" s="9"/>
      <c r="AP17" s="9"/>
      <c r="AQ17" s="9"/>
      <c r="AR17" s="9"/>
      <c r="AS17" s="94"/>
      <c r="AT17" s="94"/>
    </row>
    <row r="18" spans="1:46" s="10" customFormat="1" ht="81" customHeight="1">
      <c r="A18" s="78"/>
      <c r="B18" s="84"/>
      <c r="C18" s="78"/>
      <c r="D18" s="72"/>
      <c r="E18" s="66" t="s">
        <v>179</v>
      </c>
      <c r="F18" s="63">
        <f t="shared" si="7"/>
        <v>76.2</v>
      </c>
      <c r="G18" s="16">
        <f t="shared" si="7"/>
        <v>76.21999999999998</v>
      </c>
      <c r="H18" s="16">
        <f t="shared" si="0"/>
        <v>100.02624671916007</v>
      </c>
      <c r="I18" s="9"/>
      <c r="J18" s="9"/>
      <c r="K18" s="9"/>
      <c r="L18" s="9">
        <v>62.5</v>
      </c>
      <c r="M18" s="9">
        <v>0</v>
      </c>
      <c r="N18" s="9"/>
      <c r="O18" s="9">
        <v>13.7</v>
      </c>
      <c r="P18" s="9">
        <v>28.7</v>
      </c>
      <c r="Q18" s="9">
        <f>P18/O18*100</f>
        <v>209.48905109489053</v>
      </c>
      <c r="R18" s="9">
        <v>0</v>
      </c>
      <c r="S18" s="9">
        <v>14.4</v>
      </c>
      <c r="T18" s="9"/>
      <c r="U18" s="9">
        <v>0</v>
      </c>
      <c r="V18" s="9">
        <v>15.2</v>
      </c>
      <c r="W18" s="9"/>
      <c r="X18" s="9">
        <v>0</v>
      </c>
      <c r="Y18" s="9">
        <v>8.1</v>
      </c>
      <c r="Z18" s="9">
        <v>0</v>
      </c>
      <c r="AA18" s="9"/>
      <c r="AB18" s="9"/>
      <c r="AC18" s="9"/>
      <c r="AD18" s="9">
        <v>0</v>
      </c>
      <c r="AE18" s="9">
        <f>9.7-0.1</f>
        <v>9.6</v>
      </c>
      <c r="AF18" s="9"/>
      <c r="AG18" s="9"/>
      <c r="AH18" s="9">
        <v>-13.7</v>
      </c>
      <c r="AI18" s="9"/>
      <c r="AJ18" s="9"/>
      <c r="AK18" s="9">
        <v>13.7</v>
      </c>
      <c r="AL18" s="9"/>
      <c r="AM18" s="9"/>
      <c r="AN18" s="9"/>
      <c r="AO18" s="9"/>
      <c r="AP18" s="9"/>
      <c r="AQ18" s="9">
        <v>0.22</v>
      </c>
      <c r="AR18" s="9"/>
      <c r="AS18" s="95"/>
      <c r="AT18" s="95"/>
    </row>
    <row r="19" spans="1:46" s="8" customFormat="1" ht="12.75">
      <c r="A19" s="78" t="s">
        <v>33</v>
      </c>
      <c r="B19" s="84" t="s">
        <v>34</v>
      </c>
      <c r="C19" s="78" t="s">
        <v>31</v>
      </c>
      <c r="D19" s="72" t="s">
        <v>35</v>
      </c>
      <c r="E19" s="66" t="s">
        <v>176</v>
      </c>
      <c r="F19" s="63">
        <f>F21+F22</f>
        <v>0</v>
      </c>
      <c r="G19" s="16">
        <f>G21+G22</f>
        <v>0</v>
      </c>
      <c r="H19" s="11">
        <v>0</v>
      </c>
      <c r="I19" s="11"/>
      <c r="J19" s="11"/>
      <c r="K19" s="1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96" t="s">
        <v>109</v>
      </c>
      <c r="AT19" s="90"/>
    </row>
    <row r="20" spans="1:46" s="10" customFormat="1" ht="25.5">
      <c r="A20" s="78"/>
      <c r="B20" s="84"/>
      <c r="C20" s="78"/>
      <c r="D20" s="72"/>
      <c r="E20" s="66" t="s">
        <v>177</v>
      </c>
      <c r="F20" s="63">
        <f aca="true" t="shared" si="8" ref="F20:G22">I20+L20+O20+R20+U20+X20+AA20+AD20+AG20+AJ20+AM20+AP20</f>
        <v>0</v>
      </c>
      <c r="G20" s="16">
        <f t="shared" si="8"/>
        <v>0</v>
      </c>
      <c r="H20" s="11">
        <v>0</v>
      </c>
      <c r="I20" s="12"/>
      <c r="J20" s="12"/>
      <c r="K20" s="1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97"/>
      <c r="AT20" s="91"/>
    </row>
    <row r="21" spans="1:46" s="10" customFormat="1" ht="89.25">
      <c r="A21" s="78"/>
      <c r="B21" s="84"/>
      <c r="C21" s="78"/>
      <c r="D21" s="72"/>
      <c r="E21" s="66" t="s">
        <v>178</v>
      </c>
      <c r="F21" s="63">
        <f t="shared" si="8"/>
        <v>0</v>
      </c>
      <c r="G21" s="16">
        <f t="shared" si="8"/>
        <v>0</v>
      </c>
      <c r="H21" s="11">
        <v>0</v>
      </c>
      <c r="I21" s="12"/>
      <c r="J21" s="12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97"/>
      <c r="AT21" s="91"/>
    </row>
    <row r="22" spans="1:46" s="10" customFormat="1" ht="51">
      <c r="A22" s="78"/>
      <c r="B22" s="84"/>
      <c r="C22" s="78"/>
      <c r="D22" s="72"/>
      <c r="E22" s="66" t="s">
        <v>179</v>
      </c>
      <c r="F22" s="63">
        <f t="shared" si="8"/>
        <v>0</v>
      </c>
      <c r="G22" s="16">
        <f t="shared" si="8"/>
        <v>0</v>
      </c>
      <c r="H22" s="11">
        <v>0</v>
      </c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86"/>
      <c r="AT22" s="92"/>
    </row>
    <row r="23" spans="1:46" s="8" customFormat="1" ht="12.75">
      <c r="A23" s="83" t="s">
        <v>36</v>
      </c>
      <c r="B23" s="84" t="s">
        <v>37</v>
      </c>
      <c r="C23" s="85" t="s">
        <v>31</v>
      </c>
      <c r="D23" s="86" t="s">
        <v>38</v>
      </c>
      <c r="E23" s="66" t="s">
        <v>176</v>
      </c>
      <c r="F23" s="16">
        <f>F25+F26</f>
        <v>180</v>
      </c>
      <c r="G23" s="16">
        <f>G25+G26</f>
        <v>180</v>
      </c>
      <c r="H23" s="16">
        <f>G23/F23*100</f>
        <v>100</v>
      </c>
      <c r="I23" s="11">
        <f aca="true" t="shared" si="9" ref="I23:P23">I25+I26</f>
        <v>0</v>
      </c>
      <c r="J23" s="11">
        <f t="shared" si="9"/>
        <v>0</v>
      </c>
      <c r="K23" s="11"/>
      <c r="L23" s="11">
        <f t="shared" si="9"/>
        <v>30</v>
      </c>
      <c r="M23" s="11">
        <f t="shared" si="9"/>
        <v>30</v>
      </c>
      <c r="N23" s="11">
        <f>M23/L23*100</f>
        <v>100</v>
      </c>
      <c r="O23" s="11">
        <f t="shared" si="9"/>
        <v>0</v>
      </c>
      <c r="P23" s="11">
        <f t="shared" si="9"/>
        <v>0</v>
      </c>
      <c r="Q23" s="11"/>
      <c r="R23" s="67"/>
      <c r="S23" s="67"/>
      <c r="T23" s="67"/>
      <c r="U23" s="67"/>
      <c r="V23" s="67"/>
      <c r="W23" s="67"/>
      <c r="X23" s="13">
        <f>X25</f>
        <v>150</v>
      </c>
      <c r="Y23" s="13">
        <f>Y25</f>
        <v>150</v>
      </c>
      <c r="Z23" s="13">
        <f>Y23/X23*100</f>
        <v>100</v>
      </c>
      <c r="AA23" s="16">
        <f>AA25</f>
        <v>0</v>
      </c>
      <c r="AB23" s="16">
        <f>AB25</f>
        <v>0</v>
      </c>
      <c r="AC23" s="13"/>
      <c r="AD23" s="67"/>
      <c r="AE23" s="67"/>
      <c r="AF23" s="67"/>
      <c r="AG23" s="11">
        <f>AG25+AG26</f>
        <v>0</v>
      </c>
      <c r="AH23" s="11">
        <f>AH25+AH26</f>
        <v>0</v>
      </c>
      <c r="AI23" s="16"/>
      <c r="AJ23" s="67"/>
      <c r="AK23" s="67"/>
      <c r="AL23" s="67"/>
      <c r="AM23" s="67"/>
      <c r="AN23" s="67"/>
      <c r="AO23" s="67"/>
      <c r="AP23" s="67"/>
      <c r="AQ23" s="67"/>
      <c r="AR23" s="67"/>
      <c r="AS23" s="87" t="s">
        <v>165</v>
      </c>
      <c r="AT23" s="90"/>
    </row>
    <row r="24" spans="1:46" s="10" customFormat="1" ht="25.5">
      <c r="A24" s="83"/>
      <c r="B24" s="84"/>
      <c r="C24" s="85"/>
      <c r="D24" s="86"/>
      <c r="E24" s="66" t="s">
        <v>177</v>
      </c>
      <c r="F24" s="16">
        <f aca="true" t="shared" si="10" ref="F24:G26">I24+L24+O24+R24+U24+X24+AA24+AD24+AG24+AJ24+AM24+AP24</f>
        <v>0</v>
      </c>
      <c r="G24" s="16">
        <f t="shared" si="10"/>
        <v>0</v>
      </c>
      <c r="H24" s="16"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62"/>
      <c r="S24" s="62"/>
      <c r="T24" s="62"/>
      <c r="U24" s="62"/>
      <c r="V24" s="62"/>
      <c r="W24" s="62"/>
      <c r="X24" s="15"/>
      <c r="Y24" s="15"/>
      <c r="Z24" s="15"/>
      <c r="AA24" s="14"/>
      <c r="AB24" s="14"/>
      <c r="AC24" s="15"/>
      <c r="AD24" s="62"/>
      <c r="AE24" s="62"/>
      <c r="AF24" s="62"/>
      <c r="AG24" s="1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88"/>
      <c r="AT24" s="91"/>
    </row>
    <row r="25" spans="1:46" s="10" customFormat="1" ht="89.25">
      <c r="A25" s="83"/>
      <c r="B25" s="84"/>
      <c r="C25" s="78"/>
      <c r="D25" s="72"/>
      <c r="E25" s="66" t="s">
        <v>178</v>
      </c>
      <c r="F25" s="16">
        <f t="shared" si="10"/>
        <v>150</v>
      </c>
      <c r="G25" s="16">
        <f t="shared" si="10"/>
        <v>150</v>
      </c>
      <c r="H25" s="16">
        <f>G25/F25*100</f>
        <v>100</v>
      </c>
      <c r="I25" s="12"/>
      <c r="J25" s="12"/>
      <c r="K25" s="12"/>
      <c r="L25" s="12"/>
      <c r="M25" s="12"/>
      <c r="N25" s="12"/>
      <c r="O25" s="12"/>
      <c r="P25" s="12"/>
      <c r="Q25" s="12"/>
      <c r="R25" s="62"/>
      <c r="S25" s="62"/>
      <c r="T25" s="62"/>
      <c r="U25" s="62"/>
      <c r="V25" s="62"/>
      <c r="W25" s="62"/>
      <c r="X25" s="15">
        <v>150</v>
      </c>
      <c r="Y25" s="15">
        <v>150</v>
      </c>
      <c r="Z25" s="15">
        <f>Y25/X25*100</f>
        <v>100</v>
      </c>
      <c r="AA25" s="14"/>
      <c r="AB25" s="14"/>
      <c r="AC25" s="15"/>
      <c r="AD25" s="62"/>
      <c r="AE25" s="62"/>
      <c r="AF25" s="62"/>
      <c r="AG25" s="1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88"/>
      <c r="AT25" s="91"/>
    </row>
    <row r="26" spans="1:46" s="10" customFormat="1" ht="77.25" customHeight="1">
      <c r="A26" s="83"/>
      <c r="B26" s="84"/>
      <c r="C26" s="78"/>
      <c r="D26" s="72"/>
      <c r="E26" s="66" t="s">
        <v>179</v>
      </c>
      <c r="F26" s="16">
        <f t="shared" si="10"/>
        <v>30</v>
      </c>
      <c r="G26" s="16">
        <f t="shared" si="10"/>
        <v>30</v>
      </c>
      <c r="H26" s="16">
        <f>G26/F26*100</f>
        <v>100</v>
      </c>
      <c r="I26" s="12"/>
      <c r="J26" s="12"/>
      <c r="K26" s="12"/>
      <c r="L26" s="12">
        <v>30</v>
      </c>
      <c r="M26" s="12">
        <v>30</v>
      </c>
      <c r="N26" s="12">
        <f>M26/L26*100</f>
        <v>100</v>
      </c>
      <c r="O26" s="12"/>
      <c r="P26" s="12"/>
      <c r="Q26" s="1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2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89"/>
      <c r="AT26" s="92"/>
    </row>
    <row r="27" spans="1:46" s="8" customFormat="1" ht="18" customHeight="1">
      <c r="A27" s="83" t="s">
        <v>39</v>
      </c>
      <c r="B27" s="84" t="s">
        <v>40</v>
      </c>
      <c r="C27" s="78" t="s">
        <v>31</v>
      </c>
      <c r="D27" s="72" t="s">
        <v>41</v>
      </c>
      <c r="E27" s="66" t="s">
        <v>176</v>
      </c>
      <c r="F27" s="16">
        <f>F29+F30</f>
        <v>0</v>
      </c>
      <c r="G27" s="16">
        <f>G29+G30</f>
        <v>0</v>
      </c>
      <c r="H27" s="16">
        <v>0</v>
      </c>
      <c r="I27" s="16"/>
      <c r="J27" s="16"/>
      <c r="K27" s="16"/>
      <c r="L27" s="16"/>
      <c r="M27" s="16"/>
      <c r="N27" s="16"/>
      <c r="O27" s="11"/>
      <c r="P27" s="11"/>
      <c r="Q27" s="16"/>
      <c r="R27" s="16"/>
      <c r="S27" s="16"/>
      <c r="T27" s="16"/>
      <c r="U27" s="16"/>
      <c r="V27" s="16"/>
      <c r="W27" s="16"/>
      <c r="X27" s="16"/>
      <c r="Y27" s="16"/>
      <c r="Z27" s="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93" t="s">
        <v>109</v>
      </c>
      <c r="AT27" s="90"/>
    </row>
    <row r="28" spans="1:46" s="10" customFormat="1" ht="25.5">
      <c r="A28" s="83"/>
      <c r="B28" s="84"/>
      <c r="C28" s="78"/>
      <c r="D28" s="72"/>
      <c r="E28" s="66" t="s">
        <v>177</v>
      </c>
      <c r="F28" s="16">
        <f aca="true" t="shared" si="11" ref="F28:G30">I28+L28+O28+R28+U28+X28+AA28+AD28+AG28+AJ28+AM28+AP28</f>
        <v>0</v>
      </c>
      <c r="G28" s="16">
        <f t="shared" si="11"/>
        <v>0</v>
      </c>
      <c r="H28" s="16">
        <v>0</v>
      </c>
      <c r="I28" s="14"/>
      <c r="J28" s="14"/>
      <c r="K28" s="14"/>
      <c r="L28" s="14"/>
      <c r="M28" s="14"/>
      <c r="N28" s="14"/>
      <c r="O28" s="12"/>
      <c r="P28" s="12"/>
      <c r="Q28" s="14"/>
      <c r="R28" s="14"/>
      <c r="S28" s="14"/>
      <c r="T28" s="14"/>
      <c r="U28" s="14"/>
      <c r="V28" s="14"/>
      <c r="W28" s="14"/>
      <c r="X28" s="14"/>
      <c r="Y28" s="14"/>
      <c r="Z28" s="9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94"/>
      <c r="AT28" s="91"/>
    </row>
    <row r="29" spans="1:46" s="10" customFormat="1" ht="89.25">
      <c r="A29" s="83"/>
      <c r="B29" s="84"/>
      <c r="C29" s="78"/>
      <c r="D29" s="72"/>
      <c r="E29" s="66" t="s">
        <v>178</v>
      </c>
      <c r="F29" s="16">
        <f t="shared" si="11"/>
        <v>0</v>
      </c>
      <c r="G29" s="16">
        <f t="shared" si="11"/>
        <v>0</v>
      </c>
      <c r="H29" s="16">
        <v>0</v>
      </c>
      <c r="I29" s="14"/>
      <c r="J29" s="14"/>
      <c r="K29" s="14"/>
      <c r="L29" s="14"/>
      <c r="M29" s="14"/>
      <c r="N29" s="14"/>
      <c r="O29" s="12"/>
      <c r="P29" s="12"/>
      <c r="Q29" s="14"/>
      <c r="R29" s="14"/>
      <c r="S29" s="14"/>
      <c r="T29" s="14"/>
      <c r="U29" s="14"/>
      <c r="V29" s="14"/>
      <c r="W29" s="14"/>
      <c r="X29" s="14"/>
      <c r="Y29" s="14"/>
      <c r="Z29" s="9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94"/>
      <c r="AT29" s="91"/>
    </row>
    <row r="30" spans="1:46" s="10" customFormat="1" ht="51">
      <c r="A30" s="83"/>
      <c r="B30" s="84"/>
      <c r="C30" s="78"/>
      <c r="D30" s="72"/>
      <c r="E30" s="66" t="s">
        <v>179</v>
      </c>
      <c r="F30" s="16">
        <f t="shared" si="11"/>
        <v>0</v>
      </c>
      <c r="G30" s="16">
        <f t="shared" si="11"/>
        <v>0</v>
      </c>
      <c r="H30" s="16">
        <v>0</v>
      </c>
      <c r="I30" s="14"/>
      <c r="J30" s="14"/>
      <c r="K30" s="14"/>
      <c r="L30" s="14"/>
      <c r="M30" s="14"/>
      <c r="N30" s="14"/>
      <c r="O30" s="12"/>
      <c r="P30" s="12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95"/>
      <c r="AT30" s="92"/>
    </row>
    <row r="31" spans="1:46" s="8" customFormat="1" ht="12.75">
      <c r="A31" s="83" t="s">
        <v>42</v>
      </c>
      <c r="B31" s="84" t="s">
        <v>43</v>
      </c>
      <c r="C31" s="78" t="s">
        <v>31</v>
      </c>
      <c r="D31" s="72" t="s">
        <v>32</v>
      </c>
      <c r="E31" s="66" t="s">
        <v>176</v>
      </c>
      <c r="F31" s="16">
        <f>F33+F34</f>
        <v>0</v>
      </c>
      <c r="G31" s="16">
        <f>G33+G34</f>
        <v>0</v>
      </c>
      <c r="H31" s="16">
        <v>0</v>
      </c>
      <c r="I31" s="67"/>
      <c r="J31" s="67"/>
      <c r="K31" s="67"/>
      <c r="L31" s="11"/>
      <c r="M31" s="11"/>
      <c r="N31" s="11"/>
      <c r="O31" s="11"/>
      <c r="P31" s="11"/>
      <c r="Q31" s="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93" t="s">
        <v>109</v>
      </c>
      <c r="AT31" s="90"/>
    </row>
    <row r="32" spans="1:46" s="10" customFormat="1" ht="25.5">
      <c r="A32" s="83"/>
      <c r="B32" s="84"/>
      <c r="C32" s="78"/>
      <c r="D32" s="72"/>
      <c r="E32" s="66" t="s">
        <v>177</v>
      </c>
      <c r="F32" s="16">
        <f aca="true" t="shared" si="12" ref="F32:G34">I32+L32+O32+R32+U32+X32+AA32+AD32+AG32+AJ32+AM32+AP32</f>
        <v>0</v>
      </c>
      <c r="G32" s="16">
        <f t="shared" si="12"/>
        <v>0</v>
      </c>
      <c r="H32" s="16">
        <v>0</v>
      </c>
      <c r="I32" s="62"/>
      <c r="J32" s="62"/>
      <c r="K32" s="62"/>
      <c r="L32" s="12"/>
      <c r="M32" s="12"/>
      <c r="N32" s="14"/>
      <c r="O32" s="12"/>
      <c r="P32" s="12"/>
      <c r="Q32" s="14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94"/>
      <c r="AT32" s="91"/>
    </row>
    <row r="33" spans="1:46" s="10" customFormat="1" ht="89.25">
      <c r="A33" s="83"/>
      <c r="B33" s="84"/>
      <c r="C33" s="78"/>
      <c r="D33" s="72"/>
      <c r="E33" s="66" t="s">
        <v>178</v>
      </c>
      <c r="F33" s="16">
        <f t="shared" si="12"/>
        <v>0</v>
      </c>
      <c r="G33" s="16">
        <f t="shared" si="12"/>
        <v>0</v>
      </c>
      <c r="H33" s="16">
        <v>0</v>
      </c>
      <c r="I33" s="62"/>
      <c r="J33" s="62"/>
      <c r="K33" s="62"/>
      <c r="L33" s="12"/>
      <c r="M33" s="12"/>
      <c r="N33" s="14"/>
      <c r="O33" s="12"/>
      <c r="P33" s="12"/>
      <c r="Q33" s="14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94"/>
      <c r="AT33" s="91"/>
    </row>
    <row r="34" spans="1:46" s="10" customFormat="1" ht="51">
      <c r="A34" s="83"/>
      <c r="B34" s="84"/>
      <c r="C34" s="78"/>
      <c r="D34" s="72"/>
      <c r="E34" s="66" t="s">
        <v>179</v>
      </c>
      <c r="F34" s="16">
        <f t="shared" si="12"/>
        <v>0</v>
      </c>
      <c r="G34" s="16">
        <f t="shared" si="12"/>
        <v>0</v>
      </c>
      <c r="H34" s="16"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95"/>
      <c r="AT34" s="92"/>
    </row>
    <row r="35" spans="1:46" s="10" customFormat="1" ht="31.5" customHeight="1">
      <c r="A35" s="37" t="s">
        <v>44</v>
      </c>
      <c r="B35" s="98" t="s">
        <v>103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57"/>
      <c r="AT35" s="69"/>
    </row>
    <row r="36" spans="1:46" s="6" customFormat="1" ht="18.75" customHeight="1">
      <c r="A36" s="101" t="s">
        <v>45</v>
      </c>
      <c r="B36" s="102" t="s">
        <v>46</v>
      </c>
      <c r="C36" s="73"/>
      <c r="D36" s="73"/>
      <c r="E36" s="66" t="s">
        <v>176</v>
      </c>
      <c r="F36" s="16">
        <f>F38+F39</f>
        <v>17785.5</v>
      </c>
      <c r="G36" s="16">
        <f>G38+G39</f>
        <v>117.5</v>
      </c>
      <c r="H36" s="16">
        <f aca="true" t="shared" si="13" ref="H36:H44">G36/F36*100</f>
        <v>0.6606505299260634</v>
      </c>
      <c r="I36" s="11">
        <f>I38+I39</f>
        <v>1.5999999999999999</v>
      </c>
      <c r="J36" s="11">
        <f aca="true" t="shared" si="14" ref="J36:P36">J38+J39</f>
        <v>0</v>
      </c>
      <c r="K36" s="11"/>
      <c r="L36" s="11">
        <f>L38+L39</f>
        <v>1.5999999999999999</v>
      </c>
      <c r="M36" s="11">
        <f t="shared" si="14"/>
        <v>0</v>
      </c>
      <c r="N36" s="11"/>
      <c r="O36" s="11">
        <f t="shared" si="14"/>
        <v>21.1</v>
      </c>
      <c r="P36" s="11">
        <f t="shared" si="14"/>
        <v>1.4</v>
      </c>
      <c r="Q36" s="16">
        <f>P36/O36*100</f>
        <v>6.635071090047393</v>
      </c>
      <c r="R36" s="11">
        <f aca="true" t="shared" si="15" ref="R36:Y36">R38+R39</f>
        <v>21.599999999999998</v>
      </c>
      <c r="S36" s="11">
        <f t="shared" si="15"/>
        <v>21.4</v>
      </c>
      <c r="T36" s="11">
        <f aca="true" t="shared" si="16" ref="T36:T44">S36/R36*100</f>
        <v>99.07407407407408</v>
      </c>
      <c r="U36" s="11">
        <f t="shared" si="15"/>
        <v>1.5999999999999999</v>
      </c>
      <c r="V36" s="11">
        <f t="shared" si="15"/>
        <v>1.5999999999999999</v>
      </c>
      <c r="W36" s="11">
        <f aca="true" t="shared" si="17" ref="W36:W43">V36/U36*100</f>
        <v>100</v>
      </c>
      <c r="X36" s="11">
        <f t="shared" si="15"/>
        <v>21.1</v>
      </c>
      <c r="Y36" s="11">
        <f t="shared" si="15"/>
        <v>2.8</v>
      </c>
      <c r="Z36" s="11">
        <f aca="true" t="shared" si="18" ref="Z36:Z43">Y36/X36*100</f>
        <v>13.270142180094785</v>
      </c>
      <c r="AA36" s="11">
        <f aca="true" t="shared" si="19" ref="AA36:AH36">AA38+AA39</f>
        <v>1.5999999999999999</v>
      </c>
      <c r="AB36" s="11">
        <f t="shared" si="19"/>
        <v>41.4</v>
      </c>
      <c r="AC36" s="11">
        <f aca="true" t="shared" si="20" ref="AC36:AC43">AB36/AA36*100</f>
        <v>2587.5</v>
      </c>
      <c r="AD36" s="11">
        <f t="shared" si="19"/>
        <v>1.6</v>
      </c>
      <c r="AE36" s="11">
        <f t="shared" si="19"/>
        <v>0</v>
      </c>
      <c r="AF36" s="11"/>
      <c r="AG36" s="11">
        <f t="shared" si="19"/>
        <v>21.2</v>
      </c>
      <c r="AH36" s="11">
        <f t="shared" si="19"/>
        <v>2.3</v>
      </c>
      <c r="AI36" s="11">
        <f aca="true" t="shared" si="21" ref="AI36:AI43">AH36/AG36*100</f>
        <v>10.849056603773583</v>
      </c>
      <c r="AJ36" s="11">
        <f aca="true" t="shared" si="22" ref="AJ36:AQ36">AJ38+AJ39</f>
        <v>1.7</v>
      </c>
      <c r="AK36" s="11">
        <f t="shared" si="22"/>
        <v>21.9</v>
      </c>
      <c r="AL36" s="11">
        <f aca="true" t="shared" si="23" ref="AL36:AL43">AK36/AJ36*100</f>
        <v>1288.2352941176468</v>
      </c>
      <c r="AM36" s="11">
        <f t="shared" si="22"/>
        <v>1.6</v>
      </c>
      <c r="AN36" s="11">
        <f t="shared" si="22"/>
        <v>2.5</v>
      </c>
      <c r="AO36" s="11">
        <f aca="true" t="shared" si="24" ref="AO36:AO43">AN36/AM36*100</f>
        <v>156.25</v>
      </c>
      <c r="AP36" s="11">
        <f>AP38+AP39</f>
        <v>17689.2</v>
      </c>
      <c r="AQ36" s="11">
        <f t="shared" si="22"/>
        <v>22.2</v>
      </c>
      <c r="AR36" s="11">
        <f aca="true" t="shared" si="25" ref="AR36:AR43">AQ36/AP36*100</f>
        <v>0.1255003052710128</v>
      </c>
      <c r="AS36" s="67"/>
      <c r="AT36" s="67"/>
    </row>
    <row r="37" spans="1:46" s="6" customFormat="1" ht="25.5">
      <c r="A37" s="101"/>
      <c r="B37" s="102"/>
      <c r="C37" s="73"/>
      <c r="D37" s="73"/>
      <c r="E37" s="66" t="s">
        <v>177</v>
      </c>
      <c r="F37" s="16">
        <f aca="true" t="shared" si="26" ref="F37:G39">I37+L37+O37+R37+U37+X37+AA37+AD37+AG37+AJ37+AM37+AP37</f>
        <v>0</v>
      </c>
      <c r="G37" s="16">
        <f t="shared" si="26"/>
        <v>0</v>
      </c>
      <c r="H37" s="16">
        <v>0</v>
      </c>
      <c r="I37" s="11">
        <f>I41+I45+I49+I53</f>
        <v>0</v>
      </c>
      <c r="J37" s="11">
        <f aca="true" t="shared" si="27" ref="J37:AQ37">J41+J45+J49+J53</f>
        <v>0</v>
      </c>
      <c r="K37" s="11">
        <f t="shared" si="27"/>
        <v>0</v>
      </c>
      <c r="L37" s="11">
        <f t="shared" si="27"/>
        <v>0</v>
      </c>
      <c r="M37" s="11">
        <f t="shared" si="27"/>
        <v>0</v>
      </c>
      <c r="N37" s="11">
        <f t="shared" si="27"/>
        <v>0</v>
      </c>
      <c r="O37" s="11">
        <f t="shared" si="27"/>
        <v>0</v>
      </c>
      <c r="P37" s="11">
        <f t="shared" si="27"/>
        <v>0</v>
      </c>
      <c r="Q37" s="11">
        <f t="shared" si="27"/>
        <v>0</v>
      </c>
      <c r="R37" s="11">
        <f t="shared" si="27"/>
        <v>0</v>
      </c>
      <c r="S37" s="11">
        <f t="shared" si="27"/>
        <v>0</v>
      </c>
      <c r="T37" s="11">
        <f t="shared" si="27"/>
        <v>0</v>
      </c>
      <c r="U37" s="11">
        <f t="shared" si="27"/>
        <v>0</v>
      </c>
      <c r="V37" s="11">
        <f t="shared" si="27"/>
        <v>0</v>
      </c>
      <c r="W37" s="11">
        <f t="shared" si="27"/>
        <v>0</v>
      </c>
      <c r="X37" s="11">
        <f t="shared" si="27"/>
        <v>0</v>
      </c>
      <c r="Y37" s="11">
        <f t="shared" si="27"/>
        <v>0</v>
      </c>
      <c r="Z37" s="11">
        <f t="shared" si="27"/>
        <v>0</v>
      </c>
      <c r="AA37" s="11">
        <f t="shared" si="27"/>
        <v>0</v>
      </c>
      <c r="AB37" s="11">
        <f t="shared" si="27"/>
        <v>0</v>
      </c>
      <c r="AC37" s="11">
        <f t="shared" si="27"/>
        <v>0</v>
      </c>
      <c r="AD37" s="11">
        <f t="shared" si="27"/>
        <v>0</v>
      </c>
      <c r="AE37" s="11">
        <f t="shared" si="27"/>
        <v>0</v>
      </c>
      <c r="AF37" s="11">
        <f t="shared" si="27"/>
        <v>0</v>
      </c>
      <c r="AG37" s="11">
        <f t="shared" si="27"/>
        <v>0</v>
      </c>
      <c r="AH37" s="11">
        <f t="shared" si="27"/>
        <v>0</v>
      </c>
      <c r="AI37" s="11">
        <f t="shared" si="27"/>
        <v>0</v>
      </c>
      <c r="AJ37" s="11">
        <f t="shared" si="27"/>
        <v>0</v>
      </c>
      <c r="AK37" s="11">
        <f t="shared" si="27"/>
        <v>0</v>
      </c>
      <c r="AL37" s="11">
        <f t="shared" si="27"/>
        <v>0</v>
      </c>
      <c r="AM37" s="11">
        <f t="shared" si="27"/>
        <v>0</v>
      </c>
      <c r="AN37" s="11">
        <f t="shared" si="27"/>
        <v>0</v>
      </c>
      <c r="AO37" s="11">
        <f t="shared" si="27"/>
        <v>0</v>
      </c>
      <c r="AP37" s="11">
        <f t="shared" si="27"/>
        <v>0</v>
      </c>
      <c r="AQ37" s="11">
        <f t="shared" si="27"/>
        <v>0</v>
      </c>
      <c r="AR37" s="11">
        <f>AR41+AR45+AR49+AR53</f>
        <v>0</v>
      </c>
      <c r="AS37" s="67"/>
      <c r="AT37" s="67"/>
    </row>
    <row r="38" spans="1:46" s="6" customFormat="1" ht="89.25">
      <c r="A38" s="101"/>
      <c r="B38" s="102"/>
      <c r="C38" s="73"/>
      <c r="D38" s="73"/>
      <c r="E38" s="66" t="s">
        <v>178</v>
      </c>
      <c r="F38" s="16">
        <f t="shared" si="26"/>
        <v>82.89999999999998</v>
      </c>
      <c r="G38" s="16">
        <f t="shared" si="26"/>
        <v>82.9</v>
      </c>
      <c r="H38" s="16">
        <f t="shared" si="13"/>
        <v>100.00000000000004</v>
      </c>
      <c r="I38" s="11">
        <f>I42+I46+I50</f>
        <v>1.4</v>
      </c>
      <c r="J38" s="11">
        <f>J42+J46+J50</f>
        <v>0</v>
      </c>
      <c r="K38" s="11"/>
      <c r="L38" s="11">
        <f>L42+L46+L50+L54</f>
        <v>1.4</v>
      </c>
      <c r="M38" s="11">
        <f>M42+M46+M50+M54</f>
        <v>0</v>
      </c>
      <c r="N38" s="11"/>
      <c r="O38" s="11">
        <f>O42+O46+O50+O54</f>
        <v>18</v>
      </c>
      <c r="P38" s="11">
        <f>P42+P46+P50+P54</f>
        <v>1.4</v>
      </c>
      <c r="Q38" s="16">
        <f>P38/O38*100</f>
        <v>7.777777777777778</v>
      </c>
      <c r="R38" s="11">
        <f>R42+R46+R50+R54</f>
        <v>1.4</v>
      </c>
      <c r="S38" s="11">
        <f>S42+S46+S50+S54</f>
        <v>1.4</v>
      </c>
      <c r="T38" s="11">
        <f t="shared" si="16"/>
        <v>100</v>
      </c>
      <c r="U38" s="11">
        <f>U42+U46+U50+U54</f>
        <v>1.4</v>
      </c>
      <c r="V38" s="11">
        <f>V42+V46+V50+V54</f>
        <v>1.4</v>
      </c>
      <c r="W38" s="11">
        <f t="shared" si="17"/>
        <v>100</v>
      </c>
      <c r="X38" s="11">
        <f>X42+X46+X50+X54</f>
        <v>18</v>
      </c>
      <c r="Y38" s="11">
        <f>Y42+Y46+Y50+Y54</f>
        <v>1.4</v>
      </c>
      <c r="Z38" s="11">
        <f t="shared" si="18"/>
        <v>7.777777777777778</v>
      </c>
      <c r="AA38" s="11">
        <f>AA42+AA46+AA50+AA54</f>
        <v>1.4</v>
      </c>
      <c r="AB38" s="11">
        <f>AB42+AB46+AB50+AB54</f>
        <v>38.1</v>
      </c>
      <c r="AC38" s="11">
        <f t="shared" si="20"/>
        <v>2721.4285714285716</v>
      </c>
      <c r="AD38" s="11">
        <f>AD42+AD46+AD50+AD54</f>
        <v>1.3</v>
      </c>
      <c r="AE38" s="11">
        <f>AE42+AE46+AE50+AE54</f>
        <v>0</v>
      </c>
      <c r="AF38" s="11"/>
      <c r="AG38" s="11">
        <f>AG42+AG46+AG50+AG54</f>
        <v>18</v>
      </c>
      <c r="AH38" s="11">
        <f>AH42+AH46+AH50+AH54</f>
        <v>2</v>
      </c>
      <c r="AI38" s="11">
        <f t="shared" si="21"/>
        <v>11.11111111111111</v>
      </c>
      <c r="AJ38" s="11">
        <f>AJ42+AJ46+AJ50+AJ54</f>
        <v>1.4</v>
      </c>
      <c r="AK38" s="11">
        <f>AK42+AK46+AK50+AK54</f>
        <v>18.7</v>
      </c>
      <c r="AL38" s="11">
        <f t="shared" si="23"/>
        <v>1335.7142857142858</v>
      </c>
      <c r="AM38" s="11">
        <f>AM42+AM46+AM50+AM54</f>
        <v>1.3</v>
      </c>
      <c r="AN38" s="11">
        <f>AN42+AN46+AN50+AN54</f>
        <v>2.1</v>
      </c>
      <c r="AO38" s="11">
        <f t="shared" si="24"/>
        <v>161.53846153846155</v>
      </c>
      <c r="AP38" s="11">
        <f>AP42+AP46+AP50+AP54</f>
        <v>17.9</v>
      </c>
      <c r="AQ38" s="11">
        <f>AQ42+AQ46+AQ50+AQ54</f>
        <v>16.4</v>
      </c>
      <c r="AR38" s="11">
        <f t="shared" si="25"/>
        <v>91.62011173184358</v>
      </c>
      <c r="AS38" s="67"/>
      <c r="AT38" s="67"/>
    </row>
    <row r="39" spans="1:46" s="6" customFormat="1" ht="51">
      <c r="A39" s="101"/>
      <c r="B39" s="102"/>
      <c r="C39" s="73"/>
      <c r="D39" s="73"/>
      <c r="E39" s="66" t="s">
        <v>179</v>
      </c>
      <c r="F39" s="16">
        <f t="shared" si="26"/>
        <v>17702.6</v>
      </c>
      <c r="G39" s="16">
        <f t="shared" si="26"/>
        <v>34.599999999999994</v>
      </c>
      <c r="H39" s="16">
        <f t="shared" si="13"/>
        <v>0.19545151559657903</v>
      </c>
      <c r="I39" s="11">
        <f>I43+I47+I51</f>
        <v>0.2</v>
      </c>
      <c r="J39" s="11">
        <f>J43+J47+J51</f>
        <v>0</v>
      </c>
      <c r="K39" s="11"/>
      <c r="L39" s="11">
        <f>L43+L47+L51+L55</f>
        <v>0.2</v>
      </c>
      <c r="M39" s="11">
        <f>M43+M47+M51+M55</f>
        <v>0</v>
      </c>
      <c r="N39" s="11"/>
      <c r="O39" s="11">
        <f>O43+O47+O51+O55</f>
        <v>3.1</v>
      </c>
      <c r="P39" s="11">
        <f>P43+P47+P51+P55</f>
        <v>0</v>
      </c>
      <c r="Q39" s="11">
        <f>P39/O39*100</f>
        <v>0</v>
      </c>
      <c r="R39" s="11">
        <f>R43+R47+R51+R55</f>
        <v>20.2</v>
      </c>
      <c r="S39" s="11">
        <f>S43+S47+S51+S55</f>
        <v>20</v>
      </c>
      <c r="T39" s="11">
        <f t="shared" si="16"/>
        <v>99.00990099009901</v>
      </c>
      <c r="U39" s="11">
        <f>U43+U47+U51+U55</f>
        <v>0.2</v>
      </c>
      <c r="V39" s="11">
        <f>V43+V47+V51+V55</f>
        <v>0.2</v>
      </c>
      <c r="W39" s="11">
        <f t="shared" si="17"/>
        <v>100</v>
      </c>
      <c r="X39" s="11">
        <f>X43+X47+X51+X55</f>
        <v>3.1</v>
      </c>
      <c r="Y39" s="11">
        <f>Y43+Y47+Y51+Y55</f>
        <v>1.4</v>
      </c>
      <c r="Z39" s="11">
        <f t="shared" si="18"/>
        <v>45.16129032258064</v>
      </c>
      <c r="AA39" s="11">
        <f>AA43+AA47+AA51+AA55</f>
        <v>0.2</v>
      </c>
      <c r="AB39" s="11">
        <f>AB43+AB47+AB51+AB55</f>
        <v>3.3</v>
      </c>
      <c r="AC39" s="11">
        <f t="shared" si="20"/>
        <v>1649.9999999999995</v>
      </c>
      <c r="AD39" s="11">
        <f>AD43+AD47+AD51+AD55</f>
        <v>0.3</v>
      </c>
      <c r="AE39" s="11">
        <f>AE43+AE47+AE51+AE55</f>
        <v>0</v>
      </c>
      <c r="AF39" s="11"/>
      <c r="AG39" s="11">
        <f>AG43+AG47+AG51+AG55</f>
        <v>3.2</v>
      </c>
      <c r="AH39" s="11">
        <f>AH43+AH47+AH51+AH55</f>
        <v>0.3</v>
      </c>
      <c r="AI39" s="11">
        <f t="shared" si="21"/>
        <v>9.374999999999998</v>
      </c>
      <c r="AJ39" s="11">
        <f>AJ43+AJ47+AJ51+AJ55</f>
        <v>0.3</v>
      </c>
      <c r="AK39" s="11">
        <f>AK43+AK47+AK51+AK55</f>
        <v>3.2</v>
      </c>
      <c r="AL39" s="11">
        <f t="shared" si="23"/>
        <v>1066.6666666666667</v>
      </c>
      <c r="AM39" s="11">
        <f>AM43+AM47+AM51+AM55</f>
        <v>0.3</v>
      </c>
      <c r="AN39" s="11">
        <f>AN43+AN47+AN51+AN55</f>
        <v>0.4</v>
      </c>
      <c r="AO39" s="11">
        <f t="shared" si="24"/>
        <v>133.33333333333334</v>
      </c>
      <c r="AP39" s="11">
        <f>AP43+AP47+AP51+AP55</f>
        <v>17671.3</v>
      </c>
      <c r="AQ39" s="11">
        <f>AQ43+AQ47+AQ51+AQ55</f>
        <v>5.8</v>
      </c>
      <c r="AR39" s="11">
        <f t="shared" si="25"/>
        <v>0.03282158075523589</v>
      </c>
      <c r="AS39" s="67"/>
      <c r="AT39" s="67"/>
    </row>
    <row r="40" spans="1:46" s="8" customFormat="1" ht="30.75" customHeight="1">
      <c r="A40" s="83" t="s">
        <v>47</v>
      </c>
      <c r="B40" s="84" t="s">
        <v>48</v>
      </c>
      <c r="C40" s="78" t="s">
        <v>31</v>
      </c>
      <c r="D40" s="72" t="s">
        <v>49</v>
      </c>
      <c r="E40" s="66" t="s">
        <v>176</v>
      </c>
      <c r="F40" s="16">
        <f>F42+F43</f>
        <v>97.49999999999997</v>
      </c>
      <c r="G40" s="16">
        <f>G42+G43</f>
        <v>97.5</v>
      </c>
      <c r="H40" s="16">
        <f t="shared" si="13"/>
        <v>100.00000000000003</v>
      </c>
      <c r="I40" s="11">
        <f aca="true" t="shared" si="28" ref="I40:P40">I42+I43</f>
        <v>1.5999999999999999</v>
      </c>
      <c r="J40" s="11">
        <f t="shared" si="28"/>
        <v>0</v>
      </c>
      <c r="K40" s="11"/>
      <c r="L40" s="11">
        <f t="shared" si="28"/>
        <v>1.5999999999999999</v>
      </c>
      <c r="M40" s="11">
        <f t="shared" si="28"/>
        <v>0</v>
      </c>
      <c r="N40" s="11"/>
      <c r="O40" s="11">
        <f t="shared" si="28"/>
        <v>21.1</v>
      </c>
      <c r="P40" s="11">
        <f t="shared" si="28"/>
        <v>1.4</v>
      </c>
      <c r="Q40" s="11">
        <f>P40/O40*100</f>
        <v>6.635071090047393</v>
      </c>
      <c r="R40" s="11">
        <f aca="true" t="shared" si="29" ref="R40:Y40">R42+R43</f>
        <v>1.5999999999999999</v>
      </c>
      <c r="S40" s="11">
        <f t="shared" si="29"/>
        <v>1.4</v>
      </c>
      <c r="T40" s="11">
        <f t="shared" si="16"/>
        <v>87.5</v>
      </c>
      <c r="U40" s="11">
        <f t="shared" si="29"/>
        <v>1.5999999999999999</v>
      </c>
      <c r="V40" s="11">
        <f t="shared" si="29"/>
        <v>1.5999999999999999</v>
      </c>
      <c r="W40" s="11">
        <f t="shared" si="17"/>
        <v>100</v>
      </c>
      <c r="X40" s="11">
        <f t="shared" si="29"/>
        <v>21.1</v>
      </c>
      <c r="Y40" s="11">
        <f t="shared" si="29"/>
        <v>2.8</v>
      </c>
      <c r="Z40" s="11">
        <f t="shared" si="18"/>
        <v>13.270142180094785</v>
      </c>
      <c r="AA40" s="16">
        <f>AA42+AA43</f>
        <v>1.5999999999999999</v>
      </c>
      <c r="AB40" s="16">
        <f>AB42+AB43</f>
        <v>41.4</v>
      </c>
      <c r="AC40" s="16">
        <f t="shared" si="20"/>
        <v>2587.5</v>
      </c>
      <c r="AD40" s="16">
        <f>AD42+AD43</f>
        <v>1.6</v>
      </c>
      <c r="AE40" s="16">
        <f>AE42+AE43</f>
        <v>0</v>
      </c>
      <c r="AF40" s="16"/>
      <c r="AG40" s="16">
        <f>AG42+AG43</f>
        <v>21.2</v>
      </c>
      <c r="AH40" s="16">
        <f>AH42+AH43</f>
        <v>2.3</v>
      </c>
      <c r="AI40" s="16">
        <f t="shared" si="21"/>
        <v>10.849056603773583</v>
      </c>
      <c r="AJ40" s="16">
        <f>AJ42+AJ43</f>
        <v>1.7</v>
      </c>
      <c r="AK40" s="16">
        <f>AK42+AK43</f>
        <v>21.9</v>
      </c>
      <c r="AL40" s="16">
        <f t="shared" si="23"/>
        <v>1288.2352941176468</v>
      </c>
      <c r="AM40" s="16">
        <f>AM42+AM43</f>
        <v>1.6</v>
      </c>
      <c r="AN40" s="16">
        <f>AN42+AN43</f>
        <v>2.5</v>
      </c>
      <c r="AO40" s="16">
        <f t="shared" si="24"/>
        <v>156.25</v>
      </c>
      <c r="AP40" s="16">
        <f>AP42+AP43</f>
        <v>21.2</v>
      </c>
      <c r="AQ40" s="16">
        <f>AQ42+AQ43</f>
        <v>22.2</v>
      </c>
      <c r="AR40" s="16">
        <f t="shared" si="25"/>
        <v>104.71698113207549</v>
      </c>
      <c r="AS40" s="93" t="s">
        <v>160</v>
      </c>
      <c r="AT40" s="93"/>
    </row>
    <row r="41" spans="1:46" s="10" customFormat="1" ht="51.75" customHeight="1">
      <c r="A41" s="83"/>
      <c r="B41" s="84"/>
      <c r="C41" s="78"/>
      <c r="D41" s="72"/>
      <c r="E41" s="66" t="s">
        <v>177</v>
      </c>
      <c r="F41" s="16">
        <f aca="true" t="shared" si="30" ref="F41:G43">I41+L41+O41+R41+U41+X41+AA41+AD41+AG41+AJ41+AM41+AP41</f>
        <v>0</v>
      </c>
      <c r="G41" s="16">
        <f t="shared" si="30"/>
        <v>0</v>
      </c>
      <c r="H41" s="16"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/>
      <c r="X41" s="12"/>
      <c r="Y41" s="12"/>
      <c r="Z41" s="12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94"/>
      <c r="AT41" s="94"/>
    </row>
    <row r="42" spans="1:46" s="10" customFormat="1" ht="51.75" customHeight="1">
      <c r="A42" s="83"/>
      <c r="B42" s="84"/>
      <c r="C42" s="78"/>
      <c r="D42" s="72"/>
      <c r="E42" s="66" t="s">
        <v>178</v>
      </c>
      <c r="F42" s="16">
        <f t="shared" si="30"/>
        <v>82.89999999999998</v>
      </c>
      <c r="G42" s="16">
        <f t="shared" si="30"/>
        <v>82.9</v>
      </c>
      <c r="H42" s="16">
        <f t="shared" si="13"/>
        <v>100.00000000000004</v>
      </c>
      <c r="I42" s="12">
        <v>1.4</v>
      </c>
      <c r="J42" s="12">
        <v>0</v>
      </c>
      <c r="K42" s="12"/>
      <c r="L42" s="12">
        <v>1.4</v>
      </c>
      <c r="M42" s="12">
        <v>0</v>
      </c>
      <c r="N42" s="12"/>
      <c r="O42" s="12">
        <v>18</v>
      </c>
      <c r="P42" s="12">
        <v>1.4</v>
      </c>
      <c r="Q42" s="12">
        <f>P42/O42*100</f>
        <v>7.777777777777778</v>
      </c>
      <c r="R42" s="12">
        <v>1.4</v>
      </c>
      <c r="S42" s="12">
        <v>1.4</v>
      </c>
      <c r="T42" s="12">
        <f t="shared" si="16"/>
        <v>100</v>
      </c>
      <c r="U42" s="12">
        <v>1.4</v>
      </c>
      <c r="V42" s="12">
        <v>1.4</v>
      </c>
      <c r="W42" s="9">
        <f t="shared" si="17"/>
        <v>100</v>
      </c>
      <c r="X42" s="12">
        <v>18</v>
      </c>
      <c r="Y42" s="12">
        <v>1.4</v>
      </c>
      <c r="Z42" s="12">
        <f t="shared" si="18"/>
        <v>7.777777777777778</v>
      </c>
      <c r="AA42" s="14">
        <v>1.4</v>
      </c>
      <c r="AB42" s="14">
        <v>38.1</v>
      </c>
      <c r="AC42" s="14">
        <f t="shared" si="20"/>
        <v>2721.4285714285716</v>
      </c>
      <c r="AD42" s="14">
        <v>1.3</v>
      </c>
      <c r="AE42" s="14"/>
      <c r="AF42" s="14"/>
      <c r="AG42" s="14">
        <v>18</v>
      </c>
      <c r="AH42" s="14">
        <f>2.1-0.1</f>
        <v>2</v>
      </c>
      <c r="AI42" s="14">
        <f t="shared" si="21"/>
        <v>11.11111111111111</v>
      </c>
      <c r="AJ42" s="14">
        <v>1.4</v>
      </c>
      <c r="AK42" s="14">
        <v>18.7</v>
      </c>
      <c r="AL42" s="14">
        <f t="shared" si="23"/>
        <v>1335.7142857142858</v>
      </c>
      <c r="AM42" s="14">
        <v>1.3</v>
      </c>
      <c r="AN42" s="14">
        <v>2.1</v>
      </c>
      <c r="AO42" s="14">
        <f t="shared" si="24"/>
        <v>161.53846153846155</v>
      </c>
      <c r="AP42" s="14">
        <v>17.9</v>
      </c>
      <c r="AQ42" s="14">
        <v>16.4</v>
      </c>
      <c r="AR42" s="14">
        <f t="shared" si="25"/>
        <v>91.62011173184358</v>
      </c>
      <c r="AS42" s="94"/>
      <c r="AT42" s="94"/>
    </row>
    <row r="43" spans="1:46" s="10" customFormat="1" ht="51">
      <c r="A43" s="83"/>
      <c r="B43" s="84"/>
      <c r="C43" s="78"/>
      <c r="D43" s="72"/>
      <c r="E43" s="66" t="s">
        <v>179</v>
      </c>
      <c r="F43" s="16">
        <f t="shared" si="30"/>
        <v>14.600000000000001</v>
      </c>
      <c r="G43" s="16">
        <f t="shared" si="30"/>
        <v>14.599999999999998</v>
      </c>
      <c r="H43" s="16">
        <f t="shared" si="13"/>
        <v>99.99999999999997</v>
      </c>
      <c r="I43" s="12">
        <v>0.2</v>
      </c>
      <c r="J43" s="12">
        <v>0</v>
      </c>
      <c r="K43" s="12"/>
      <c r="L43" s="12">
        <v>0.2</v>
      </c>
      <c r="M43" s="12">
        <v>0</v>
      </c>
      <c r="N43" s="12"/>
      <c r="O43" s="12">
        <v>3.1</v>
      </c>
      <c r="P43" s="12">
        <v>0</v>
      </c>
      <c r="Q43" s="12">
        <v>0</v>
      </c>
      <c r="R43" s="12">
        <v>0.2</v>
      </c>
      <c r="S43" s="12">
        <v>0</v>
      </c>
      <c r="T43" s="12">
        <f t="shared" si="16"/>
        <v>0</v>
      </c>
      <c r="U43" s="12">
        <v>0.2</v>
      </c>
      <c r="V43" s="12">
        <v>0.2</v>
      </c>
      <c r="W43" s="9">
        <f t="shared" si="17"/>
        <v>100</v>
      </c>
      <c r="X43" s="12">
        <v>3.1</v>
      </c>
      <c r="Y43" s="12">
        <v>1.4</v>
      </c>
      <c r="Z43" s="12">
        <f t="shared" si="18"/>
        <v>45.16129032258064</v>
      </c>
      <c r="AA43" s="14">
        <v>0.2</v>
      </c>
      <c r="AB43" s="14">
        <v>3.3</v>
      </c>
      <c r="AC43" s="14">
        <f t="shared" si="20"/>
        <v>1649.9999999999995</v>
      </c>
      <c r="AD43" s="14">
        <v>0.3</v>
      </c>
      <c r="AE43" s="14"/>
      <c r="AF43" s="14"/>
      <c r="AG43" s="14">
        <v>3.2</v>
      </c>
      <c r="AH43" s="14">
        <v>0.3</v>
      </c>
      <c r="AI43" s="14">
        <f t="shared" si="21"/>
        <v>9.374999999999998</v>
      </c>
      <c r="AJ43" s="14">
        <v>0.3</v>
      </c>
      <c r="AK43" s="14">
        <v>3.2</v>
      </c>
      <c r="AL43" s="14">
        <f t="shared" si="23"/>
        <v>1066.6666666666667</v>
      </c>
      <c r="AM43" s="14">
        <v>0.3</v>
      </c>
      <c r="AN43" s="14">
        <v>0.4</v>
      </c>
      <c r="AO43" s="14">
        <f t="shared" si="24"/>
        <v>133.33333333333334</v>
      </c>
      <c r="AP43" s="14">
        <v>3.3</v>
      </c>
      <c r="AQ43" s="14">
        <v>5.8</v>
      </c>
      <c r="AR43" s="14">
        <f t="shared" si="25"/>
        <v>175.75757575757575</v>
      </c>
      <c r="AS43" s="95"/>
      <c r="AT43" s="95"/>
    </row>
    <row r="44" spans="1:46" s="8" customFormat="1" ht="19.5" customHeight="1">
      <c r="A44" s="83" t="s">
        <v>50</v>
      </c>
      <c r="B44" s="84" t="s">
        <v>51</v>
      </c>
      <c r="C44" s="78" t="s">
        <v>31</v>
      </c>
      <c r="D44" s="72" t="s">
        <v>52</v>
      </c>
      <c r="E44" s="66" t="s">
        <v>176</v>
      </c>
      <c r="F44" s="16">
        <f>F46+F47</f>
        <v>20</v>
      </c>
      <c r="G44" s="16">
        <f>G46+G47</f>
        <v>20</v>
      </c>
      <c r="H44" s="16">
        <f t="shared" si="13"/>
        <v>100</v>
      </c>
      <c r="I44" s="11">
        <f>I46+I47</f>
        <v>0</v>
      </c>
      <c r="J44" s="11">
        <f>J46+J47</f>
        <v>0</v>
      </c>
      <c r="K44" s="11"/>
      <c r="L44" s="11">
        <f>L46+L47</f>
        <v>0</v>
      </c>
      <c r="M44" s="11">
        <f>M46+M47</f>
        <v>0</v>
      </c>
      <c r="N44" s="11"/>
      <c r="O44" s="11">
        <f>O46+O47</f>
        <v>0</v>
      </c>
      <c r="P44" s="11">
        <f>P46+P47</f>
        <v>0</v>
      </c>
      <c r="Q44" s="11"/>
      <c r="R44" s="11">
        <f>R46+R47</f>
        <v>20</v>
      </c>
      <c r="S44" s="11">
        <f aca="true" t="shared" si="31" ref="S44:Y44">S46+S47</f>
        <v>20</v>
      </c>
      <c r="T44" s="11">
        <f t="shared" si="16"/>
        <v>100</v>
      </c>
      <c r="U44" s="11">
        <f t="shared" si="31"/>
        <v>0</v>
      </c>
      <c r="V44" s="11">
        <f t="shared" si="31"/>
        <v>0</v>
      </c>
      <c r="W44" s="11"/>
      <c r="X44" s="11">
        <f t="shared" si="31"/>
        <v>0</v>
      </c>
      <c r="Y44" s="11">
        <f t="shared" si="31"/>
        <v>0</v>
      </c>
      <c r="Z44" s="11"/>
      <c r="AA44" s="11">
        <f>AA46+AA47</f>
        <v>0</v>
      </c>
      <c r="AB44" s="11">
        <f aca="true" t="shared" si="32" ref="AB44:AH44">AB46+AB47</f>
        <v>0</v>
      </c>
      <c r="AC44" s="11"/>
      <c r="AD44" s="11">
        <f t="shared" si="32"/>
        <v>0</v>
      </c>
      <c r="AE44" s="11">
        <f t="shared" si="32"/>
        <v>0</v>
      </c>
      <c r="AF44" s="11"/>
      <c r="AG44" s="11">
        <f t="shared" si="32"/>
        <v>0</v>
      </c>
      <c r="AH44" s="11">
        <f t="shared" si="32"/>
        <v>0</v>
      </c>
      <c r="AI44" s="11"/>
      <c r="AJ44" s="11">
        <f>AJ46+AJ47</f>
        <v>0</v>
      </c>
      <c r="AK44" s="11">
        <f aca="true" t="shared" si="33" ref="AK44:AQ44">AK46+AK47</f>
        <v>0</v>
      </c>
      <c r="AL44" s="11"/>
      <c r="AM44" s="11">
        <f t="shared" si="33"/>
        <v>0</v>
      </c>
      <c r="AN44" s="11">
        <f t="shared" si="33"/>
        <v>0</v>
      </c>
      <c r="AO44" s="11"/>
      <c r="AP44" s="11">
        <f t="shared" si="33"/>
        <v>0</v>
      </c>
      <c r="AQ44" s="11">
        <f t="shared" si="33"/>
        <v>0</v>
      </c>
      <c r="AR44" s="11"/>
      <c r="AS44" s="93" t="s">
        <v>167</v>
      </c>
      <c r="AT44" s="122"/>
    </row>
    <row r="45" spans="1:46" s="10" customFormat="1" ht="25.5">
      <c r="A45" s="83"/>
      <c r="B45" s="84"/>
      <c r="C45" s="78"/>
      <c r="D45" s="72"/>
      <c r="E45" s="66" t="s">
        <v>177</v>
      </c>
      <c r="F45" s="16">
        <f aca="true" t="shared" si="34" ref="F45:G47">I45+L45+O45+R45+U45+X45+AA45+AD45+AG45+AJ45+AM45+AP45</f>
        <v>0</v>
      </c>
      <c r="G45" s="16">
        <f t="shared" si="34"/>
        <v>0</v>
      </c>
      <c r="H45" s="16"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94"/>
      <c r="AT45" s="123"/>
    </row>
    <row r="46" spans="1:46" s="10" customFormat="1" ht="89.25">
      <c r="A46" s="83"/>
      <c r="B46" s="84"/>
      <c r="C46" s="78"/>
      <c r="D46" s="72"/>
      <c r="E46" s="66" t="s">
        <v>178</v>
      </c>
      <c r="F46" s="16">
        <f t="shared" si="34"/>
        <v>0</v>
      </c>
      <c r="G46" s="16">
        <f t="shared" si="34"/>
        <v>0</v>
      </c>
      <c r="H46" s="16"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94"/>
      <c r="AT46" s="123"/>
    </row>
    <row r="47" spans="1:46" s="10" customFormat="1" ht="51">
      <c r="A47" s="83"/>
      <c r="B47" s="84"/>
      <c r="C47" s="78"/>
      <c r="D47" s="72"/>
      <c r="E47" s="66" t="s">
        <v>179</v>
      </c>
      <c r="F47" s="16">
        <f t="shared" si="34"/>
        <v>20</v>
      </c>
      <c r="G47" s="16">
        <f t="shared" si="34"/>
        <v>20</v>
      </c>
      <c r="H47" s="16">
        <f>G47/F47*100</f>
        <v>100</v>
      </c>
      <c r="I47" s="12"/>
      <c r="J47" s="12"/>
      <c r="K47" s="12"/>
      <c r="L47" s="12"/>
      <c r="M47" s="12"/>
      <c r="N47" s="12"/>
      <c r="O47" s="12"/>
      <c r="P47" s="12"/>
      <c r="Q47" s="12"/>
      <c r="R47" s="12">
        <v>20</v>
      </c>
      <c r="S47" s="12">
        <v>20</v>
      </c>
      <c r="T47" s="12">
        <f>S47/R47*100</f>
        <v>100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95"/>
      <c r="AT47" s="124"/>
    </row>
    <row r="48" spans="1:46" s="8" customFormat="1" ht="28.5" customHeight="1">
      <c r="A48" s="83" t="s">
        <v>53</v>
      </c>
      <c r="B48" s="84" t="s">
        <v>54</v>
      </c>
      <c r="C48" s="78" t="s">
        <v>31</v>
      </c>
      <c r="D48" s="72" t="s">
        <v>35</v>
      </c>
      <c r="E48" s="66" t="s">
        <v>176</v>
      </c>
      <c r="F48" s="16">
        <f>F50+F51</f>
        <v>0</v>
      </c>
      <c r="G48" s="16">
        <f>G50+G51</f>
        <v>0</v>
      </c>
      <c r="H48" s="16"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93" t="s">
        <v>109</v>
      </c>
      <c r="AT48" s="122"/>
    </row>
    <row r="49" spans="1:46" s="10" customFormat="1" ht="25.5">
      <c r="A49" s="83"/>
      <c r="B49" s="84"/>
      <c r="C49" s="78"/>
      <c r="D49" s="72"/>
      <c r="E49" s="66" t="s">
        <v>177</v>
      </c>
      <c r="F49" s="16">
        <f aca="true" t="shared" si="35" ref="F49:G51">I49+L49+O49+R49+U49+X49+AA49+AD49+AG49+AJ49+AM49+AP49</f>
        <v>0</v>
      </c>
      <c r="G49" s="16">
        <f t="shared" si="35"/>
        <v>0</v>
      </c>
      <c r="H49" s="16"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94"/>
      <c r="AT49" s="123"/>
    </row>
    <row r="50" spans="1:46" s="10" customFormat="1" ht="89.25">
      <c r="A50" s="83"/>
      <c r="B50" s="84"/>
      <c r="C50" s="78"/>
      <c r="D50" s="72"/>
      <c r="E50" s="66" t="s">
        <v>178</v>
      </c>
      <c r="F50" s="16">
        <f t="shared" si="35"/>
        <v>0</v>
      </c>
      <c r="G50" s="16">
        <f t="shared" si="35"/>
        <v>0</v>
      </c>
      <c r="H50" s="16"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94"/>
      <c r="AT50" s="123"/>
    </row>
    <row r="51" spans="1:46" s="10" customFormat="1" ht="51">
      <c r="A51" s="83"/>
      <c r="B51" s="84"/>
      <c r="C51" s="78"/>
      <c r="D51" s="72"/>
      <c r="E51" s="66" t="s">
        <v>179</v>
      </c>
      <c r="F51" s="16">
        <f t="shared" si="35"/>
        <v>0</v>
      </c>
      <c r="G51" s="16">
        <f t="shared" si="35"/>
        <v>0</v>
      </c>
      <c r="H51" s="16"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95"/>
      <c r="AT51" s="124"/>
    </row>
    <row r="52" spans="1:46" s="8" customFormat="1" ht="14.25" customHeight="1">
      <c r="A52" s="83" t="s">
        <v>55</v>
      </c>
      <c r="B52" s="84" t="s">
        <v>56</v>
      </c>
      <c r="C52" s="78" t="s">
        <v>31</v>
      </c>
      <c r="D52" s="72" t="s">
        <v>57</v>
      </c>
      <c r="E52" s="66" t="s">
        <v>176</v>
      </c>
      <c r="F52" s="16">
        <f>F54+F55</f>
        <v>17668</v>
      </c>
      <c r="G52" s="16">
        <f>G54+G55</f>
        <v>0</v>
      </c>
      <c r="H52" s="16">
        <f>G52/F52*100</f>
        <v>0</v>
      </c>
      <c r="I52" s="11"/>
      <c r="J52" s="11"/>
      <c r="K52" s="11"/>
      <c r="L52" s="11"/>
      <c r="M52" s="11"/>
      <c r="N52" s="11"/>
      <c r="O52" s="11">
        <f>O54</f>
        <v>0</v>
      </c>
      <c r="P52" s="11">
        <f>P54</f>
        <v>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>
        <f>AP55</f>
        <v>17668</v>
      </c>
      <c r="AQ52" s="16"/>
      <c r="AR52" s="16">
        <f>AQ52/AP52*100</f>
        <v>0</v>
      </c>
      <c r="AS52" s="93"/>
      <c r="AT52" s="93" t="s">
        <v>163</v>
      </c>
    </row>
    <row r="53" spans="1:46" s="10" customFormat="1" ht="25.5">
      <c r="A53" s="83"/>
      <c r="B53" s="84"/>
      <c r="C53" s="78"/>
      <c r="D53" s="72"/>
      <c r="E53" s="66" t="s">
        <v>177</v>
      </c>
      <c r="F53" s="16">
        <f aca="true" t="shared" si="36" ref="F53:G55">I53+L53+O53+R53+U53+X53+AA53+AD53+AG53+AJ53+AM53+AP53</f>
        <v>0</v>
      </c>
      <c r="G53" s="16">
        <f t="shared" si="36"/>
        <v>0</v>
      </c>
      <c r="H53" s="16">
        <v>0</v>
      </c>
      <c r="I53" s="12"/>
      <c r="J53" s="12"/>
      <c r="K53" s="12"/>
      <c r="L53" s="12"/>
      <c r="M53" s="12"/>
      <c r="N53" s="12"/>
      <c r="O53" s="12"/>
      <c r="P53" s="12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94"/>
      <c r="AT53" s="94"/>
    </row>
    <row r="54" spans="1:46" s="10" customFormat="1" ht="89.25">
      <c r="A54" s="83"/>
      <c r="B54" s="84"/>
      <c r="C54" s="78"/>
      <c r="D54" s="72"/>
      <c r="E54" s="66" t="s">
        <v>178</v>
      </c>
      <c r="F54" s="16">
        <f t="shared" si="36"/>
        <v>0</v>
      </c>
      <c r="G54" s="16">
        <f t="shared" si="36"/>
        <v>0</v>
      </c>
      <c r="H54" s="16">
        <v>0</v>
      </c>
      <c r="I54" s="12"/>
      <c r="J54" s="12"/>
      <c r="K54" s="12"/>
      <c r="L54" s="12"/>
      <c r="M54" s="12"/>
      <c r="N54" s="12"/>
      <c r="O54" s="12"/>
      <c r="P54" s="12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94"/>
      <c r="AT54" s="94"/>
    </row>
    <row r="55" spans="1:46" s="10" customFormat="1" ht="51">
      <c r="A55" s="83"/>
      <c r="B55" s="84"/>
      <c r="C55" s="78"/>
      <c r="D55" s="72"/>
      <c r="E55" s="66" t="s">
        <v>179</v>
      </c>
      <c r="F55" s="16">
        <f t="shared" si="36"/>
        <v>17668</v>
      </c>
      <c r="G55" s="16">
        <f t="shared" si="36"/>
        <v>0</v>
      </c>
      <c r="H55" s="16">
        <f>G55/F55*100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f>17668.1-0.1</f>
        <v>17668</v>
      </c>
      <c r="AQ55" s="14">
        <v>0</v>
      </c>
      <c r="AR55" s="14">
        <f>AQ55/AP55*100</f>
        <v>0</v>
      </c>
      <c r="AS55" s="95"/>
      <c r="AT55" s="95"/>
    </row>
    <row r="56" spans="1:46" s="10" customFormat="1" ht="38.25" customHeight="1">
      <c r="A56" s="37" t="s">
        <v>58</v>
      </c>
      <c r="B56" s="98" t="s">
        <v>104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0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58"/>
      <c r="AT56" s="14"/>
    </row>
    <row r="57" spans="1:46" s="6" customFormat="1" ht="15">
      <c r="A57" s="101" t="s">
        <v>59</v>
      </c>
      <c r="B57" s="102" t="s">
        <v>60</v>
      </c>
      <c r="C57" s="73"/>
      <c r="D57" s="73"/>
      <c r="E57" s="66" t="s">
        <v>176</v>
      </c>
      <c r="F57" s="16">
        <f>F59+F60</f>
        <v>466.2</v>
      </c>
      <c r="G57" s="16">
        <f>G59+G60</f>
        <v>466.2</v>
      </c>
      <c r="H57" s="16">
        <f>G57/F57*100</f>
        <v>100</v>
      </c>
      <c r="I57" s="11">
        <f>I59+I60</f>
        <v>0</v>
      </c>
      <c r="J57" s="11">
        <f aca="true" t="shared" si="37" ref="J57:AQ57">J59+J60</f>
        <v>0</v>
      </c>
      <c r="K57" s="11"/>
      <c r="L57" s="11">
        <f t="shared" si="37"/>
        <v>0</v>
      </c>
      <c r="M57" s="11">
        <f t="shared" si="37"/>
        <v>0</v>
      </c>
      <c r="N57" s="11"/>
      <c r="O57" s="11">
        <f t="shared" si="37"/>
        <v>39.9</v>
      </c>
      <c r="P57" s="11">
        <f t="shared" si="37"/>
        <v>39.9</v>
      </c>
      <c r="Q57" s="11">
        <f>P57/O57*100</f>
        <v>100</v>
      </c>
      <c r="R57" s="11">
        <f t="shared" si="37"/>
        <v>0</v>
      </c>
      <c r="S57" s="11">
        <f t="shared" si="37"/>
        <v>0</v>
      </c>
      <c r="T57" s="11"/>
      <c r="U57" s="11">
        <f t="shared" si="37"/>
        <v>0</v>
      </c>
      <c r="V57" s="11">
        <f t="shared" si="37"/>
        <v>0</v>
      </c>
      <c r="W57" s="11"/>
      <c r="X57" s="11">
        <f t="shared" si="37"/>
        <v>0</v>
      </c>
      <c r="Y57" s="11">
        <f t="shared" si="37"/>
        <v>0</v>
      </c>
      <c r="Z57" s="11"/>
      <c r="AA57" s="11">
        <f t="shared" si="37"/>
        <v>0</v>
      </c>
      <c r="AB57" s="11">
        <f t="shared" si="37"/>
        <v>0</v>
      </c>
      <c r="AC57" s="11"/>
      <c r="AD57" s="11">
        <f t="shared" si="37"/>
        <v>0</v>
      </c>
      <c r="AE57" s="11">
        <f t="shared" si="37"/>
        <v>0</v>
      </c>
      <c r="AF57" s="11"/>
      <c r="AG57" s="11">
        <f t="shared" si="37"/>
        <v>0</v>
      </c>
      <c r="AH57" s="11">
        <f t="shared" si="37"/>
        <v>0</v>
      </c>
      <c r="AI57" s="11"/>
      <c r="AJ57" s="11">
        <f t="shared" si="37"/>
        <v>0</v>
      </c>
      <c r="AK57" s="11">
        <f t="shared" si="37"/>
        <v>0</v>
      </c>
      <c r="AL57" s="11"/>
      <c r="AM57" s="11">
        <f t="shared" si="37"/>
        <v>0</v>
      </c>
      <c r="AN57" s="11">
        <f t="shared" si="37"/>
        <v>0</v>
      </c>
      <c r="AO57" s="11"/>
      <c r="AP57" s="11">
        <f t="shared" si="37"/>
        <v>426.3</v>
      </c>
      <c r="AQ57" s="11">
        <f t="shared" si="37"/>
        <v>426.3</v>
      </c>
      <c r="AR57" s="11">
        <f>AQ57/AP57*100</f>
        <v>100</v>
      </c>
      <c r="AS57" s="67"/>
      <c r="AT57" s="67"/>
    </row>
    <row r="58" spans="1:46" s="6" customFormat="1" ht="25.5">
      <c r="A58" s="101"/>
      <c r="B58" s="102"/>
      <c r="C58" s="73"/>
      <c r="D58" s="73"/>
      <c r="E58" s="66" t="s">
        <v>177</v>
      </c>
      <c r="F58" s="16">
        <f aca="true" t="shared" si="38" ref="F58:G60">I58+L58+O58+R58+U58+X58+AA58+AD58+AG58+AJ58+AM58+AP58</f>
        <v>0</v>
      </c>
      <c r="G58" s="16">
        <f t="shared" si="38"/>
        <v>0</v>
      </c>
      <c r="H58" s="16"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67"/>
      <c r="AT58" s="67"/>
    </row>
    <row r="59" spans="1:46" s="6" customFormat="1" ht="89.25">
      <c r="A59" s="101"/>
      <c r="B59" s="102"/>
      <c r="C59" s="73"/>
      <c r="D59" s="73"/>
      <c r="E59" s="66" t="s">
        <v>178</v>
      </c>
      <c r="F59" s="16">
        <f t="shared" si="38"/>
        <v>426.3</v>
      </c>
      <c r="G59" s="16">
        <f t="shared" si="38"/>
        <v>426.3</v>
      </c>
      <c r="H59" s="16">
        <f>G59/F59*100</f>
        <v>100</v>
      </c>
      <c r="I59" s="11">
        <f>I63+I67</f>
        <v>0</v>
      </c>
      <c r="J59" s="11">
        <f>J63+J67</f>
        <v>0</v>
      </c>
      <c r="K59" s="11"/>
      <c r="L59" s="11">
        <f>L63+L67</f>
        <v>0</v>
      </c>
      <c r="M59" s="11">
        <f>M63+M67</f>
        <v>0</v>
      </c>
      <c r="N59" s="11"/>
      <c r="O59" s="11">
        <f>O63+O67</f>
        <v>0</v>
      </c>
      <c r="P59" s="11">
        <f>P63+P67</f>
        <v>0</v>
      </c>
      <c r="Q59" s="11"/>
      <c r="R59" s="11">
        <f>R63+R67</f>
        <v>0</v>
      </c>
      <c r="S59" s="11">
        <f>S63+S67</f>
        <v>0</v>
      </c>
      <c r="T59" s="11"/>
      <c r="U59" s="11">
        <f>U63+U67</f>
        <v>0</v>
      </c>
      <c r="V59" s="11">
        <f>V63+V67</f>
        <v>0</v>
      </c>
      <c r="W59" s="11"/>
      <c r="X59" s="11">
        <f>X63+X67</f>
        <v>0</v>
      </c>
      <c r="Y59" s="11">
        <f>Y63+Y67</f>
        <v>0</v>
      </c>
      <c r="Z59" s="11"/>
      <c r="AA59" s="11">
        <f>AA63+AA67</f>
        <v>0</v>
      </c>
      <c r="AB59" s="11">
        <f>AB63+AB67</f>
        <v>0</v>
      </c>
      <c r="AC59" s="11"/>
      <c r="AD59" s="11">
        <f>AD63+AD67+AD71</f>
        <v>0</v>
      </c>
      <c r="AE59" s="11">
        <f>AE63+AE67</f>
        <v>0</v>
      </c>
      <c r="AF59" s="11"/>
      <c r="AG59" s="11">
        <f>AG63+AG67+AG71</f>
        <v>0</v>
      </c>
      <c r="AH59" s="11">
        <f>AH63+AH67+AH71</f>
        <v>0</v>
      </c>
      <c r="AI59" s="11"/>
      <c r="AJ59" s="11">
        <f>AJ63+AJ67</f>
        <v>0</v>
      </c>
      <c r="AK59" s="11">
        <f>AK63+AK67</f>
        <v>0</v>
      </c>
      <c r="AL59" s="11"/>
      <c r="AM59" s="11">
        <f>AM63+AM67</f>
        <v>0</v>
      </c>
      <c r="AN59" s="11">
        <f>AN63+AN67</f>
        <v>0</v>
      </c>
      <c r="AO59" s="11"/>
      <c r="AP59" s="11">
        <f>AP63+AP67+AP71</f>
        <v>426.3</v>
      </c>
      <c r="AQ59" s="11">
        <f>AQ63+AQ67+AQ71</f>
        <v>426.3</v>
      </c>
      <c r="AR59" s="11">
        <f>AQ59/AP59*100</f>
        <v>100</v>
      </c>
      <c r="AS59" s="67"/>
      <c r="AT59" s="67"/>
    </row>
    <row r="60" spans="1:46" s="6" customFormat="1" ht="51">
      <c r="A60" s="101"/>
      <c r="B60" s="102"/>
      <c r="C60" s="73"/>
      <c r="D60" s="73"/>
      <c r="E60" s="66" t="s">
        <v>179</v>
      </c>
      <c r="F60" s="16">
        <f t="shared" si="38"/>
        <v>39.9</v>
      </c>
      <c r="G60" s="16">
        <f t="shared" si="38"/>
        <v>39.9</v>
      </c>
      <c r="H60" s="16">
        <f>G60/F60*100</f>
        <v>100</v>
      </c>
      <c r="I60" s="11">
        <f>I64+I68</f>
        <v>0</v>
      </c>
      <c r="J60" s="11">
        <f>J64+J68</f>
        <v>0</v>
      </c>
      <c r="K60" s="11"/>
      <c r="L60" s="11">
        <f>L64+L68</f>
        <v>0</v>
      </c>
      <c r="M60" s="11">
        <f>M64+M68</f>
        <v>0</v>
      </c>
      <c r="N60" s="11"/>
      <c r="O60" s="11">
        <f>O64+O68</f>
        <v>39.9</v>
      </c>
      <c r="P60" s="11">
        <f>P64+P68</f>
        <v>39.9</v>
      </c>
      <c r="Q60" s="11">
        <f>P60/O60*100</f>
        <v>100</v>
      </c>
      <c r="R60" s="11">
        <f>R64+R68</f>
        <v>0</v>
      </c>
      <c r="S60" s="11">
        <f>S64+S68</f>
        <v>0</v>
      </c>
      <c r="T60" s="11"/>
      <c r="U60" s="11">
        <f>U64+U68</f>
        <v>0</v>
      </c>
      <c r="V60" s="11">
        <f>V64+V68</f>
        <v>0</v>
      </c>
      <c r="W60" s="11"/>
      <c r="X60" s="11">
        <f>X64+X68</f>
        <v>0</v>
      </c>
      <c r="Y60" s="11">
        <f>Y64+Y68</f>
        <v>0</v>
      </c>
      <c r="Z60" s="11"/>
      <c r="AA60" s="11">
        <f>AA64+AA68</f>
        <v>0</v>
      </c>
      <c r="AB60" s="11">
        <f>AB64+AB68</f>
        <v>0</v>
      </c>
      <c r="AC60" s="11"/>
      <c r="AD60" s="11">
        <f>AD64+AD68</f>
        <v>0</v>
      </c>
      <c r="AE60" s="11">
        <f>AE64+AE68</f>
        <v>0</v>
      </c>
      <c r="AF60" s="11"/>
      <c r="AG60" s="11">
        <f>AG64+AG68</f>
        <v>0</v>
      </c>
      <c r="AH60" s="11">
        <f>AH64+AH68</f>
        <v>0</v>
      </c>
      <c r="AI60" s="11"/>
      <c r="AJ60" s="11">
        <f>AJ64+AJ68</f>
        <v>0</v>
      </c>
      <c r="AK60" s="11">
        <f>AK64+AK68</f>
        <v>0</v>
      </c>
      <c r="AL60" s="11"/>
      <c r="AM60" s="11">
        <f>AM64+AM68</f>
        <v>0</v>
      </c>
      <c r="AN60" s="11">
        <f>AN64+AN68</f>
        <v>0</v>
      </c>
      <c r="AO60" s="11"/>
      <c r="AP60" s="11">
        <f>AP64+AP68</f>
        <v>0</v>
      </c>
      <c r="AQ60" s="11">
        <f>AQ64+AQ68</f>
        <v>0</v>
      </c>
      <c r="AR60" s="11"/>
      <c r="AS60" s="67"/>
      <c r="AT60" s="67"/>
    </row>
    <row r="61" spans="1:46" s="8" customFormat="1" ht="12.75" customHeight="1">
      <c r="A61" s="83" t="s">
        <v>61</v>
      </c>
      <c r="B61" s="84" t="s">
        <v>62</v>
      </c>
      <c r="C61" s="72" t="s">
        <v>63</v>
      </c>
      <c r="D61" s="72" t="s">
        <v>35</v>
      </c>
      <c r="E61" s="66" t="s">
        <v>176</v>
      </c>
      <c r="F61" s="16">
        <f>F63+F64</f>
        <v>0</v>
      </c>
      <c r="G61" s="16">
        <f>G63+G64</f>
        <v>0</v>
      </c>
      <c r="H61" s="67">
        <v>0</v>
      </c>
      <c r="I61" s="11">
        <f>I63+I64</f>
        <v>0</v>
      </c>
      <c r="J61" s="11">
        <f aca="true" t="shared" si="39" ref="J61:P61">J63+J64</f>
        <v>0</v>
      </c>
      <c r="K61" s="11"/>
      <c r="L61" s="11">
        <f t="shared" si="39"/>
        <v>0</v>
      </c>
      <c r="M61" s="11">
        <f t="shared" si="39"/>
        <v>0</v>
      </c>
      <c r="N61" s="11"/>
      <c r="O61" s="11">
        <f t="shared" si="39"/>
        <v>0</v>
      </c>
      <c r="P61" s="11">
        <f t="shared" si="39"/>
        <v>0</v>
      </c>
      <c r="Q61" s="11"/>
      <c r="R61" s="11">
        <f>R63+R64</f>
        <v>0</v>
      </c>
      <c r="S61" s="11">
        <f aca="true" t="shared" si="40" ref="S61:Y61">S63+S64</f>
        <v>0</v>
      </c>
      <c r="T61" s="11"/>
      <c r="U61" s="11">
        <f t="shared" si="40"/>
        <v>0</v>
      </c>
      <c r="V61" s="11">
        <f t="shared" si="40"/>
        <v>0</v>
      </c>
      <c r="W61" s="11"/>
      <c r="X61" s="11">
        <f t="shared" si="40"/>
        <v>0</v>
      </c>
      <c r="Y61" s="11">
        <f t="shared" si="40"/>
        <v>0</v>
      </c>
      <c r="Z61" s="11"/>
      <c r="AA61" s="11">
        <f>AA63+AA64</f>
        <v>0</v>
      </c>
      <c r="AB61" s="11">
        <f aca="true" t="shared" si="41" ref="AB61:AH61">AB63+AB64</f>
        <v>0</v>
      </c>
      <c r="AC61" s="11"/>
      <c r="AD61" s="11">
        <f t="shared" si="41"/>
        <v>0</v>
      </c>
      <c r="AE61" s="11">
        <f t="shared" si="41"/>
        <v>0</v>
      </c>
      <c r="AF61" s="11"/>
      <c r="AG61" s="11">
        <f t="shared" si="41"/>
        <v>0</v>
      </c>
      <c r="AH61" s="11">
        <f t="shared" si="41"/>
        <v>0</v>
      </c>
      <c r="AI61" s="11"/>
      <c r="AJ61" s="11">
        <f>AJ63+AJ64</f>
        <v>0</v>
      </c>
      <c r="AK61" s="11">
        <f aca="true" t="shared" si="42" ref="AK61:AQ61">AK63+AK64</f>
        <v>0</v>
      </c>
      <c r="AL61" s="11"/>
      <c r="AM61" s="11">
        <f t="shared" si="42"/>
        <v>0</v>
      </c>
      <c r="AN61" s="11">
        <f t="shared" si="42"/>
        <v>0</v>
      </c>
      <c r="AO61" s="11"/>
      <c r="AP61" s="11">
        <f t="shared" si="42"/>
        <v>0</v>
      </c>
      <c r="AQ61" s="11">
        <f t="shared" si="42"/>
        <v>0</v>
      </c>
      <c r="AR61" s="11"/>
      <c r="AS61" s="96" t="s">
        <v>108</v>
      </c>
      <c r="AT61" s="90"/>
    </row>
    <row r="62" spans="1:46" s="10" customFormat="1" ht="25.5">
      <c r="A62" s="83"/>
      <c r="B62" s="84"/>
      <c r="C62" s="72"/>
      <c r="D62" s="72"/>
      <c r="E62" s="66" t="s">
        <v>177</v>
      </c>
      <c r="F62" s="13">
        <f aca="true" t="shared" si="43" ref="F62:G64">I62+L62+O62+R62+U62+X62+AA62+AD62+AG62+AJ62+AM62+AP62</f>
        <v>0</v>
      </c>
      <c r="G62" s="13">
        <f t="shared" si="43"/>
        <v>0</v>
      </c>
      <c r="H62" s="13"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97"/>
      <c r="AT62" s="91"/>
    </row>
    <row r="63" spans="1:46" s="10" customFormat="1" ht="89.25">
      <c r="A63" s="83"/>
      <c r="B63" s="84"/>
      <c r="C63" s="72"/>
      <c r="D63" s="72"/>
      <c r="E63" s="66" t="s">
        <v>178</v>
      </c>
      <c r="F63" s="13">
        <f t="shared" si="43"/>
        <v>0</v>
      </c>
      <c r="G63" s="13">
        <f t="shared" si="43"/>
        <v>0</v>
      </c>
      <c r="H63" s="13"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97"/>
      <c r="AT63" s="91"/>
    </row>
    <row r="64" spans="1:46" s="10" customFormat="1" ht="51">
      <c r="A64" s="83"/>
      <c r="B64" s="84"/>
      <c r="C64" s="72"/>
      <c r="D64" s="72"/>
      <c r="E64" s="66" t="s">
        <v>179</v>
      </c>
      <c r="F64" s="13">
        <f t="shared" si="43"/>
        <v>0</v>
      </c>
      <c r="G64" s="13">
        <f t="shared" si="43"/>
        <v>0</v>
      </c>
      <c r="H64" s="13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86"/>
      <c r="AT64" s="92"/>
    </row>
    <row r="65" spans="1:46" s="8" customFormat="1" ht="18" customHeight="1">
      <c r="A65" s="83" t="s">
        <v>64</v>
      </c>
      <c r="B65" s="84" t="s">
        <v>65</v>
      </c>
      <c r="C65" s="72" t="s">
        <v>63</v>
      </c>
      <c r="D65" s="72" t="s">
        <v>66</v>
      </c>
      <c r="E65" s="66" t="s">
        <v>176</v>
      </c>
      <c r="F65" s="16">
        <f>F67+F68</f>
        <v>39.9</v>
      </c>
      <c r="G65" s="16">
        <f>G67+G68</f>
        <v>39.9</v>
      </c>
      <c r="H65" s="13">
        <f>G65/F65*100</f>
        <v>100</v>
      </c>
      <c r="I65" s="11">
        <f aca="true" t="shared" si="44" ref="I65:Y65">I67+I68</f>
        <v>0</v>
      </c>
      <c r="J65" s="11">
        <f t="shared" si="44"/>
        <v>0</v>
      </c>
      <c r="K65" s="11"/>
      <c r="L65" s="11">
        <f t="shared" si="44"/>
        <v>0</v>
      </c>
      <c r="M65" s="11">
        <f t="shared" si="44"/>
        <v>0</v>
      </c>
      <c r="N65" s="11"/>
      <c r="O65" s="11">
        <f t="shared" si="44"/>
        <v>39.9</v>
      </c>
      <c r="P65" s="11">
        <f t="shared" si="44"/>
        <v>39.9</v>
      </c>
      <c r="Q65" s="11">
        <f>P65/O65*100</f>
        <v>100</v>
      </c>
      <c r="R65" s="11">
        <f t="shared" si="44"/>
        <v>0</v>
      </c>
      <c r="S65" s="11">
        <f t="shared" si="44"/>
        <v>0</v>
      </c>
      <c r="T65" s="11"/>
      <c r="U65" s="11">
        <f t="shared" si="44"/>
        <v>0</v>
      </c>
      <c r="V65" s="11">
        <f t="shared" si="44"/>
        <v>0</v>
      </c>
      <c r="W65" s="11"/>
      <c r="X65" s="11">
        <f t="shared" si="44"/>
        <v>0</v>
      </c>
      <c r="Y65" s="11">
        <f t="shared" si="44"/>
        <v>0</v>
      </c>
      <c r="Z65" s="11"/>
      <c r="AA65" s="11">
        <f>AA67+AA68</f>
        <v>0</v>
      </c>
      <c r="AB65" s="11">
        <f aca="true" t="shared" si="45" ref="AB65:AH65">AB67+AB68</f>
        <v>0</v>
      </c>
      <c r="AC65" s="11"/>
      <c r="AD65" s="11">
        <f t="shared" si="45"/>
        <v>0</v>
      </c>
      <c r="AE65" s="11">
        <f t="shared" si="45"/>
        <v>0</v>
      </c>
      <c r="AF65" s="11"/>
      <c r="AG65" s="11">
        <f t="shared" si="45"/>
        <v>0</v>
      </c>
      <c r="AH65" s="11">
        <f t="shared" si="45"/>
        <v>0</v>
      </c>
      <c r="AI65" s="11"/>
      <c r="AJ65" s="11">
        <f>AJ67+AJ68</f>
        <v>0</v>
      </c>
      <c r="AK65" s="11">
        <f aca="true" t="shared" si="46" ref="AK65:AQ65">AK67+AK68</f>
        <v>0</v>
      </c>
      <c r="AL65" s="11"/>
      <c r="AM65" s="11">
        <f t="shared" si="46"/>
        <v>0</v>
      </c>
      <c r="AN65" s="11">
        <f t="shared" si="46"/>
        <v>0</v>
      </c>
      <c r="AO65" s="11"/>
      <c r="AP65" s="11">
        <f t="shared" si="46"/>
        <v>0</v>
      </c>
      <c r="AQ65" s="11">
        <f t="shared" si="46"/>
        <v>0</v>
      </c>
      <c r="AR65" s="11"/>
      <c r="AS65" s="96" t="s">
        <v>112</v>
      </c>
      <c r="AT65" s="90"/>
    </row>
    <row r="66" spans="1:46" s="10" customFormat="1" ht="25.5">
      <c r="A66" s="83"/>
      <c r="B66" s="84"/>
      <c r="C66" s="72"/>
      <c r="D66" s="72"/>
      <c r="E66" s="66" t="s">
        <v>177</v>
      </c>
      <c r="F66" s="13">
        <f aca="true" t="shared" si="47" ref="F66:G68">I66+L66+O66+R66+U66+X66+AA66+AD66+AG66+AJ66+AM66+AP66</f>
        <v>0</v>
      </c>
      <c r="G66" s="13">
        <f t="shared" si="47"/>
        <v>0</v>
      </c>
      <c r="H66" s="13"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97"/>
      <c r="AT66" s="91"/>
    </row>
    <row r="67" spans="1:46" s="10" customFormat="1" ht="89.25">
      <c r="A67" s="83"/>
      <c r="B67" s="84"/>
      <c r="C67" s="72"/>
      <c r="D67" s="72"/>
      <c r="E67" s="66" t="s">
        <v>178</v>
      </c>
      <c r="F67" s="13">
        <f t="shared" si="47"/>
        <v>0</v>
      </c>
      <c r="G67" s="13">
        <f t="shared" si="47"/>
        <v>0</v>
      </c>
      <c r="H67" s="13"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03"/>
      <c r="AT67" s="91"/>
    </row>
    <row r="68" spans="1:46" s="10" customFormat="1" ht="51">
      <c r="A68" s="83"/>
      <c r="B68" s="84"/>
      <c r="C68" s="72"/>
      <c r="D68" s="72"/>
      <c r="E68" s="66" t="s">
        <v>179</v>
      </c>
      <c r="F68" s="16">
        <f t="shared" si="47"/>
        <v>39.9</v>
      </c>
      <c r="G68" s="16">
        <f t="shared" si="47"/>
        <v>39.9</v>
      </c>
      <c r="H68" s="13">
        <f>G68/F68*100</f>
        <v>100</v>
      </c>
      <c r="I68" s="12"/>
      <c r="J68" s="12"/>
      <c r="K68" s="12"/>
      <c r="L68" s="12"/>
      <c r="M68" s="12"/>
      <c r="N68" s="12"/>
      <c r="O68" s="12">
        <v>39.9</v>
      </c>
      <c r="P68" s="12">
        <v>39.9</v>
      </c>
      <c r="Q68" s="12">
        <f>P68/O68*100</f>
        <v>100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85"/>
      <c r="AT68" s="92"/>
    </row>
    <row r="69" spans="1:46" s="8" customFormat="1" ht="21" customHeight="1">
      <c r="A69" s="83" t="s">
        <v>67</v>
      </c>
      <c r="B69" s="84" t="s">
        <v>68</v>
      </c>
      <c r="C69" s="72" t="s">
        <v>63</v>
      </c>
      <c r="D69" s="72" t="s">
        <v>41</v>
      </c>
      <c r="E69" s="66" t="s">
        <v>176</v>
      </c>
      <c r="F69" s="16">
        <f>F71</f>
        <v>426.3</v>
      </c>
      <c r="G69" s="16">
        <f>G71</f>
        <v>426.3</v>
      </c>
      <c r="H69" s="13">
        <f>G69/F69*100</f>
        <v>100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>
        <f>AD71</f>
        <v>0</v>
      </c>
      <c r="AE69" s="11"/>
      <c r="AF69" s="11"/>
      <c r="AG69" s="11">
        <f>AG71</f>
        <v>0</v>
      </c>
      <c r="AH69" s="11">
        <f>AH71</f>
        <v>0</v>
      </c>
      <c r="AI69" s="11"/>
      <c r="AJ69" s="11"/>
      <c r="AK69" s="11"/>
      <c r="AL69" s="11"/>
      <c r="AM69" s="11"/>
      <c r="AN69" s="11"/>
      <c r="AO69" s="11"/>
      <c r="AP69" s="11">
        <f>AP71</f>
        <v>426.3</v>
      </c>
      <c r="AQ69" s="11">
        <f>AQ71</f>
        <v>426.3</v>
      </c>
      <c r="AR69" s="11">
        <f>AQ69/AP69*100</f>
        <v>100</v>
      </c>
      <c r="AS69" s="96" t="s">
        <v>124</v>
      </c>
      <c r="AT69" s="90"/>
    </row>
    <row r="70" spans="1:46" s="10" customFormat="1" ht="25.5">
      <c r="A70" s="83"/>
      <c r="B70" s="84"/>
      <c r="C70" s="72"/>
      <c r="D70" s="72"/>
      <c r="E70" s="66" t="s">
        <v>177</v>
      </c>
      <c r="F70" s="16">
        <f>I70+L70+O70+R70+U70+X70+AA70+AD70+AG70+AJ70+AM70+AP70</f>
        <v>0</v>
      </c>
      <c r="G70" s="16">
        <f>J70+M70+P70+S70+V70+Y70+AB70+AE70+AH70+AK70+AN70+AQ70</f>
        <v>0</v>
      </c>
      <c r="H70" s="13"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97"/>
      <c r="AT70" s="91"/>
    </row>
    <row r="71" spans="1:46" s="10" customFormat="1" ht="89.25">
      <c r="A71" s="83"/>
      <c r="B71" s="84"/>
      <c r="C71" s="72"/>
      <c r="D71" s="72"/>
      <c r="E71" s="66" t="s">
        <v>178</v>
      </c>
      <c r="F71" s="16">
        <f>I71+L71+O71+R71+U71+X71+AA71+AD71+AG71+AJ71+AM71+AP71</f>
        <v>426.3</v>
      </c>
      <c r="G71" s="16">
        <f>J71+M71+P71+S71+V71+Y71+AB71+AE71+AH71+AK71+AN71+AQ71</f>
        <v>426.3</v>
      </c>
      <c r="H71" s="13">
        <f>G71/F71*100</f>
        <v>100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>
        <v>426.3</v>
      </c>
      <c r="AQ71" s="12">
        <v>426.3</v>
      </c>
      <c r="AR71" s="12">
        <f>AQ71/AP71*100</f>
        <v>100</v>
      </c>
      <c r="AS71" s="97"/>
      <c r="AT71" s="91"/>
    </row>
    <row r="72" spans="1:46" s="10" customFormat="1" ht="51">
      <c r="A72" s="83"/>
      <c r="B72" s="84"/>
      <c r="C72" s="72"/>
      <c r="D72" s="72"/>
      <c r="E72" s="66" t="s">
        <v>179</v>
      </c>
      <c r="F72" s="13">
        <v>0</v>
      </c>
      <c r="G72" s="13">
        <v>0</v>
      </c>
      <c r="H72" s="13"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86"/>
      <c r="AT72" s="92"/>
    </row>
    <row r="73" spans="1:46" s="10" customFormat="1" ht="53.25" customHeight="1">
      <c r="A73" s="37" t="s">
        <v>69</v>
      </c>
      <c r="B73" s="104" t="s">
        <v>100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6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56"/>
      <c r="AT73" s="70"/>
    </row>
    <row r="74" spans="1:46" s="6" customFormat="1" ht="15">
      <c r="A74" s="101" t="s">
        <v>70</v>
      </c>
      <c r="B74" s="102" t="s">
        <v>71</v>
      </c>
      <c r="C74" s="75"/>
      <c r="D74" s="73"/>
      <c r="E74" s="66" t="s">
        <v>176</v>
      </c>
      <c r="F74" s="16">
        <f>F76+F77+F78</f>
        <v>6789.2</v>
      </c>
      <c r="G74" s="16">
        <f>G76+G77+G78</f>
        <v>4738.4</v>
      </c>
      <c r="H74" s="16">
        <f>G74/F74*100</f>
        <v>69.7932009662405</v>
      </c>
      <c r="I74" s="11">
        <f>I76+I77</f>
        <v>0</v>
      </c>
      <c r="J74" s="11">
        <f aca="true" t="shared" si="48" ref="J74:AQ74">J76+J77</f>
        <v>0</v>
      </c>
      <c r="K74" s="11"/>
      <c r="L74" s="11">
        <f t="shared" si="48"/>
        <v>143.5</v>
      </c>
      <c r="M74" s="11">
        <f t="shared" si="48"/>
        <v>143.5</v>
      </c>
      <c r="N74" s="16">
        <f>M74/L74*100</f>
        <v>100</v>
      </c>
      <c r="O74" s="11">
        <f t="shared" si="48"/>
        <v>864.8</v>
      </c>
      <c r="P74" s="11">
        <f t="shared" si="48"/>
        <v>462.4</v>
      </c>
      <c r="Q74" s="11">
        <f>P74/O74*100</f>
        <v>53.46901017576319</v>
      </c>
      <c r="R74" s="11">
        <f t="shared" si="48"/>
        <v>445.6</v>
      </c>
      <c r="S74" s="11">
        <f t="shared" si="48"/>
        <v>525</v>
      </c>
      <c r="T74" s="11">
        <f>S74/R74*100</f>
        <v>117.81867145421903</v>
      </c>
      <c r="U74" s="11">
        <f t="shared" si="48"/>
        <v>263.1</v>
      </c>
      <c r="V74" s="11">
        <f t="shared" si="48"/>
        <v>533</v>
      </c>
      <c r="W74" s="11">
        <f>V74/U74*100</f>
        <v>202.5845686050931</v>
      </c>
      <c r="X74" s="11">
        <f t="shared" si="48"/>
        <v>209.5</v>
      </c>
      <c r="Y74" s="11">
        <f t="shared" si="48"/>
        <v>262.6</v>
      </c>
      <c r="Z74" s="11">
        <v>0</v>
      </c>
      <c r="AA74" s="11">
        <f t="shared" si="48"/>
        <v>149.6</v>
      </c>
      <c r="AB74" s="11">
        <f t="shared" si="48"/>
        <v>50</v>
      </c>
      <c r="AC74" s="11">
        <v>0</v>
      </c>
      <c r="AD74" s="11">
        <f>AD76+AD77+AD78</f>
        <v>1140</v>
      </c>
      <c r="AE74" s="11">
        <f>AE76+AE77+AE78</f>
        <v>1041.9</v>
      </c>
      <c r="AF74" s="11">
        <v>0</v>
      </c>
      <c r="AG74" s="11">
        <f>AG76+AG77+AG78</f>
        <v>327.8</v>
      </c>
      <c r="AH74" s="11">
        <f>AH76+AH77+AH78</f>
        <v>11.9</v>
      </c>
      <c r="AI74" s="11">
        <v>0</v>
      </c>
      <c r="AJ74" s="11">
        <f>AJ76+AJ77+AJ78</f>
        <v>14.4</v>
      </c>
      <c r="AK74" s="11">
        <f>AK76+AK77+AK78</f>
        <v>337</v>
      </c>
      <c r="AL74" s="11">
        <v>0</v>
      </c>
      <c r="AM74" s="11">
        <f t="shared" si="48"/>
        <v>431.9</v>
      </c>
      <c r="AN74" s="11">
        <f t="shared" si="48"/>
        <v>299.3</v>
      </c>
      <c r="AO74" s="11">
        <v>0</v>
      </c>
      <c r="AP74" s="11">
        <f t="shared" si="48"/>
        <v>2799</v>
      </c>
      <c r="AQ74" s="11">
        <f t="shared" si="48"/>
        <v>1071.8</v>
      </c>
      <c r="AR74" s="11">
        <f>AQ74/AP74*100</f>
        <v>38.29224723115398</v>
      </c>
      <c r="AS74" s="67"/>
      <c r="AT74" s="67"/>
    </row>
    <row r="75" spans="1:46" s="6" customFormat="1" ht="25.5">
      <c r="A75" s="101"/>
      <c r="B75" s="102"/>
      <c r="C75" s="110"/>
      <c r="D75" s="73"/>
      <c r="E75" s="66" t="s">
        <v>177</v>
      </c>
      <c r="F75" s="16">
        <f aca="true" t="shared" si="49" ref="F75:G78">I75+L75+O75+R75+U75+X75+AA75+AD75+AG75+AJ75+AM75+AP75</f>
        <v>0</v>
      </c>
      <c r="G75" s="16">
        <f t="shared" si="49"/>
        <v>0</v>
      </c>
      <c r="H75" s="16">
        <v>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67"/>
      <c r="AT75" s="67"/>
    </row>
    <row r="76" spans="1:46" s="6" customFormat="1" ht="89.25">
      <c r="A76" s="101"/>
      <c r="B76" s="102"/>
      <c r="C76" s="110"/>
      <c r="D76" s="73"/>
      <c r="E76" s="66" t="s">
        <v>178</v>
      </c>
      <c r="F76" s="16">
        <f t="shared" si="49"/>
        <v>2364.8999999999996</v>
      </c>
      <c r="G76" s="16">
        <f t="shared" si="49"/>
        <v>2359.7</v>
      </c>
      <c r="H76" s="16">
        <f>G76/F76*100</f>
        <v>99.78011755253922</v>
      </c>
      <c r="I76" s="11">
        <f>I81+I86+I91+I96+I101+I106</f>
        <v>0</v>
      </c>
      <c r="J76" s="11">
        <f aca="true" t="shared" si="50" ref="J76:AP76">J81+J86+J91+J96+J101+J106</f>
        <v>0</v>
      </c>
      <c r="K76" s="11">
        <f t="shared" si="50"/>
        <v>0</v>
      </c>
      <c r="L76" s="11">
        <f t="shared" si="50"/>
        <v>0</v>
      </c>
      <c r="M76" s="11">
        <f t="shared" si="50"/>
        <v>0</v>
      </c>
      <c r="N76" s="11">
        <f t="shared" si="50"/>
        <v>0</v>
      </c>
      <c r="O76" s="11">
        <f t="shared" si="50"/>
        <v>864.8</v>
      </c>
      <c r="P76" s="11">
        <f t="shared" si="50"/>
        <v>462.4</v>
      </c>
      <c r="Q76" s="11">
        <f>P76/O76*100</f>
        <v>53.46901017576319</v>
      </c>
      <c r="R76" s="11">
        <f t="shared" si="50"/>
        <v>323</v>
      </c>
      <c r="S76" s="11">
        <f t="shared" si="50"/>
        <v>402.4</v>
      </c>
      <c r="T76" s="11">
        <f>S76/R76*100</f>
        <v>124.58204334365324</v>
      </c>
      <c r="U76" s="11">
        <f t="shared" si="50"/>
        <v>210</v>
      </c>
      <c r="V76" s="11">
        <f t="shared" si="50"/>
        <v>533</v>
      </c>
      <c r="W76" s="11">
        <f>V76/U76*100</f>
        <v>253.8095238095238</v>
      </c>
      <c r="X76" s="11">
        <f t="shared" si="50"/>
        <v>0</v>
      </c>
      <c r="Y76" s="11">
        <f t="shared" si="50"/>
        <v>0</v>
      </c>
      <c r="Z76" s="11">
        <f t="shared" si="50"/>
        <v>0</v>
      </c>
      <c r="AA76" s="11">
        <f t="shared" si="50"/>
        <v>0</v>
      </c>
      <c r="AB76" s="11">
        <f t="shared" si="50"/>
        <v>0</v>
      </c>
      <c r="AC76" s="11">
        <f t="shared" si="50"/>
        <v>0</v>
      </c>
      <c r="AD76" s="11">
        <f t="shared" si="50"/>
        <v>0</v>
      </c>
      <c r="AE76" s="11">
        <f t="shared" si="50"/>
        <v>0</v>
      </c>
      <c r="AF76" s="11">
        <f t="shared" si="50"/>
        <v>0</v>
      </c>
      <c r="AG76" s="11">
        <f t="shared" si="50"/>
        <v>327.8</v>
      </c>
      <c r="AH76" s="11">
        <f t="shared" si="50"/>
        <v>0</v>
      </c>
      <c r="AI76" s="11">
        <f t="shared" si="50"/>
        <v>0</v>
      </c>
      <c r="AJ76" s="11">
        <f t="shared" si="50"/>
        <v>0</v>
      </c>
      <c r="AK76" s="11">
        <f t="shared" si="50"/>
        <v>322.6</v>
      </c>
      <c r="AL76" s="11">
        <f t="shared" si="50"/>
        <v>0</v>
      </c>
      <c r="AM76" s="11">
        <f t="shared" si="50"/>
        <v>0</v>
      </c>
      <c r="AN76" s="11">
        <f t="shared" si="50"/>
        <v>0</v>
      </c>
      <c r="AO76" s="11">
        <f t="shared" si="50"/>
        <v>0</v>
      </c>
      <c r="AP76" s="11">
        <f t="shared" si="50"/>
        <v>639.3</v>
      </c>
      <c r="AQ76" s="11">
        <f>AQ81+AQ86+AQ91+AQ96+AQ101+AQ106</f>
        <v>639.3</v>
      </c>
      <c r="AR76" s="11">
        <f>AQ76/AP76*100</f>
        <v>100</v>
      </c>
      <c r="AS76" s="67"/>
      <c r="AT76" s="67"/>
    </row>
    <row r="77" spans="1:46" s="6" customFormat="1" ht="51">
      <c r="A77" s="101"/>
      <c r="B77" s="102"/>
      <c r="C77" s="110"/>
      <c r="D77" s="73"/>
      <c r="E77" s="66" t="s">
        <v>179</v>
      </c>
      <c r="F77" s="16">
        <f t="shared" si="49"/>
        <v>4424.3</v>
      </c>
      <c r="G77" s="16">
        <f t="shared" si="49"/>
        <v>2378.7000000000003</v>
      </c>
      <c r="H77" s="16">
        <f>G77/F77*100</f>
        <v>53.764437312117174</v>
      </c>
      <c r="I77" s="11">
        <f>I82+I87+I92+I97+I102+I107</f>
        <v>0</v>
      </c>
      <c r="J77" s="11">
        <f aca="true" t="shared" si="51" ref="J77:AQ77">J82+J87+J92+J97+J102+J107</f>
        <v>0</v>
      </c>
      <c r="K77" s="11">
        <f t="shared" si="51"/>
        <v>0</v>
      </c>
      <c r="L77" s="11">
        <f t="shared" si="51"/>
        <v>143.5</v>
      </c>
      <c r="M77" s="11">
        <f t="shared" si="51"/>
        <v>143.5</v>
      </c>
      <c r="N77" s="11">
        <f t="shared" si="51"/>
        <v>100</v>
      </c>
      <c r="O77" s="11">
        <f t="shared" si="51"/>
        <v>0</v>
      </c>
      <c r="P77" s="11">
        <f t="shared" si="51"/>
        <v>0</v>
      </c>
      <c r="Q77" s="11">
        <f t="shared" si="51"/>
        <v>0</v>
      </c>
      <c r="R77" s="11">
        <f t="shared" si="51"/>
        <v>122.6</v>
      </c>
      <c r="S77" s="11">
        <f t="shared" si="51"/>
        <v>122.6</v>
      </c>
      <c r="T77" s="11">
        <f t="shared" si="51"/>
        <v>100</v>
      </c>
      <c r="U77" s="11">
        <f t="shared" si="51"/>
        <v>53.1</v>
      </c>
      <c r="V77" s="11">
        <f t="shared" si="51"/>
        <v>0</v>
      </c>
      <c r="W77" s="11">
        <f t="shared" si="51"/>
        <v>0</v>
      </c>
      <c r="X77" s="11">
        <f t="shared" si="51"/>
        <v>209.5</v>
      </c>
      <c r="Y77" s="11">
        <f t="shared" si="51"/>
        <v>262.6</v>
      </c>
      <c r="Z77" s="11">
        <f t="shared" si="51"/>
        <v>258.41584158415844</v>
      </c>
      <c r="AA77" s="11">
        <f t="shared" si="51"/>
        <v>149.6</v>
      </c>
      <c r="AB77" s="11">
        <f t="shared" si="51"/>
        <v>50</v>
      </c>
      <c r="AC77" s="11">
        <f t="shared" si="51"/>
        <v>100</v>
      </c>
      <c r="AD77" s="11">
        <f t="shared" si="51"/>
        <v>1140</v>
      </c>
      <c r="AE77" s="11">
        <f t="shared" si="51"/>
        <v>1041.9</v>
      </c>
      <c r="AF77" s="11">
        <f t="shared" si="51"/>
        <v>83.70175438596492</v>
      </c>
      <c r="AG77" s="11">
        <f t="shared" si="51"/>
        <v>0</v>
      </c>
      <c r="AH77" s="11">
        <f t="shared" si="51"/>
        <v>11.9</v>
      </c>
      <c r="AI77" s="11">
        <f t="shared" si="51"/>
        <v>0</v>
      </c>
      <c r="AJ77" s="11">
        <f t="shared" si="51"/>
        <v>14.4</v>
      </c>
      <c r="AK77" s="11">
        <f t="shared" si="51"/>
        <v>14.4</v>
      </c>
      <c r="AL77" s="11">
        <f t="shared" si="51"/>
        <v>100</v>
      </c>
      <c r="AM77" s="11">
        <f t="shared" si="51"/>
        <v>431.9</v>
      </c>
      <c r="AN77" s="11">
        <f t="shared" si="51"/>
        <v>299.3</v>
      </c>
      <c r="AO77" s="11">
        <f t="shared" si="51"/>
        <v>69.29844871498032</v>
      </c>
      <c r="AP77" s="11">
        <f t="shared" si="51"/>
        <v>2159.7</v>
      </c>
      <c r="AQ77" s="11">
        <f t="shared" si="51"/>
        <v>432.5</v>
      </c>
      <c r="AR77" s="11">
        <f>AQ77/AP77*100</f>
        <v>20.025929527249158</v>
      </c>
      <c r="AS77" s="67"/>
      <c r="AT77" s="67"/>
    </row>
    <row r="78" spans="1:46" s="6" customFormat="1" ht="76.5">
      <c r="A78" s="101"/>
      <c r="B78" s="102"/>
      <c r="C78" s="111"/>
      <c r="D78" s="73"/>
      <c r="E78" s="35" t="s">
        <v>180</v>
      </c>
      <c r="F78" s="16">
        <f t="shared" si="49"/>
        <v>0</v>
      </c>
      <c r="G78" s="16">
        <f t="shared" si="49"/>
        <v>0</v>
      </c>
      <c r="H78" s="16">
        <v>0</v>
      </c>
      <c r="I78" s="68">
        <f>I98</f>
        <v>0</v>
      </c>
      <c r="J78" s="68">
        <f>J98</f>
        <v>0</v>
      </c>
      <c r="K78" s="68"/>
      <c r="L78" s="68">
        <f aca="true" t="shared" si="52" ref="L78:AQ78">L98</f>
        <v>0</v>
      </c>
      <c r="M78" s="68">
        <f t="shared" si="52"/>
        <v>0</v>
      </c>
      <c r="N78" s="68"/>
      <c r="O78" s="68">
        <f t="shared" si="52"/>
        <v>0</v>
      </c>
      <c r="P78" s="68">
        <f t="shared" si="52"/>
        <v>0</v>
      </c>
      <c r="Q78" s="68"/>
      <c r="R78" s="68">
        <f t="shared" si="52"/>
        <v>0</v>
      </c>
      <c r="S78" s="68">
        <f t="shared" si="52"/>
        <v>0</v>
      </c>
      <c r="T78" s="68"/>
      <c r="U78" s="68">
        <f t="shared" si="52"/>
        <v>0</v>
      </c>
      <c r="V78" s="68">
        <f t="shared" si="52"/>
        <v>0</v>
      </c>
      <c r="W78" s="68"/>
      <c r="X78" s="68">
        <f t="shared" si="52"/>
        <v>0</v>
      </c>
      <c r="Y78" s="68">
        <f t="shared" si="52"/>
        <v>0</v>
      </c>
      <c r="Z78" s="68"/>
      <c r="AA78" s="68">
        <f t="shared" si="52"/>
        <v>0</v>
      </c>
      <c r="AB78" s="68">
        <f t="shared" si="52"/>
        <v>0</v>
      </c>
      <c r="AC78" s="68"/>
      <c r="AD78" s="68">
        <f t="shared" si="52"/>
        <v>0</v>
      </c>
      <c r="AE78" s="68">
        <f t="shared" si="52"/>
        <v>0</v>
      </c>
      <c r="AF78" s="68"/>
      <c r="AG78" s="68">
        <f t="shared" si="52"/>
        <v>0</v>
      </c>
      <c r="AH78" s="68">
        <f t="shared" si="52"/>
        <v>0</v>
      </c>
      <c r="AI78" s="68"/>
      <c r="AJ78" s="68">
        <f t="shared" si="52"/>
        <v>0</v>
      </c>
      <c r="AK78" s="68">
        <f t="shared" si="52"/>
        <v>0</v>
      </c>
      <c r="AL78" s="68"/>
      <c r="AM78" s="68">
        <f t="shared" si="52"/>
        <v>0</v>
      </c>
      <c r="AN78" s="68">
        <f t="shared" si="52"/>
        <v>0</v>
      </c>
      <c r="AO78" s="68"/>
      <c r="AP78" s="68"/>
      <c r="AQ78" s="68">
        <f t="shared" si="52"/>
        <v>0</v>
      </c>
      <c r="AR78" s="68"/>
      <c r="AS78" s="69"/>
      <c r="AT78" s="69"/>
    </row>
    <row r="79" spans="1:46" s="8" customFormat="1" ht="18.75" customHeight="1">
      <c r="A79" s="83" t="s">
        <v>72</v>
      </c>
      <c r="B79" s="84" t="s">
        <v>73</v>
      </c>
      <c r="C79" s="78" t="s">
        <v>31</v>
      </c>
      <c r="D79" s="72" t="s">
        <v>35</v>
      </c>
      <c r="E79" s="66" t="s">
        <v>176</v>
      </c>
      <c r="F79" s="16">
        <f>F81+F83</f>
        <v>65.6</v>
      </c>
      <c r="G79" s="16">
        <f>G81+G83</f>
        <v>65.1</v>
      </c>
      <c r="H79" s="13">
        <f>G79/F79*100</f>
        <v>99.23780487804879</v>
      </c>
      <c r="I79" s="11">
        <f>I81+I83</f>
        <v>0</v>
      </c>
      <c r="J79" s="11">
        <f aca="true" t="shared" si="53" ref="J79:P79">J81+J83</f>
        <v>0</v>
      </c>
      <c r="K79" s="11"/>
      <c r="L79" s="11">
        <f t="shared" si="53"/>
        <v>0</v>
      </c>
      <c r="M79" s="11">
        <f t="shared" si="53"/>
        <v>0</v>
      </c>
      <c r="N79" s="11"/>
      <c r="O79" s="11">
        <f t="shared" si="53"/>
        <v>0</v>
      </c>
      <c r="P79" s="11">
        <f t="shared" si="53"/>
        <v>0</v>
      </c>
      <c r="Q79" s="11"/>
      <c r="R79" s="11">
        <f>R81+R83</f>
        <v>65.6</v>
      </c>
      <c r="S79" s="11">
        <f aca="true" t="shared" si="54" ref="S79:Y79">S81+S83</f>
        <v>0</v>
      </c>
      <c r="T79" s="11"/>
      <c r="U79" s="11">
        <f t="shared" si="54"/>
        <v>0</v>
      </c>
      <c r="V79" s="11">
        <f t="shared" si="54"/>
        <v>65.6</v>
      </c>
      <c r="W79" s="11"/>
      <c r="X79" s="11">
        <f t="shared" si="54"/>
        <v>0</v>
      </c>
      <c r="Y79" s="11">
        <f t="shared" si="54"/>
        <v>0</v>
      </c>
      <c r="Z79" s="11"/>
      <c r="AA79" s="11">
        <f>AA81+AA83</f>
        <v>0</v>
      </c>
      <c r="AB79" s="11">
        <f aca="true" t="shared" si="55" ref="AB79:AH79">AB81+AB83</f>
        <v>0</v>
      </c>
      <c r="AC79" s="11"/>
      <c r="AD79" s="11">
        <f t="shared" si="55"/>
        <v>0</v>
      </c>
      <c r="AE79" s="11">
        <f t="shared" si="55"/>
        <v>0</v>
      </c>
      <c r="AF79" s="11"/>
      <c r="AG79" s="11">
        <f t="shared" si="55"/>
        <v>0</v>
      </c>
      <c r="AH79" s="11">
        <f t="shared" si="55"/>
        <v>0</v>
      </c>
      <c r="AI79" s="11"/>
      <c r="AJ79" s="11">
        <f>AJ81+AJ83</f>
        <v>0</v>
      </c>
      <c r="AK79" s="11">
        <f aca="true" t="shared" si="56" ref="AK79:AQ79">AK81+AK83</f>
        <v>-0.5</v>
      </c>
      <c r="AL79" s="11"/>
      <c r="AM79" s="11">
        <f t="shared" si="56"/>
        <v>0</v>
      </c>
      <c r="AN79" s="11">
        <f t="shared" si="56"/>
        <v>0</v>
      </c>
      <c r="AO79" s="11"/>
      <c r="AP79" s="11">
        <f t="shared" si="56"/>
        <v>0</v>
      </c>
      <c r="AQ79" s="11">
        <f t="shared" si="56"/>
        <v>0</v>
      </c>
      <c r="AR79" s="11"/>
      <c r="AS79" s="96" t="s">
        <v>125</v>
      </c>
      <c r="AT79" s="96" t="s">
        <v>170</v>
      </c>
    </row>
    <row r="80" spans="1:46" s="10" customFormat="1" ht="25.5">
      <c r="A80" s="83"/>
      <c r="B80" s="84"/>
      <c r="C80" s="78"/>
      <c r="D80" s="72"/>
      <c r="E80" s="66" t="s">
        <v>177</v>
      </c>
      <c r="F80" s="16">
        <f aca="true" t="shared" si="57" ref="F80:G83">I80+L80+O80+R80+U80+X80+AA80+AD80+AG80+AJ80+AM80+AP80</f>
        <v>65.6</v>
      </c>
      <c r="G80" s="16">
        <f t="shared" si="57"/>
        <v>65.1</v>
      </c>
      <c r="H80" s="13">
        <f>G80/F80*100</f>
        <v>99.23780487804879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v>65.6</v>
      </c>
      <c r="S80" s="12">
        <v>0</v>
      </c>
      <c r="T80" s="12"/>
      <c r="U80" s="12">
        <v>0</v>
      </c>
      <c r="V80" s="12">
        <v>65.6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>
        <v>-0.5</v>
      </c>
      <c r="AL80" s="12"/>
      <c r="AM80" s="12"/>
      <c r="AN80" s="12"/>
      <c r="AO80" s="12"/>
      <c r="AP80" s="12"/>
      <c r="AQ80" s="12"/>
      <c r="AR80" s="12"/>
      <c r="AS80" s="97"/>
      <c r="AT80" s="97"/>
    </row>
    <row r="81" spans="1:46" s="10" customFormat="1" ht="89.25">
      <c r="A81" s="83"/>
      <c r="B81" s="84"/>
      <c r="C81" s="78"/>
      <c r="D81" s="72"/>
      <c r="E81" s="66" t="s">
        <v>178</v>
      </c>
      <c r="F81" s="16">
        <f t="shared" si="57"/>
        <v>65.6</v>
      </c>
      <c r="G81" s="16">
        <f t="shared" si="57"/>
        <v>65.1</v>
      </c>
      <c r="H81" s="13">
        <f>G81/F81*100</f>
        <v>99.23780487804879</v>
      </c>
      <c r="I81" s="12"/>
      <c r="J81" s="12"/>
      <c r="K81" s="12"/>
      <c r="L81" s="12"/>
      <c r="M81" s="12"/>
      <c r="N81" s="12"/>
      <c r="O81" s="12"/>
      <c r="P81" s="12"/>
      <c r="Q81" s="12"/>
      <c r="R81" s="12">
        <v>65.6</v>
      </c>
      <c r="S81" s="12">
        <v>0</v>
      </c>
      <c r="T81" s="12"/>
      <c r="U81" s="12">
        <v>0</v>
      </c>
      <c r="V81" s="12">
        <v>65.6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-0.5</v>
      </c>
      <c r="AL81" s="12"/>
      <c r="AM81" s="12"/>
      <c r="AN81" s="12"/>
      <c r="AO81" s="12"/>
      <c r="AP81" s="12"/>
      <c r="AQ81" s="12"/>
      <c r="AR81" s="12"/>
      <c r="AS81" s="97"/>
      <c r="AT81" s="97"/>
    </row>
    <row r="82" spans="1:46" s="10" customFormat="1" ht="51">
      <c r="A82" s="83"/>
      <c r="B82" s="84"/>
      <c r="C82" s="78"/>
      <c r="D82" s="72"/>
      <c r="E82" s="66" t="s">
        <v>179</v>
      </c>
      <c r="F82" s="16">
        <f t="shared" si="57"/>
        <v>0</v>
      </c>
      <c r="G82" s="16">
        <f t="shared" si="57"/>
        <v>0</v>
      </c>
      <c r="H82" s="13">
        <v>0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97"/>
      <c r="AT82" s="97"/>
    </row>
    <row r="83" spans="1:46" s="10" customFormat="1" ht="76.5">
      <c r="A83" s="83"/>
      <c r="B83" s="84"/>
      <c r="C83" s="78"/>
      <c r="D83" s="72"/>
      <c r="E83" s="35" t="s">
        <v>180</v>
      </c>
      <c r="F83" s="16">
        <f t="shared" si="57"/>
        <v>0</v>
      </c>
      <c r="G83" s="16">
        <f t="shared" si="57"/>
        <v>0</v>
      </c>
      <c r="H83" s="13">
        <v>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86"/>
      <c r="AT83" s="86"/>
    </row>
    <row r="84" spans="1:46" s="34" customFormat="1" ht="39.75" customHeight="1">
      <c r="A84" s="83" t="s">
        <v>74</v>
      </c>
      <c r="B84" s="84" t="s">
        <v>168</v>
      </c>
      <c r="C84" s="78" t="s">
        <v>31</v>
      </c>
      <c r="D84" s="72" t="s">
        <v>75</v>
      </c>
      <c r="E84" s="66" t="s">
        <v>176</v>
      </c>
      <c r="F84" s="16">
        <f>F85+F86+F87+F88</f>
        <v>2494.2000000000003</v>
      </c>
      <c r="G84" s="16">
        <f>G85+G86+G87+G88</f>
        <v>2494.2000000000003</v>
      </c>
      <c r="H84" s="16">
        <f>G84/F84*100</f>
        <v>100</v>
      </c>
      <c r="I84" s="11">
        <f>I86+I88</f>
        <v>0</v>
      </c>
      <c r="J84" s="11">
        <f aca="true" t="shared" si="58" ref="J84:P84">J86+J88</f>
        <v>0</v>
      </c>
      <c r="K84" s="11"/>
      <c r="L84" s="11">
        <f t="shared" si="58"/>
        <v>0</v>
      </c>
      <c r="M84" s="11">
        <f>M86+M88</f>
        <v>0</v>
      </c>
      <c r="N84" s="16" t="e">
        <f>M84/L84*100</f>
        <v>#DIV/0!</v>
      </c>
      <c r="O84" s="11">
        <f t="shared" si="58"/>
        <v>0</v>
      </c>
      <c r="P84" s="11">
        <f t="shared" si="58"/>
        <v>0</v>
      </c>
      <c r="Q84" s="11"/>
      <c r="R84" s="11">
        <f>R86+R88</f>
        <v>0</v>
      </c>
      <c r="S84" s="11">
        <f aca="true" t="shared" si="59" ref="S84:Y84">S86+S88</f>
        <v>0</v>
      </c>
      <c r="T84" s="11" t="e">
        <f>S84/R84*100</f>
        <v>#DIV/0!</v>
      </c>
      <c r="U84" s="11">
        <f t="shared" si="59"/>
        <v>0</v>
      </c>
      <c r="V84" s="11">
        <f t="shared" si="59"/>
        <v>0</v>
      </c>
      <c r="W84" s="11"/>
      <c r="X84" s="11">
        <f t="shared" si="59"/>
        <v>0</v>
      </c>
      <c r="Y84" s="11">
        <f t="shared" si="59"/>
        <v>0</v>
      </c>
      <c r="Z84" s="11" t="e">
        <f>Y84/X84*100</f>
        <v>#DIV/0!</v>
      </c>
      <c r="AA84" s="11">
        <f>AA86+AA88</f>
        <v>0</v>
      </c>
      <c r="AB84" s="11">
        <f aca="true" t="shared" si="60" ref="AB84:AH84">AB86+AB88</f>
        <v>0</v>
      </c>
      <c r="AC84" s="11" t="e">
        <f>AB84/AA84*100</f>
        <v>#DIV/0!</v>
      </c>
      <c r="AD84" s="11">
        <f t="shared" si="60"/>
        <v>0</v>
      </c>
      <c r="AE84" s="11">
        <f t="shared" si="60"/>
        <v>0</v>
      </c>
      <c r="AF84" s="11" t="e">
        <f>AE84/AD84*100</f>
        <v>#DIV/0!</v>
      </c>
      <c r="AG84" s="11">
        <f t="shared" si="60"/>
        <v>327.8</v>
      </c>
      <c r="AH84" s="11">
        <f t="shared" si="60"/>
        <v>0</v>
      </c>
      <c r="AI84" s="11"/>
      <c r="AJ84" s="11">
        <f>AJ86+AJ88</f>
        <v>0</v>
      </c>
      <c r="AK84" s="11">
        <f aca="true" t="shared" si="61" ref="AK84:AQ84">AK86+AK88</f>
        <v>327.8</v>
      </c>
      <c r="AL84" s="11" t="e">
        <f>AK84/AJ84*100</f>
        <v>#DIV/0!</v>
      </c>
      <c r="AM84" s="11">
        <f t="shared" si="61"/>
        <v>0</v>
      </c>
      <c r="AN84" s="11">
        <f t="shared" si="61"/>
        <v>0</v>
      </c>
      <c r="AO84" s="11">
        <v>0</v>
      </c>
      <c r="AP84" s="11">
        <f t="shared" si="61"/>
        <v>120</v>
      </c>
      <c r="AQ84" s="11">
        <f t="shared" si="61"/>
        <v>120</v>
      </c>
      <c r="AR84" s="11">
        <f>AQ84/AP84*100</f>
        <v>100</v>
      </c>
      <c r="AS84" s="107" t="s">
        <v>162</v>
      </c>
      <c r="AT84" s="96"/>
    </row>
    <row r="85" spans="1:46" s="36" customFormat="1" ht="49.5" customHeight="1">
      <c r="A85" s="83"/>
      <c r="B85" s="84"/>
      <c r="C85" s="78"/>
      <c r="D85" s="72"/>
      <c r="E85" s="66" t="s">
        <v>177</v>
      </c>
      <c r="F85" s="16">
        <f aca="true" t="shared" si="62" ref="F85:G88">I85+L85+O85+R85+U85+X85+AA85+AD85+AG85+AJ85+AM85+AP85</f>
        <v>0</v>
      </c>
      <c r="G85" s="16">
        <f t="shared" si="62"/>
        <v>0</v>
      </c>
      <c r="H85" s="16"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08"/>
      <c r="AT85" s="97"/>
    </row>
    <row r="86" spans="1:46" s="36" customFormat="1" ht="96" customHeight="1">
      <c r="A86" s="83"/>
      <c r="B86" s="84"/>
      <c r="C86" s="78"/>
      <c r="D86" s="72"/>
      <c r="E86" s="66" t="s">
        <v>178</v>
      </c>
      <c r="F86" s="16">
        <f t="shared" si="62"/>
        <v>447.8</v>
      </c>
      <c r="G86" s="16">
        <f t="shared" si="62"/>
        <v>447.8</v>
      </c>
      <c r="H86" s="16">
        <f>G86/F86*100</f>
        <v>100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>
        <v>327.8</v>
      </c>
      <c r="AH86" s="12"/>
      <c r="AI86" s="12"/>
      <c r="AJ86" s="12"/>
      <c r="AK86" s="12">
        <v>327.8</v>
      </c>
      <c r="AL86" s="12"/>
      <c r="AM86" s="12"/>
      <c r="AN86" s="12"/>
      <c r="AO86" s="12"/>
      <c r="AP86" s="12">
        <v>120</v>
      </c>
      <c r="AQ86" s="12">
        <v>120</v>
      </c>
      <c r="AR86" s="12">
        <f>AQ86/AP86*100</f>
        <v>100</v>
      </c>
      <c r="AS86" s="108"/>
      <c r="AT86" s="97"/>
    </row>
    <row r="87" spans="1:46" s="36" customFormat="1" ht="69.75" customHeight="1">
      <c r="A87" s="83"/>
      <c r="B87" s="84"/>
      <c r="C87" s="78"/>
      <c r="D87" s="72"/>
      <c r="E87" s="66" t="s">
        <v>179</v>
      </c>
      <c r="F87" s="16">
        <f t="shared" si="62"/>
        <v>2046.4</v>
      </c>
      <c r="G87" s="16">
        <f t="shared" si="62"/>
        <v>2046.4</v>
      </c>
      <c r="H87" s="16">
        <f>G87/F87*100</f>
        <v>100</v>
      </c>
      <c r="I87" s="12"/>
      <c r="J87" s="12"/>
      <c r="K87" s="12"/>
      <c r="L87" s="12">
        <v>143.5</v>
      </c>
      <c r="M87" s="12">
        <v>143.5</v>
      </c>
      <c r="N87" s="14">
        <f>M87/L87*100</f>
        <v>100</v>
      </c>
      <c r="O87" s="12"/>
      <c r="P87" s="12"/>
      <c r="Q87" s="12"/>
      <c r="R87" s="12">
        <v>122.6</v>
      </c>
      <c r="S87" s="12">
        <v>122.6</v>
      </c>
      <c r="T87" s="12">
        <f>S87/R87*100</f>
        <v>100</v>
      </c>
      <c r="U87" s="12">
        <v>53.1</v>
      </c>
      <c r="V87" s="12">
        <v>0</v>
      </c>
      <c r="W87" s="12"/>
      <c r="X87" s="12">
        <f>10.9+80</f>
        <v>90.9</v>
      </c>
      <c r="Y87" s="12">
        <v>144</v>
      </c>
      <c r="Z87" s="12">
        <f>Y87/X87*100</f>
        <v>158.41584158415841</v>
      </c>
      <c r="AA87" s="12">
        <f>50</f>
        <v>50</v>
      </c>
      <c r="AB87" s="12">
        <v>50</v>
      </c>
      <c r="AC87" s="12">
        <f>AB87/AA87*100</f>
        <v>100</v>
      </c>
      <c r="AD87" s="12">
        <f>1679.4-80-39.4-420</f>
        <v>1140</v>
      </c>
      <c r="AE87" s="12">
        <v>954.2</v>
      </c>
      <c r="AF87" s="12">
        <f>AE87/AD87*100</f>
        <v>83.70175438596492</v>
      </c>
      <c r="AG87" s="12"/>
      <c r="AH87" s="12"/>
      <c r="AI87" s="12"/>
      <c r="AJ87" s="12">
        <v>14.4</v>
      </c>
      <c r="AK87" s="12">
        <v>14.4</v>
      </c>
      <c r="AL87" s="12">
        <f>AK87/AJ87*100</f>
        <v>100</v>
      </c>
      <c r="AM87" s="12">
        <f>774.8-93.3-50-99.6-100</f>
        <v>431.9</v>
      </c>
      <c r="AN87" s="12">
        <v>299.3</v>
      </c>
      <c r="AO87" s="12">
        <f>AN87/AM87*100</f>
        <v>69.29844871498032</v>
      </c>
      <c r="AP87" s="12"/>
      <c r="AQ87" s="12">
        <v>318.4</v>
      </c>
      <c r="AR87" s="12"/>
      <c r="AS87" s="108"/>
      <c r="AT87" s="97"/>
    </row>
    <row r="88" spans="1:46" s="36" customFormat="1" ht="109.5" customHeight="1">
      <c r="A88" s="83"/>
      <c r="B88" s="84"/>
      <c r="C88" s="78"/>
      <c r="D88" s="72"/>
      <c r="E88" s="35" t="s">
        <v>180</v>
      </c>
      <c r="F88" s="16">
        <f t="shared" si="62"/>
        <v>0</v>
      </c>
      <c r="G88" s="16">
        <f t="shared" si="62"/>
        <v>0</v>
      </c>
      <c r="H88" s="16">
        <v>0</v>
      </c>
      <c r="I88" s="12"/>
      <c r="J88" s="12"/>
      <c r="K88" s="12"/>
      <c r="L88" s="12"/>
      <c r="M88" s="12"/>
      <c r="N88" s="14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09"/>
      <c r="AT88" s="86"/>
    </row>
    <row r="89" spans="1:46" s="8" customFormat="1" ht="12.75">
      <c r="A89" s="83" t="s">
        <v>76</v>
      </c>
      <c r="B89" s="84" t="s">
        <v>77</v>
      </c>
      <c r="C89" s="78" t="s">
        <v>31</v>
      </c>
      <c r="D89" s="96" t="s">
        <v>41</v>
      </c>
      <c r="E89" s="66" t="s">
        <v>176</v>
      </c>
      <c r="F89" s="16">
        <f>F92+F93</f>
        <v>0</v>
      </c>
      <c r="G89" s="16">
        <f>G92+G93</f>
        <v>0</v>
      </c>
      <c r="H89" s="16">
        <v>0</v>
      </c>
      <c r="I89" s="11">
        <f>I92+I93</f>
        <v>0</v>
      </c>
      <c r="J89" s="11">
        <f aca="true" t="shared" si="63" ref="J89:P89">J92+J93</f>
        <v>0</v>
      </c>
      <c r="K89" s="11"/>
      <c r="L89" s="11">
        <f t="shared" si="63"/>
        <v>0</v>
      </c>
      <c r="M89" s="11">
        <f t="shared" si="63"/>
        <v>0</v>
      </c>
      <c r="N89" s="11"/>
      <c r="O89" s="11">
        <f t="shared" si="63"/>
        <v>0</v>
      </c>
      <c r="P89" s="11">
        <f t="shared" si="63"/>
        <v>0</v>
      </c>
      <c r="Q89" s="11"/>
      <c r="R89" s="11">
        <f>R92+R93</f>
        <v>0</v>
      </c>
      <c r="S89" s="11">
        <f aca="true" t="shared" si="64" ref="S89:Y89">S92+S93</f>
        <v>0</v>
      </c>
      <c r="T89" s="11"/>
      <c r="U89" s="11">
        <f t="shared" si="64"/>
        <v>0</v>
      </c>
      <c r="V89" s="11">
        <f t="shared" si="64"/>
        <v>0</v>
      </c>
      <c r="W89" s="11"/>
      <c r="X89" s="11">
        <f t="shared" si="64"/>
        <v>0</v>
      </c>
      <c r="Y89" s="11">
        <f t="shared" si="64"/>
        <v>0</v>
      </c>
      <c r="Z89" s="11"/>
      <c r="AA89" s="11">
        <f>AA92+AA93</f>
        <v>0</v>
      </c>
      <c r="AB89" s="11">
        <f aca="true" t="shared" si="65" ref="AB89:AH89">AB92+AB93</f>
        <v>0</v>
      </c>
      <c r="AC89" s="11"/>
      <c r="AD89" s="11">
        <f t="shared" si="65"/>
        <v>0</v>
      </c>
      <c r="AE89" s="11">
        <f t="shared" si="65"/>
        <v>0</v>
      </c>
      <c r="AF89" s="11"/>
      <c r="AG89" s="11">
        <f t="shared" si="65"/>
        <v>0</v>
      </c>
      <c r="AH89" s="11">
        <f t="shared" si="65"/>
        <v>0</v>
      </c>
      <c r="AI89" s="11"/>
      <c r="AJ89" s="11">
        <f>AJ92+AJ93</f>
        <v>0</v>
      </c>
      <c r="AK89" s="11">
        <f aca="true" t="shared" si="66" ref="AK89:AQ89">AK92+AK93</f>
        <v>0</v>
      </c>
      <c r="AL89" s="11"/>
      <c r="AM89" s="11">
        <f t="shared" si="66"/>
        <v>0</v>
      </c>
      <c r="AN89" s="11">
        <f t="shared" si="66"/>
        <v>0</v>
      </c>
      <c r="AO89" s="11"/>
      <c r="AP89" s="11">
        <f t="shared" si="66"/>
        <v>0</v>
      </c>
      <c r="AQ89" s="11">
        <f t="shared" si="66"/>
        <v>0</v>
      </c>
      <c r="AR89" s="11"/>
      <c r="AS89" s="107" t="s">
        <v>109</v>
      </c>
      <c r="AT89" s="90"/>
    </row>
    <row r="90" spans="1:46" s="10" customFormat="1" ht="25.5">
      <c r="A90" s="83"/>
      <c r="B90" s="84"/>
      <c r="C90" s="78"/>
      <c r="D90" s="97"/>
      <c r="E90" s="66" t="s">
        <v>177</v>
      </c>
      <c r="F90" s="13">
        <f aca="true" t="shared" si="67" ref="F90:G93">I90+L90+O90+R90+U90+X90+AA90+AD90+AG90+AJ90+AM90+AP90</f>
        <v>0</v>
      </c>
      <c r="G90" s="13">
        <f t="shared" si="67"/>
        <v>0</v>
      </c>
      <c r="H90" s="13"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08"/>
      <c r="AT90" s="91"/>
    </row>
    <row r="91" spans="1:46" s="10" customFormat="1" ht="89.25">
      <c r="A91" s="83"/>
      <c r="B91" s="84"/>
      <c r="C91" s="78"/>
      <c r="D91" s="97"/>
      <c r="E91" s="66" t="s">
        <v>178</v>
      </c>
      <c r="F91" s="13">
        <f t="shared" si="67"/>
        <v>0</v>
      </c>
      <c r="G91" s="13">
        <f t="shared" si="67"/>
        <v>0</v>
      </c>
      <c r="H91" s="13"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08"/>
      <c r="AT91" s="91"/>
    </row>
    <row r="92" spans="1:46" s="10" customFormat="1" ht="51">
      <c r="A92" s="83"/>
      <c r="B92" s="84"/>
      <c r="C92" s="78"/>
      <c r="D92" s="97"/>
      <c r="E92" s="66" t="s">
        <v>179</v>
      </c>
      <c r="F92" s="13">
        <f t="shared" si="67"/>
        <v>0</v>
      </c>
      <c r="G92" s="13">
        <f t="shared" si="67"/>
        <v>0</v>
      </c>
      <c r="H92" s="13">
        <v>0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08"/>
      <c r="AT92" s="91"/>
    </row>
    <row r="93" spans="1:46" s="10" customFormat="1" ht="76.5">
      <c r="A93" s="83"/>
      <c r="B93" s="84"/>
      <c r="C93" s="78"/>
      <c r="D93" s="86"/>
      <c r="E93" s="35" t="s">
        <v>180</v>
      </c>
      <c r="F93" s="13">
        <f t="shared" si="67"/>
        <v>0</v>
      </c>
      <c r="G93" s="13">
        <f t="shared" si="67"/>
        <v>0</v>
      </c>
      <c r="H93" s="13">
        <v>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09"/>
      <c r="AT93" s="92"/>
    </row>
    <row r="94" spans="1:46" s="8" customFormat="1" ht="12.75" customHeight="1">
      <c r="A94" s="112" t="s">
        <v>78</v>
      </c>
      <c r="B94" s="115" t="s">
        <v>159</v>
      </c>
      <c r="C94" s="96" t="s">
        <v>31</v>
      </c>
      <c r="D94" s="96" t="s">
        <v>41</v>
      </c>
      <c r="E94" s="66" t="s">
        <v>176</v>
      </c>
      <c r="F94" s="16">
        <f>F95+F96+F97+F98</f>
        <v>2045.6</v>
      </c>
      <c r="G94" s="16">
        <f>G95+G96+G97+G98</f>
        <v>0</v>
      </c>
      <c r="H94" s="16">
        <f>H95+H96+H97+H98</f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f>AD98</f>
        <v>0</v>
      </c>
      <c r="AE94" s="11">
        <f>AE98</f>
        <v>0</v>
      </c>
      <c r="AF94" s="11"/>
      <c r="AG94" s="11">
        <f>AG98</f>
        <v>0</v>
      </c>
      <c r="AH94" s="11">
        <f>AH98</f>
        <v>0</v>
      </c>
      <c r="AI94" s="11"/>
      <c r="AJ94" s="11">
        <f>AJ98</f>
        <v>0</v>
      </c>
      <c r="AK94" s="11">
        <f>AK98</f>
        <v>0</v>
      </c>
      <c r="AL94" s="11"/>
      <c r="AM94" s="11"/>
      <c r="AN94" s="11"/>
      <c r="AO94" s="11"/>
      <c r="AP94" s="11">
        <f>AP98</f>
        <v>0</v>
      </c>
      <c r="AQ94" s="11">
        <f>AQ98</f>
        <v>0</v>
      </c>
      <c r="AR94" s="11"/>
      <c r="AS94" s="96"/>
      <c r="AT94" s="96" t="s">
        <v>169</v>
      </c>
    </row>
    <row r="95" spans="1:46" s="10" customFormat="1" ht="28.5" customHeight="1">
      <c r="A95" s="113"/>
      <c r="B95" s="116"/>
      <c r="C95" s="97"/>
      <c r="D95" s="97"/>
      <c r="E95" s="66" t="s">
        <v>177</v>
      </c>
      <c r="F95" s="16">
        <f aca="true" t="shared" si="68" ref="F95:G98">AD95+AG95+AJ95+AM95+AP95</f>
        <v>0</v>
      </c>
      <c r="G95" s="16">
        <f t="shared" si="68"/>
        <v>0</v>
      </c>
      <c r="H95" s="13">
        <v>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97"/>
      <c r="AT95" s="97"/>
    </row>
    <row r="96" spans="1:46" s="10" customFormat="1" ht="90" customHeight="1">
      <c r="A96" s="113"/>
      <c r="B96" s="116"/>
      <c r="C96" s="97"/>
      <c r="D96" s="97"/>
      <c r="E96" s="66" t="s">
        <v>178</v>
      </c>
      <c r="F96" s="16">
        <f t="shared" si="68"/>
        <v>0</v>
      </c>
      <c r="G96" s="16">
        <f t="shared" si="68"/>
        <v>0</v>
      </c>
      <c r="H96" s="13">
        <v>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97"/>
      <c r="AT96" s="97"/>
    </row>
    <row r="97" spans="1:46" s="10" customFormat="1" ht="67.5" customHeight="1">
      <c r="A97" s="113"/>
      <c r="B97" s="116"/>
      <c r="C97" s="97"/>
      <c r="D97" s="97"/>
      <c r="E97" s="66" t="s">
        <v>179</v>
      </c>
      <c r="F97" s="16">
        <f t="shared" si="68"/>
        <v>2045.6</v>
      </c>
      <c r="G97" s="16">
        <f t="shared" si="68"/>
        <v>0</v>
      </c>
      <c r="H97" s="13">
        <v>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2045.6</v>
      </c>
      <c r="AQ97" s="12"/>
      <c r="AR97" s="12"/>
      <c r="AS97" s="97"/>
      <c r="AT97" s="97"/>
    </row>
    <row r="98" spans="1:46" s="10" customFormat="1" ht="94.5" customHeight="1">
      <c r="A98" s="114"/>
      <c r="B98" s="117"/>
      <c r="C98" s="86"/>
      <c r="D98" s="86"/>
      <c r="E98" s="35" t="s">
        <v>180</v>
      </c>
      <c r="F98" s="16">
        <f t="shared" si="68"/>
        <v>0</v>
      </c>
      <c r="G98" s="16">
        <f t="shared" si="68"/>
        <v>0</v>
      </c>
      <c r="H98" s="13">
        <v>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86"/>
      <c r="AT98" s="86"/>
    </row>
    <row r="99" spans="1:46" s="8" customFormat="1" ht="17.25" customHeight="1">
      <c r="A99" s="83" t="s">
        <v>79</v>
      </c>
      <c r="B99" s="84" t="s">
        <v>80</v>
      </c>
      <c r="C99" s="96" t="s">
        <v>81</v>
      </c>
      <c r="D99" s="96" t="s">
        <v>41</v>
      </c>
      <c r="E99" s="66" t="s">
        <v>176</v>
      </c>
      <c r="F99" s="16">
        <f>F101+F103</f>
        <v>1851.4999999999998</v>
      </c>
      <c r="G99" s="16">
        <f>G101+G103</f>
        <v>1846.7999999999997</v>
      </c>
      <c r="H99" s="13">
        <f>G99/F99*100</f>
        <v>99.74615176883607</v>
      </c>
      <c r="I99" s="11"/>
      <c r="J99" s="11"/>
      <c r="K99" s="11"/>
      <c r="L99" s="11"/>
      <c r="M99" s="11"/>
      <c r="N99" s="11"/>
      <c r="O99" s="11">
        <f>O101+O103</f>
        <v>864.8</v>
      </c>
      <c r="P99" s="11">
        <f>P101+P103</f>
        <v>462.4</v>
      </c>
      <c r="Q99" s="11">
        <f>P99/O99*100</f>
        <v>53.46901017576319</v>
      </c>
      <c r="R99" s="11">
        <f>R101</f>
        <v>257.4</v>
      </c>
      <c r="S99" s="11">
        <f>S101</f>
        <v>402.4</v>
      </c>
      <c r="T99" s="11">
        <f>S99/R99*100</f>
        <v>156.33255633255635</v>
      </c>
      <c r="U99" s="11">
        <f>U101+U103</f>
        <v>210</v>
      </c>
      <c r="V99" s="11">
        <f>V101</f>
        <v>467.4</v>
      </c>
      <c r="W99" s="11">
        <f>V99/U99*100</f>
        <v>222.57142857142856</v>
      </c>
      <c r="X99" s="11">
        <f>X101</f>
        <v>0</v>
      </c>
      <c r="Y99" s="11">
        <f>Y101</f>
        <v>0</v>
      </c>
      <c r="Z99" s="11"/>
      <c r="AA99" s="11"/>
      <c r="AB99" s="11"/>
      <c r="AC99" s="11"/>
      <c r="AD99" s="11"/>
      <c r="AE99" s="11"/>
      <c r="AF99" s="11"/>
      <c r="AG99" s="11">
        <f>AG103</f>
        <v>0</v>
      </c>
      <c r="AH99" s="11"/>
      <c r="AI99" s="12"/>
      <c r="AJ99" s="11"/>
      <c r="AK99" s="11">
        <f>AK103</f>
        <v>0</v>
      </c>
      <c r="AL99" s="11"/>
      <c r="AM99" s="11"/>
      <c r="AN99" s="11"/>
      <c r="AO99" s="11"/>
      <c r="AP99" s="11">
        <f>AP101</f>
        <v>519.3</v>
      </c>
      <c r="AQ99" s="11">
        <f>AQ101</f>
        <v>519.3</v>
      </c>
      <c r="AR99" s="11">
        <f>AQ99/AP99*100</f>
        <v>100</v>
      </c>
      <c r="AS99" s="96" t="s">
        <v>158</v>
      </c>
      <c r="AT99" s="96" t="s">
        <v>123</v>
      </c>
    </row>
    <row r="100" spans="1:46" s="10" customFormat="1" ht="25.5">
      <c r="A100" s="83"/>
      <c r="B100" s="84"/>
      <c r="C100" s="97"/>
      <c r="D100" s="97"/>
      <c r="E100" s="66" t="s">
        <v>177</v>
      </c>
      <c r="F100" s="16">
        <f>I100+L100+O100+R100+U100+X100+AA100+AD100+AG100+AJ100+AM100+AP100</f>
        <v>0</v>
      </c>
      <c r="G100" s="16">
        <f>J100+M100+P100+S100+V100+AQ100+AK100</f>
        <v>0</v>
      </c>
      <c r="H100" s="13"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97"/>
      <c r="AT100" s="97"/>
    </row>
    <row r="101" spans="1:46" s="10" customFormat="1" ht="89.25">
      <c r="A101" s="83"/>
      <c r="B101" s="84"/>
      <c r="C101" s="97"/>
      <c r="D101" s="97"/>
      <c r="E101" s="66" t="s">
        <v>178</v>
      </c>
      <c r="F101" s="16">
        <f>I101+L101+O101+R101+U101+X101+AA101+AD101+AG101+AJ101+AM101+AP101</f>
        <v>1851.4999999999998</v>
      </c>
      <c r="G101" s="16">
        <f>J101+M101+P101+S101+V101+AQ101+AK101</f>
        <v>1846.7999999999997</v>
      </c>
      <c r="H101" s="13">
        <f>G101/F101*100</f>
        <v>99.74615176883607</v>
      </c>
      <c r="I101" s="12"/>
      <c r="J101" s="12"/>
      <c r="K101" s="12"/>
      <c r="L101" s="12"/>
      <c r="M101" s="12"/>
      <c r="N101" s="12"/>
      <c r="O101" s="12">
        <v>864.8</v>
      </c>
      <c r="P101" s="12">
        <v>462.4</v>
      </c>
      <c r="Q101" s="12">
        <f>P101/O101*100</f>
        <v>53.46901017576319</v>
      </c>
      <c r="R101" s="12">
        <f>54.4+203</f>
        <v>257.4</v>
      </c>
      <c r="S101" s="12">
        <v>402.4</v>
      </c>
      <c r="T101" s="12">
        <f>S101/R101*100</f>
        <v>156.33255633255635</v>
      </c>
      <c r="U101" s="12">
        <v>210</v>
      </c>
      <c r="V101" s="12">
        <v>467.4</v>
      </c>
      <c r="W101" s="12">
        <f>V101/U101*100</f>
        <v>222.57142857142856</v>
      </c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>
        <v>-4.7</v>
      </c>
      <c r="AL101" s="12"/>
      <c r="AM101" s="12"/>
      <c r="AN101" s="12"/>
      <c r="AO101" s="12"/>
      <c r="AP101" s="12">
        <v>519.3</v>
      </c>
      <c r="AQ101" s="12">
        <v>519.3</v>
      </c>
      <c r="AR101" s="12">
        <f>AQ101/AP101*100</f>
        <v>100</v>
      </c>
      <c r="AS101" s="97"/>
      <c r="AT101" s="97"/>
    </row>
    <row r="102" spans="1:46" s="10" customFormat="1" ht="51">
      <c r="A102" s="83"/>
      <c r="B102" s="84"/>
      <c r="C102" s="97"/>
      <c r="D102" s="97"/>
      <c r="E102" s="66" t="s">
        <v>179</v>
      </c>
      <c r="F102" s="16">
        <f>X102+AG102</f>
        <v>0</v>
      </c>
      <c r="G102" s="16">
        <f>AH102+AK102+AN102+AQ102</f>
        <v>0</v>
      </c>
      <c r="H102" s="13"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97"/>
      <c r="AT102" s="97"/>
    </row>
    <row r="103" spans="1:46" s="10" customFormat="1" ht="76.5">
      <c r="A103" s="83"/>
      <c r="B103" s="84"/>
      <c r="C103" s="97"/>
      <c r="D103" s="97"/>
      <c r="E103" s="35" t="s">
        <v>180</v>
      </c>
      <c r="F103" s="16">
        <f>X103+AG103</f>
        <v>0</v>
      </c>
      <c r="G103" s="16">
        <f>AH103+AK103+AN103+AQ103</f>
        <v>0</v>
      </c>
      <c r="H103" s="13"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86"/>
      <c r="AT103" s="86"/>
    </row>
    <row r="104" spans="1:46" s="8" customFormat="1" ht="17.25" customHeight="1">
      <c r="A104" s="83" t="s">
        <v>105</v>
      </c>
      <c r="B104" s="84" t="s">
        <v>106</v>
      </c>
      <c r="C104" s="96" t="s">
        <v>31</v>
      </c>
      <c r="D104" s="96" t="s">
        <v>107</v>
      </c>
      <c r="E104" s="66" t="s">
        <v>176</v>
      </c>
      <c r="F104" s="16">
        <f>F105+F106+F107+F108</f>
        <v>332.29999999999995</v>
      </c>
      <c r="G104" s="16">
        <f>G105+G106+G107+G108</f>
        <v>332.3</v>
      </c>
      <c r="H104" s="13">
        <f>G104/F104*100</f>
        <v>100.00000000000003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>
        <f>X108</f>
        <v>0</v>
      </c>
      <c r="Y104" s="11">
        <f>Y108</f>
        <v>0</v>
      </c>
      <c r="Z104" s="11" t="e">
        <f>Y104/X104*100</f>
        <v>#DIV/0!</v>
      </c>
      <c r="AA104" s="11">
        <f>AA108</f>
        <v>0</v>
      </c>
      <c r="AB104" s="11"/>
      <c r="AC104" s="11"/>
      <c r="AD104" s="11">
        <f>AD108</f>
        <v>0</v>
      </c>
      <c r="AE104" s="11">
        <f>AE108</f>
        <v>0</v>
      </c>
      <c r="AF104" s="11"/>
      <c r="AG104" s="11">
        <f>AG108</f>
        <v>0</v>
      </c>
      <c r="AH104" s="11">
        <f>AH108</f>
        <v>0</v>
      </c>
      <c r="AI104" s="11">
        <f>AI108</f>
        <v>0</v>
      </c>
      <c r="AJ104" s="11"/>
      <c r="AK104" s="11"/>
      <c r="AL104" s="11"/>
      <c r="AM104" s="11"/>
      <c r="AN104" s="11"/>
      <c r="AO104" s="11"/>
      <c r="AP104" s="11">
        <f>AP108</f>
        <v>0</v>
      </c>
      <c r="AQ104" s="11">
        <f>AQ108</f>
        <v>0</v>
      </c>
      <c r="AR104" s="11" t="e">
        <f>AQ104/AP104*100</f>
        <v>#DIV/0!</v>
      </c>
      <c r="AS104" s="96" t="s">
        <v>126</v>
      </c>
      <c r="AT104" s="96"/>
    </row>
    <row r="105" spans="1:46" s="10" customFormat="1" ht="25.5">
      <c r="A105" s="83"/>
      <c r="B105" s="84"/>
      <c r="C105" s="97"/>
      <c r="D105" s="97"/>
      <c r="E105" s="66" t="s">
        <v>177</v>
      </c>
      <c r="F105" s="16">
        <f>I105+L105+O105+R105+U105+X105+AA105+AD105+AG105+AJ105+AM105+AP105</f>
        <v>0</v>
      </c>
      <c r="G105" s="16">
        <f>J105+M105+P105</f>
        <v>0</v>
      </c>
      <c r="H105" s="13">
        <v>0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97"/>
      <c r="AT105" s="97"/>
    </row>
    <row r="106" spans="1:46" s="10" customFormat="1" ht="89.25">
      <c r="A106" s="83"/>
      <c r="B106" s="84"/>
      <c r="C106" s="97"/>
      <c r="D106" s="97"/>
      <c r="E106" s="66" t="s">
        <v>178</v>
      </c>
      <c r="F106" s="16">
        <f>I106+L106+O106+R106+U106+X106+AA106+AD106+AG106+AJ106+AM106+AP106</f>
        <v>0</v>
      </c>
      <c r="G106" s="16">
        <f>J106+M106+P106</f>
        <v>0</v>
      </c>
      <c r="H106" s="13">
        <v>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97"/>
      <c r="AT106" s="97"/>
    </row>
    <row r="107" spans="1:46" s="10" customFormat="1" ht="51">
      <c r="A107" s="83"/>
      <c r="B107" s="84"/>
      <c r="C107" s="97"/>
      <c r="D107" s="97"/>
      <c r="E107" s="66" t="s">
        <v>179</v>
      </c>
      <c r="F107" s="16">
        <f>X107+AG107+AP107+AA107</f>
        <v>332.29999999999995</v>
      </c>
      <c r="G107" s="16">
        <f>Y107+AH107+AQ107+AE107</f>
        <v>332.3</v>
      </c>
      <c r="H107" s="13">
        <f>G107/F107*100</f>
        <v>100.00000000000003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f>118.6</f>
        <v>118.6</v>
      </c>
      <c r="Y107" s="12">
        <v>118.6</v>
      </c>
      <c r="Z107" s="12">
        <f>Y107/X107*100</f>
        <v>100</v>
      </c>
      <c r="AA107" s="12">
        <f>99.6</f>
        <v>99.6</v>
      </c>
      <c r="AB107" s="12"/>
      <c r="AC107" s="12"/>
      <c r="AD107" s="12">
        <v>0</v>
      </c>
      <c r="AE107" s="12">
        <v>87.7</v>
      </c>
      <c r="AF107" s="12"/>
      <c r="AG107" s="12">
        <v>0</v>
      </c>
      <c r="AH107" s="12">
        <v>11.9</v>
      </c>
      <c r="AI107" s="12"/>
      <c r="AJ107" s="12"/>
      <c r="AK107" s="12"/>
      <c r="AL107" s="12"/>
      <c r="AM107" s="12"/>
      <c r="AN107" s="12"/>
      <c r="AO107" s="12"/>
      <c r="AP107" s="12">
        <f>14.1+100</f>
        <v>114.1</v>
      </c>
      <c r="AQ107" s="12">
        <v>114.1</v>
      </c>
      <c r="AR107" s="12">
        <f>AQ107/AP107*100</f>
        <v>100</v>
      </c>
      <c r="AS107" s="97"/>
      <c r="AT107" s="97"/>
    </row>
    <row r="108" spans="1:46" s="10" customFormat="1" ht="76.5">
      <c r="A108" s="83"/>
      <c r="B108" s="84"/>
      <c r="C108" s="97"/>
      <c r="D108" s="97"/>
      <c r="E108" s="35" t="s">
        <v>180</v>
      </c>
      <c r="F108" s="16">
        <f>X108+AG108+AP108+AA108</f>
        <v>0</v>
      </c>
      <c r="G108" s="16">
        <f>Y108+AH108+AQ108+AE108</f>
        <v>0</v>
      </c>
      <c r="H108" s="13">
        <v>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86"/>
      <c r="AT108" s="86"/>
    </row>
    <row r="109" spans="1:46" s="10" customFormat="1" ht="21.75" customHeight="1">
      <c r="A109" s="37" t="s">
        <v>82</v>
      </c>
      <c r="B109" s="118" t="s">
        <v>101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20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55"/>
      <c r="AT109" s="62"/>
    </row>
    <row r="110" spans="1:46" s="6" customFormat="1" ht="15">
      <c r="A110" s="101" t="s">
        <v>83</v>
      </c>
      <c r="B110" s="102" t="s">
        <v>84</v>
      </c>
      <c r="C110" s="73"/>
      <c r="D110" s="73"/>
      <c r="E110" s="64" t="s">
        <v>176</v>
      </c>
      <c r="F110" s="16">
        <f>F112+F113</f>
        <v>230338.8</v>
      </c>
      <c r="G110" s="16">
        <f>G112+G113</f>
        <v>230338.8</v>
      </c>
      <c r="H110" s="16">
        <f aca="true" t="shared" si="69" ref="H110:H125">G110/F110*100</f>
        <v>100</v>
      </c>
      <c r="I110" s="11">
        <f>I112+I113</f>
        <v>3519</v>
      </c>
      <c r="J110" s="11">
        <f aca="true" t="shared" si="70" ref="J110:AQ110">J112+J113</f>
        <v>3519</v>
      </c>
      <c r="K110" s="16">
        <f>J110/I110*100</f>
        <v>100</v>
      </c>
      <c r="L110" s="11">
        <f t="shared" si="70"/>
        <v>18152.300000000003</v>
      </c>
      <c r="M110" s="11">
        <f t="shared" si="70"/>
        <v>16152.3</v>
      </c>
      <c r="N110" s="16">
        <f>M110/L110*100</f>
        <v>88.9821124595781</v>
      </c>
      <c r="O110" s="11">
        <f t="shared" si="70"/>
        <v>19038.6</v>
      </c>
      <c r="P110" s="11">
        <f t="shared" si="70"/>
        <v>20221.399999999998</v>
      </c>
      <c r="Q110" s="16">
        <f aca="true" t="shared" si="71" ref="Q110:Q122">P110/O110*100</f>
        <v>106.21264168583824</v>
      </c>
      <c r="R110" s="11">
        <f t="shared" si="70"/>
        <v>20793</v>
      </c>
      <c r="S110" s="11">
        <f t="shared" si="70"/>
        <v>21357.4</v>
      </c>
      <c r="T110" s="11">
        <f>S110/R110*100</f>
        <v>102.7143750300582</v>
      </c>
      <c r="U110" s="11">
        <f t="shared" si="70"/>
        <v>26472.1</v>
      </c>
      <c r="V110" s="11">
        <f t="shared" si="70"/>
        <v>28672.1</v>
      </c>
      <c r="W110" s="11">
        <f>V110/U110*100</f>
        <v>108.31063648142762</v>
      </c>
      <c r="X110" s="11">
        <f t="shared" si="70"/>
        <v>25270.2</v>
      </c>
      <c r="Y110" s="11">
        <f t="shared" si="70"/>
        <v>23323</v>
      </c>
      <c r="Z110" s="11">
        <f aca="true" t="shared" si="72" ref="Z110:Z118">Y110/X110*100</f>
        <v>92.29448124668582</v>
      </c>
      <c r="AA110" s="11">
        <f t="shared" si="70"/>
        <v>28864.699999999997</v>
      </c>
      <c r="AB110" s="11">
        <f t="shared" si="70"/>
        <v>28996.8</v>
      </c>
      <c r="AC110" s="11">
        <f aca="true" t="shared" si="73" ref="AC110:AC118">AB110/AA110*100</f>
        <v>100.45765242666648</v>
      </c>
      <c r="AD110" s="11">
        <f t="shared" si="70"/>
        <v>7105.5</v>
      </c>
      <c r="AE110" s="11">
        <f t="shared" si="70"/>
        <v>1605.6</v>
      </c>
      <c r="AF110" s="11"/>
      <c r="AG110" s="11">
        <f t="shared" si="70"/>
        <v>11148.5</v>
      </c>
      <c r="AH110" s="11">
        <f t="shared" si="70"/>
        <v>15622.599999999999</v>
      </c>
      <c r="AI110" s="11">
        <f aca="true" t="shared" si="74" ref="AI110:AI122">AH110/AG110*100</f>
        <v>140.13185630353857</v>
      </c>
      <c r="AJ110" s="11">
        <f t="shared" si="70"/>
        <v>13568.4</v>
      </c>
      <c r="AK110" s="11">
        <f t="shared" si="70"/>
        <v>16317.4</v>
      </c>
      <c r="AL110" s="11">
        <f>AK110/AJ110*100</f>
        <v>120.26031072197163</v>
      </c>
      <c r="AM110" s="11">
        <f t="shared" si="70"/>
        <v>16947.4</v>
      </c>
      <c r="AN110" s="11">
        <f t="shared" si="70"/>
        <v>16058.1</v>
      </c>
      <c r="AO110" s="11">
        <f aca="true" t="shared" si="75" ref="AO110:AO122">AN110/AM110*100</f>
        <v>94.75258741753898</v>
      </c>
      <c r="AP110" s="11">
        <f t="shared" si="70"/>
        <v>39459.100000000006</v>
      </c>
      <c r="AQ110" s="11">
        <f t="shared" si="70"/>
        <v>38493.1</v>
      </c>
      <c r="AR110" s="11">
        <f>AQ110/AP110*100</f>
        <v>97.5518955069933</v>
      </c>
      <c r="AS110" s="67"/>
      <c r="AT110" s="67"/>
    </row>
    <row r="111" spans="1:46" s="6" customFormat="1" ht="25.5">
      <c r="A111" s="101"/>
      <c r="B111" s="102"/>
      <c r="C111" s="73"/>
      <c r="D111" s="73"/>
      <c r="E111" s="64" t="s">
        <v>177</v>
      </c>
      <c r="F111" s="16">
        <f aca="true" t="shared" si="76" ref="F111:G113">I111+L111+O111+R111+U111+X111+AA111+AD111+AG111+AJ111+AM111+AP111</f>
        <v>0</v>
      </c>
      <c r="G111" s="16">
        <f t="shared" si="76"/>
        <v>0</v>
      </c>
      <c r="H111" s="16">
        <v>0</v>
      </c>
      <c r="I111" s="11"/>
      <c r="J111" s="11"/>
      <c r="K111" s="16"/>
      <c r="L111" s="11"/>
      <c r="M111" s="11"/>
      <c r="N111" s="16"/>
      <c r="O111" s="11"/>
      <c r="P111" s="11"/>
      <c r="Q111" s="16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67"/>
      <c r="AT111" s="67"/>
    </row>
    <row r="112" spans="1:46" s="6" customFormat="1" ht="89.25">
      <c r="A112" s="101"/>
      <c r="B112" s="102"/>
      <c r="C112" s="73"/>
      <c r="D112" s="73"/>
      <c r="E112" s="64" t="s">
        <v>178</v>
      </c>
      <c r="F112" s="16">
        <f t="shared" si="76"/>
        <v>91222.79999999999</v>
      </c>
      <c r="G112" s="16">
        <f t="shared" si="76"/>
        <v>91222.79999999999</v>
      </c>
      <c r="H112" s="16">
        <f t="shared" si="69"/>
        <v>100</v>
      </c>
      <c r="I112" s="11">
        <f>I116+I120</f>
        <v>0</v>
      </c>
      <c r="J112" s="11">
        <f>J116+J120</f>
        <v>0</v>
      </c>
      <c r="K112" s="16"/>
      <c r="L112" s="11">
        <f>L116+L120</f>
        <v>2600</v>
      </c>
      <c r="M112" s="11">
        <f>M116+M120</f>
        <v>600</v>
      </c>
      <c r="N112" s="16"/>
      <c r="O112" s="11">
        <f>O116+O120</f>
        <v>4650</v>
      </c>
      <c r="P112" s="11">
        <f>P116+P120</f>
        <v>5832.8</v>
      </c>
      <c r="Q112" s="16">
        <f t="shared" si="71"/>
        <v>125.43655913978495</v>
      </c>
      <c r="R112" s="11">
        <f>R116+R120</f>
        <v>3700</v>
      </c>
      <c r="S112" s="11">
        <f>S116+S120</f>
        <v>4464.4</v>
      </c>
      <c r="T112" s="11">
        <f>S112/R112*100</f>
        <v>120.65945945945944</v>
      </c>
      <c r="U112" s="11">
        <f>U116+U120</f>
        <v>6258.6</v>
      </c>
      <c r="V112" s="11">
        <f>V116+V120</f>
        <v>6311.4</v>
      </c>
      <c r="W112" s="11">
        <f>V112/U112*100</f>
        <v>100.84363915252612</v>
      </c>
      <c r="X112" s="11">
        <f>X116+X120</f>
        <v>4000</v>
      </c>
      <c r="Y112" s="11">
        <f>Y116+Y120</f>
        <v>4000</v>
      </c>
      <c r="Z112" s="11">
        <f t="shared" si="72"/>
        <v>100</v>
      </c>
      <c r="AA112" s="11">
        <f>AA116+AA120</f>
        <v>4500</v>
      </c>
      <c r="AB112" s="11">
        <f>AB116+AB120</f>
        <v>4500</v>
      </c>
      <c r="AC112" s="11">
        <f t="shared" si="73"/>
        <v>100</v>
      </c>
      <c r="AD112" s="11">
        <f>AD116+AD120</f>
        <v>5500</v>
      </c>
      <c r="AE112" s="11">
        <f>AE116+AE120</f>
        <v>0</v>
      </c>
      <c r="AF112" s="11"/>
      <c r="AG112" s="11">
        <f>AG116+AG120</f>
        <v>8241</v>
      </c>
      <c r="AH112" s="11">
        <f>AH116+AH120</f>
        <v>7715.2</v>
      </c>
      <c r="AI112" s="11">
        <f t="shared" si="74"/>
        <v>93.61970634631719</v>
      </c>
      <c r="AJ112" s="11">
        <f>AJ116+AJ120</f>
        <v>10700</v>
      </c>
      <c r="AK112" s="11">
        <f>AK116+AK120</f>
        <v>19744.3</v>
      </c>
      <c r="AL112" s="11">
        <f>AK112/AJ112*100</f>
        <v>184.52616822429906</v>
      </c>
      <c r="AM112" s="11">
        <f>AM116+AM120</f>
        <v>12823.3</v>
      </c>
      <c r="AN112" s="11">
        <f>AN116+AN120</f>
        <v>11785</v>
      </c>
      <c r="AO112" s="11">
        <f t="shared" si="75"/>
        <v>91.90302028339039</v>
      </c>
      <c r="AP112" s="11">
        <f>AP116+AP120</f>
        <v>28249.9</v>
      </c>
      <c r="AQ112" s="11">
        <f>AQ116+AQ120</f>
        <v>26269.699999999997</v>
      </c>
      <c r="AR112" s="11">
        <f>AQ112/AP112*100</f>
        <v>92.99041766519525</v>
      </c>
      <c r="AS112" s="67"/>
      <c r="AT112" s="67"/>
    </row>
    <row r="113" spans="1:46" s="6" customFormat="1" ht="51">
      <c r="A113" s="101"/>
      <c r="B113" s="102"/>
      <c r="C113" s="73"/>
      <c r="D113" s="73"/>
      <c r="E113" s="64" t="s">
        <v>179</v>
      </c>
      <c r="F113" s="16">
        <f t="shared" si="76"/>
        <v>139116</v>
      </c>
      <c r="G113" s="16">
        <f t="shared" si="76"/>
        <v>139116</v>
      </c>
      <c r="H113" s="16">
        <f t="shared" si="69"/>
        <v>100</v>
      </c>
      <c r="I113" s="11">
        <f>I117+I121</f>
        <v>3519</v>
      </c>
      <c r="J113" s="11">
        <f>J117+J121</f>
        <v>3519</v>
      </c>
      <c r="K113" s="16">
        <f>J113/I113*100</f>
        <v>100</v>
      </c>
      <c r="L113" s="11">
        <f>L117+L121</f>
        <v>15552.300000000001</v>
      </c>
      <c r="M113" s="11">
        <f>M117+M121</f>
        <v>15552.3</v>
      </c>
      <c r="N113" s="16">
        <f>M113/L113*100</f>
        <v>99.99999999999999</v>
      </c>
      <c r="O113" s="11">
        <f>O117+O121</f>
        <v>14388.6</v>
      </c>
      <c r="P113" s="11">
        <f>P117+P121</f>
        <v>14388.599999999999</v>
      </c>
      <c r="Q113" s="16">
        <f t="shared" si="71"/>
        <v>99.99999999999999</v>
      </c>
      <c r="R113" s="11">
        <f>R117+R121</f>
        <v>17093</v>
      </c>
      <c r="S113" s="11">
        <f>S117+S121</f>
        <v>16893</v>
      </c>
      <c r="T113" s="11">
        <f>S113/R113*100</f>
        <v>98.82993038085766</v>
      </c>
      <c r="U113" s="11">
        <f>U117+U121</f>
        <v>20213.5</v>
      </c>
      <c r="V113" s="11">
        <f>V117+V121</f>
        <v>22360.7</v>
      </c>
      <c r="W113" s="11">
        <f>V113/U113*100</f>
        <v>110.62260370544439</v>
      </c>
      <c r="X113" s="11">
        <f>X117+X121</f>
        <v>21270.2</v>
      </c>
      <c r="Y113" s="11">
        <f>Y117+Y121</f>
        <v>19323</v>
      </c>
      <c r="Z113" s="11">
        <f t="shared" si="72"/>
        <v>90.84540812968378</v>
      </c>
      <c r="AA113" s="11">
        <f>AA117+AA121</f>
        <v>24364.699999999997</v>
      </c>
      <c r="AB113" s="11">
        <f>AB117+AB121</f>
        <v>24496.8</v>
      </c>
      <c r="AC113" s="11">
        <f t="shared" si="73"/>
        <v>100.54217782283385</v>
      </c>
      <c r="AD113" s="11">
        <f>AD117+AD121</f>
        <v>1605.5</v>
      </c>
      <c r="AE113" s="11">
        <f>AE117+AE121</f>
        <v>1605.6</v>
      </c>
      <c r="AF113" s="11"/>
      <c r="AG113" s="11">
        <f>AG117+AG121</f>
        <v>2907.5</v>
      </c>
      <c r="AH113" s="11">
        <f>AH117+AH121</f>
        <v>7907.4</v>
      </c>
      <c r="AI113" s="11">
        <f t="shared" si="74"/>
        <v>271.96560619088564</v>
      </c>
      <c r="AJ113" s="11">
        <f>AJ117+AJ121</f>
        <v>2868.3999999999996</v>
      </c>
      <c r="AK113" s="11">
        <f>AK117+AK121</f>
        <v>-3426.9</v>
      </c>
      <c r="AL113" s="11">
        <f>AK113/AJ113*100</f>
        <v>-119.4707851066797</v>
      </c>
      <c r="AM113" s="11">
        <f>AM117+AM121</f>
        <v>4124.1</v>
      </c>
      <c r="AN113" s="11">
        <f>AN117+AN121</f>
        <v>4273.1</v>
      </c>
      <c r="AO113" s="11">
        <f t="shared" si="75"/>
        <v>103.61290948328119</v>
      </c>
      <c r="AP113" s="11">
        <f>AP117+AP121</f>
        <v>11209.2</v>
      </c>
      <c r="AQ113" s="11">
        <f>AQ117+AQ121</f>
        <v>12223.400000000001</v>
      </c>
      <c r="AR113" s="11">
        <f>AQ113/AP113*100</f>
        <v>109.04792491881669</v>
      </c>
      <c r="AS113" s="67"/>
      <c r="AT113" s="67"/>
    </row>
    <row r="114" spans="1:46" s="8" customFormat="1" ht="17.25" customHeight="1">
      <c r="A114" s="78" t="s">
        <v>85</v>
      </c>
      <c r="B114" s="84" t="s">
        <v>86</v>
      </c>
      <c r="C114" s="78" t="s">
        <v>31</v>
      </c>
      <c r="D114" s="78" t="s">
        <v>41</v>
      </c>
      <c r="E114" s="66" t="s">
        <v>176</v>
      </c>
      <c r="F114" s="16">
        <f>F116+F117</f>
        <v>157339.5</v>
      </c>
      <c r="G114" s="16">
        <f>G116+G117</f>
        <v>157339.5</v>
      </c>
      <c r="H114" s="16">
        <f t="shared" si="69"/>
        <v>100</v>
      </c>
      <c r="I114" s="11">
        <f>I116+I117</f>
        <v>2200</v>
      </c>
      <c r="J114" s="11">
        <f aca="true" t="shared" si="77" ref="J114:AH114">J116+J117</f>
        <v>2200</v>
      </c>
      <c r="K114" s="16">
        <f>J114/I114*100</f>
        <v>100</v>
      </c>
      <c r="L114" s="11">
        <f t="shared" si="77"/>
        <v>12700.6</v>
      </c>
      <c r="M114" s="11">
        <f t="shared" si="77"/>
        <v>10700.6</v>
      </c>
      <c r="N114" s="16">
        <f>M114/L114*100</f>
        <v>84.25271247027699</v>
      </c>
      <c r="O114" s="11">
        <f t="shared" si="77"/>
        <v>12687.4</v>
      </c>
      <c r="P114" s="11">
        <f t="shared" si="77"/>
        <v>13870.2</v>
      </c>
      <c r="Q114" s="16">
        <f t="shared" si="71"/>
        <v>109.32263505525168</v>
      </c>
      <c r="R114" s="11">
        <f t="shared" si="77"/>
        <v>14200</v>
      </c>
      <c r="S114" s="11">
        <f t="shared" si="77"/>
        <v>14964.4</v>
      </c>
      <c r="T114" s="11">
        <f aca="true" t="shared" si="78" ref="T114:T124">S114/R114*100</f>
        <v>105.38309859154928</v>
      </c>
      <c r="U114" s="11">
        <f t="shared" si="77"/>
        <v>13500</v>
      </c>
      <c r="V114" s="11">
        <f t="shared" si="77"/>
        <v>15500</v>
      </c>
      <c r="W114" s="11">
        <f aca="true" t="shared" si="79" ref="W114:W124">V114/U114*100</f>
        <v>114.81481481481481</v>
      </c>
      <c r="X114" s="11">
        <f t="shared" si="77"/>
        <v>16500</v>
      </c>
      <c r="Y114" s="11">
        <f t="shared" si="77"/>
        <v>14552.8</v>
      </c>
      <c r="Z114" s="11">
        <f t="shared" si="72"/>
        <v>88.19878787878788</v>
      </c>
      <c r="AA114" s="11">
        <f t="shared" si="77"/>
        <v>26367.899999999998</v>
      </c>
      <c r="AB114" s="11">
        <f t="shared" si="77"/>
        <v>26500</v>
      </c>
      <c r="AC114" s="11">
        <f t="shared" si="73"/>
        <v>100.50098794367395</v>
      </c>
      <c r="AD114" s="11">
        <f t="shared" si="77"/>
        <v>5500</v>
      </c>
      <c r="AE114" s="11">
        <f t="shared" si="77"/>
        <v>0</v>
      </c>
      <c r="AF114" s="11"/>
      <c r="AG114" s="11">
        <f t="shared" si="77"/>
        <v>6000</v>
      </c>
      <c r="AH114" s="11">
        <f t="shared" si="77"/>
        <v>10474.2</v>
      </c>
      <c r="AI114" s="11">
        <f t="shared" si="74"/>
        <v>174.57</v>
      </c>
      <c r="AJ114" s="11">
        <f>AJ116+AJ117</f>
        <v>9500</v>
      </c>
      <c r="AK114" s="11">
        <f aca="true" t="shared" si="80" ref="AK114:AQ114">AK116+AK117</f>
        <v>12249</v>
      </c>
      <c r="AL114" s="11">
        <f>AK114/AJ114*100</f>
        <v>128.93684210526314</v>
      </c>
      <c r="AM114" s="11">
        <f t="shared" si="80"/>
        <v>11142.7</v>
      </c>
      <c r="AN114" s="11">
        <f t="shared" si="80"/>
        <v>10253.4</v>
      </c>
      <c r="AO114" s="11">
        <f t="shared" si="75"/>
        <v>92.01899001139758</v>
      </c>
      <c r="AP114" s="11">
        <f t="shared" si="80"/>
        <v>27040.9</v>
      </c>
      <c r="AQ114" s="11">
        <f t="shared" si="80"/>
        <v>26074.9</v>
      </c>
      <c r="AR114" s="11">
        <f aca="true" t="shared" si="81" ref="AR114:AR121">AQ114/AP114*100</f>
        <v>96.42763369562404</v>
      </c>
      <c r="AS114" s="87" t="s">
        <v>110</v>
      </c>
      <c r="AT114" s="96"/>
    </row>
    <row r="115" spans="1:46" s="10" customFormat="1" ht="25.5">
      <c r="A115" s="78"/>
      <c r="B115" s="84"/>
      <c r="C115" s="78"/>
      <c r="D115" s="78"/>
      <c r="E115" s="66" t="s">
        <v>177</v>
      </c>
      <c r="F115" s="16">
        <f aca="true" t="shared" si="82" ref="F115:G117">I115+L115+O115+R115+U115+X115+AA115+AD115+AG115+AJ115+AM115+AP115</f>
        <v>0</v>
      </c>
      <c r="G115" s="16">
        <f t="shared" si="82"/>
        <v>0</v>
      </c>
      <c r="H115" s="16">
        <v>0</v>
      </c>
      <c r="I115" s="12"/>
      <c r="J115" s="12"/>
      <c r="K115" s="14"/>
      <c r="L115" s="12"/>
      <c r="M115" s="12"/>
      <c r="N115" s="14"/>
      <c r="O115" s="12"/>
      <c r="P115" s="12"/>
      <c r="Q115" s="1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88"/>
      <c r="AT115" s="97"/>
    </row>
    <row r="116" spans="1:46" s="10" customFormat="1" ht="89.25">
      <c r="A116" s="78"/>
      <c r="B116" s="84"/>
      <c r="C116" s="78"/>
      <c r="D116" s="78"/>
      <c r="E116" s="66" t="s">
        <v>178</v>
      </c>
      <c r="F116" s="16">
        <f t="shared" si="82"/>
        <v>74492.6</v>
      </c>
      <c r="G116" s="16">
        <f t="shared" si="82"/>
        <v>74492.6</v>
      </c>
      <c r="H116" s="16">
        <f t="shared" si="69"/>
        <v>100</v>
      </c>
      <c r="I116" s="12">
        <v>0</v>
      </c>
      <c r="J116" s="12"/>
      <c r="K116" s="14"/>
      <c r="L116" s="12">
        <v>2000</v>
      </c>
      <c r="M116" s="12">
        <v>0</v>
      </c>
      <c r="N116" s="14"/>
      <c r="O116" s="12">
        <v>4000</v>
      </c>
      <c r="P116" s="12">
        <v>5182.8</v>
      </c>
      <c r="Q116" s="14">
        <f t="shared" si="71"/>
        <v>129.57</v>
      </c>
      <c r="R116" s="12">
        <v>3000</v>
      </c>
      <c r="S116" s="12">
        <v>3764.4</v>
      </c>
      <c r="T116" s="12">
        <f t="shared" si="78"/>
        <v>125.48000000000002</v>
      </c>
      <c r="U116" s="12">
        <v>2500</v>
      </c>
      <c r="V116" s="12">
        <v>2552.8</v>
      </c>
      <c r="W116" s="12">
        <f t="shared" si="79"/>
        <v>102.11200000000001</v>
      </c>
      <c r="X116" s="12">
        <v>4000</v>
      </c>
      <c r="Y116" s="12">
        <v>4000</v>
      </c>
      <c r="Z116" s="12">
        <f t="shared" si="72"/>
        <v>100</v>
      </c>
      <c r="AA116" s="12">
        <v>4500</v>
      </c>
      <c r="AB116" s="12">
        <v>4500</v>
      </c>
      <c r="AC116" s="12">
        <f t="shared" si="73"/>
        <v>100</v>
      </c>
      <c r="AD116" s="12">
        <f>3500+2000</f>
        <v>5500</v>
      </c>
      <c r="AE116" s="12">
        <v>0</v>
      </c>
      <c r="AF116" s="12"/>
      <c r="AG116" s="12">
        <f>3000+3000</f>
        <v>6000</v>
      </c>
      <c r="AH116" s="12">
        <v>5474.2</v>
      </c>
      <c r="AI116" s="12">
        <f t="shared" si="74"/>
        <v>91.23666666666666</v>
      </c>
      <c r="AJ116" s="12">
        <f>6500+3000</f>
        <v>9500</v>
      </c>
      <c r="AK116" s="12">
        <v>18544.3</v>
      </c>
      <c r="AL116" s="12">
        <f>AK116/AJ116*100</f>
        <v>195.20315789473685</v>
      </c>
      <c r="AM116" s="12">
        <f>5500+4794.6</f>
        <v>10294.6</v>
      </c>
      <c r="AN116" s="12">
        <v>9256.3</v>
      </c>
      <c r="AO116" s="12">
        <f t="shared" si="75"/>
        <v>89.91412973792085</v>
      </c>
      <c r="AP116" s="12">
        <f>25909.8-12794.6-4213.7+14296.5</f>
        <v>23198</v>
      </c>
      <c r="AQ116" s="12">
        <v>21217.8</v>
      </c>
      <c r="AR116" s="12">
        <f t="shared" si="81"/>
        <v>91.46391930338822</v>
      </c>
      <c r="AS116" s="88"/>
      <c r="AT116" s="97"/>
    </row>
    <row r="117" spans="1:46" s="10" customFormat="1" ht="51">
      <c r="A117" s="78"/>
      <c r="B117" s="84"/>
      <c r="C117" s="78"/>
      <c r="D117" s="78"/>
      <c r="E117" s="66" t="s">
        <v>179</v>
      </c>
      <c r="F117" s="16">
        <f t="shared" si="82"/>
        <v>82846.9</v>
      </c>
      <c r="G117" s="16">
        <f t="shared" si="82"/>
        <v>82846.90000000001</v>
      </c>
      <c r="H117" s="16">
        <f t="shared" si="69"/>
        <v>100.00000000000003</v>
      </c>
      <c r="I117" s="12">
        <v>2200</v>
      </c>
      <c r="J117" s="12">
        <v>2200</v>
      </c>
      <c r="K117" s="14">
        <f>J117/I117*100</f>
        <v>100</v>
      </c>
      <c r="L117" s="12">
        <f>6200+4500.6</f>
        <v>10700.6</v>
      </c>
      <c r="M117" s="12">
        <v>10700.6</v>
      </c>
      <c r="N117" s="14">
        <f>M117/L117*100</f>
        <v>100</v>
      </c>
      <c r="O117" s="12">
        <f>5100+3587.4</f>
        <v>8687.4</v>
      </c>
      <c r="P117" s="12">
        <v>8687.4</v>
      </c>
      <c r="Q117" s="14">
        <f t="shared" si="71"/>
        <v>100</v>
      </c>
      <c r="R117" s="12">
        <f>12200-1000</f>
        <v>11200</v>
      </c>
      <c r="S117" s="12">
        <v>11200</v>
      </c>
      <c r="T117" s="12">
        <f t="shared" si="78"/>
        <v>100</v>
      </c>
      <c r="U117" s="12">
        <f>10300+700</f>
        <v>11000</v>
      </c>
      <c r="V117" s="12">
        <v>12947.2</v>
      </c>
      <c r="W117" s="12">
        <f t="shared" si="79"/>
        <v>117.7018181818182</v>
      </c>
      <c r="X117" s="12">
        <v>12500</v>
      </c>
      <c r="Y117" s="12">
        <v>10552.8</v>
      </c>
      <c r="Z117" s="12">
        <f t="shared" si="72"/>
        <v>84.4224</v>
      </c>
      <c r="AA117" s="12">
        <f>22000+1999.1-2131.2</f>
        <v>21867.899999999998</v>
      </c>
      <c r="AB117" s="12">
        <v>22000</v>
      </c>
      <c r="AC117" s="12">
        <f t="shared" si="73"/>
        <v>100.60408178197267</v>
      </c>
      <c r="AD117" s="12">
        <f>6300+1000.9-4241-3059.9</f>
        <v>0</v>
      </c>
      <c r="AE117" s="12">
        <v>0</v>
      </c>
      <c r="AF117" s="12"/>
      <c r="AG117" s="12">
        <f>5200-1000-4200</f>
        <v>0</v>
      </c>
      <c r="AH117" s="12">
        <v>5000</v>
      </c>
      <c r="AI117" s="12"/>
      <c r="AJ117" s="12">
        <f>8700-6000-2700</f>
        <v>0</v>
      </c>
      <c r="AK117" s="12">
        <f>2186.8-8482.1</f>
        <v>-6295.3</v>
      </c>
      <c r="AL117" s="12"/>
      <c r="AM117" s="12">
        <f>4200-1994.6-1357.3</f>
        <v>848.1000000000001</v>
      </c>
      <c r="AN117" s="12">
        <v>997.1</v>
      </c>
      <c r="AO117" s="12">
        <f t="shared" si="75"/>
        <v>117.56868293833274</v>
      </c>
      <c r="AP117" s="12">
        <f>1793.4-1793.4+4241-848+450-0.1</f>
        <v>3842.9</v>
      </c>
      <c r="AQ117" s="12">
        <v>4857.1</v>
      </c>
      <c r="AR117" s="12">
        <f t="shared" si="81"/>
        <v>126.3915272320383</v>
      </c>
      <c r="AS117" s="89"/>
      <c r="AT117" s="86"/>
    </row>
    <row r="118" spans="1:46" s="8" customFormat="1" ht="15.75" customHeight="1">
      <c r="A118" s="78" t="s">
        <v>87</v>
      </c>
      <c r="B118" s="84" t="s">
        <v>88</v>
      </c>
      <c r="C118" s="72" t="s">
        <v>63</v>
      </c>
      <c r="D118" s="78" t="s">
        <v>41</v>
      </c>
      <c r="E118" s="66" t="s">
        <v>176</v>
      </c>
      <c r="F118" s="16">
        <f>F120+F121</f>
        <v>72999.30000000002</v>
      </c>
      <c r="G118" s="16">
        <f>G120+G121</f>
        <v>72999.30000000002</v>
      </c>
      <c r="H118" s="16">
        <f t="shared" si="69"/>
        <v>100</v>
      </c>
      <c r="I118" s="11">
        <f>I120+I121</f>
        <v>1319</v>
      </c>
      <c r="J118" s="11">
        <f aca="true" t="shared" si="83" ref="J118:AH118">J120+J121</f>
        <v>1319</v>
      </c>
      <c r="K118" s="16">
        <f>J118/I118*100</f>
        <v>100</v>
      </c>
      <c r="L118" s="11">
        <f t="shared" si="83"/>
        <v>5451.700000000001</v>
      </c>
      <c r="M118" s="11">
        <f t="shared" si="83"/>
        <v>5451.7</v>
      </c>
      <c r="N118" s="16">
        <f>M118/L118*100</f>
        <v>99.99999999999997</v>
      </c>
      <c r="O118" s="11">
        <f t="shared" si="83"/>
        <v>6351.200000000001</v>
      </c>
      <c r="P118" s="11">
        <f t="shared" si="83"/>
        <v>6351.2</v>
      </c>
      <c r="Q118" s="16">
        <f t="shared" si="71"/>
        <v>99.99999999999999</v>
      </c>
      <c r="R118" s="11">
        <f t="shared" si="83"/>
        <v>6593</v>
      </c>
      <c r="S118" s="11">
        <f t="shared" si="83"/>
        <v>6393</v>
      </c>
      <c r="T118" s="11">
        <f t="shared" si="78"/>
        <v>96.96647959957531</v>
      </c>
      <c r="U118" s="11">
        <f t="shared" si="83"/>
        <v>12972.1</v>
      </c>
      <c r="V118" s="11">
        <f t="shared" si="83"/>
        <v>13172.1</v>
      </c>
      <c r="W118" s="11">
        <f t="shared" si="79"/>
        <v>101.5417704149675</v>
      </c>
      <c r="X118" s="11">
        <f t="shared" si="83"/>
        <v>8770.2</v>
      </c>
      <c r="Y118" s="11">
        <f t="shared" si="83"/>
        <v>8770.2</v>
      </c>
      <c r="Z118" s="11">
        <f t="shared" si="72"/>
        <v>100</v>
      </c>
      <c r="AA118" s="11">
        <f t="shared" si="83"/>
        <v>2496.8</v>
      </c>
      <c r="AB118" s="11">
        <f t="shared" si="83"/>
        <v>2496.8</v>
      </c>
      <c r="AC118" s="11">
        <f t="shared" si="73"/>
        <v>100</v>
      </c>
      <c r="AD118" s="11">
        <f t="shared" si="83"/>
        <v>1605.5</v>
      </c>
      <c r="AE118" s="11">
        <f t="shared" si="83"/>
        <v>1605.6</v>
      </c>
      <c r="AF118" s="11">
        <f>AE118/AD118*100</f>
        <v>100.00622858922455</v>
      </c>
      <c r="AG118" s="11">
        <f t="shared" si="83"/>
        <v>5148.5</v>
      </c>
      <c r="AH118" s="11">
        <f t="shared" si="83"/>
        <v>5148.4</v>
      </c>
      <c r="AI118" s="11">
        <f t="shared" si="74"/>
        <v>99.99805768670485</v>
      </c>
      <c r="AJ118" s="11">
        <f>AJ120+AJ121</f>
        <v>4068.3999999999996</v>
      </c>
      <c r="AK118" s="11">
        <f aca="true" t="shared" si="84" ref="AK118:AQ118">AK120+AK121</f>
        <v>4068.4</v>
      </c>
      <c r="AL118" s="11">
        <f>AK118/AJ118*100</f>
        <v>100.00000000000003</v>
      </c>
      <c r="AM118" s="11">
        <f t="shared" si="84"/>
        <v>5804.7</v>
      </c>
      <c r="AN118" s="11">
        <f t="shared" si="84"/>
        <v>5804.7</v>
      </c>
      <c r="AO118" s="11">
        <f t="shared" si="75"/>
        <v>100</v>
      </c>
      <c r="AP118" s="11">
        <f t="shared" si="84"/>
        <v>12418.2</v>
      </c>
      <c r="AQ118" s="11">
        <f t="shared" si="84"/>
        <v>12418.2</v>
      </c>
      <c r="AR118" s="11">
        <f t="shared" si="81"/>
        <v>100</v>
      </c>
      <c r="AS118" s="96" t="s">
        <v>111</v>
      </c>
      <c r="AT118" s="96"/>
    </row>
    <row r="119" spans="1:46" s="10" customFormat="1" ht="25.5">
      <c r="A119" s="78"/>
      <c r="B119" s="84"/>
      <c r="C119" s="72"/>
      <c r="D119" s="78"/>
      <c r="E119" s="66" t="s">
        <v>177</v>
      </c>
      <c r="F119" s="16">
        <f aca="true" t="shared" si="85" ref="F119:G121">I119+L119+O119+R119+U119+X119+AA119+AD119+AG119+AJ119+AM119+AP119</f>
        <v>0</v>
      </c>
      <c r="G119" s="16">
        <f t="shared" si="85"/>
        <v>0</v>
      </c>
      <c r="H119" s="16">
        <v>0</v>
      </c>
      <c r="I119" s="12"/>
      <c r="J119" s="12"/>
      <c r="K119" s="12"/>
      <c r="L119" s="12"/>
      <c r="M119" s="12"/>
      <c r="N119" s="14"/>
      <c r="O119" s="12"/>
      <c r="P119" s="12"/>
      <c r="Q119" s="1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97"/>
      <c r="AT119" s="97"/>
    </row>
    <row r="120" spans="1:46" s="10" customFormat="1" ht="89.25">
      <c r="A120" s="78"/>
      <c r="B120" s="84"/>
      <c r="C120" s="72"/>
      <c r="D120" s="78"/>
      <c r="E120" s="66" t="s">
        <v>178</v>
      </c>
      <c r="F120" s="16">
        <f t="shared" si="85"/>
        <v>16730.2</v>
      </c>
      <c r="G120" s="16">
        <f t="shared" si="85"/>
        <v>16730.199999999997</v>
      </c>
      <c r="H120" s="16">
        <f t="shared" si="69"/>
        <v>99.99999999999997</v>
      </c>
      <c r="I120" s="12">
        <v>0</v>
      </c>
      <c r="J120" s="12"/>
      <c r="K120" s="12"/>
      <c r="L120" s="12">
        <f>300+300</f>
        <v>600</v>
      </c>
      <c r="M120" s="12">
        <v>600</v>
      </c>
      <c r="N120" s="14">
        <f>M120/L120*100</f>
        <v>100</v>
      </c>
      <c r="O120" s="12">
        <f>300+350</f>
        <v>650</v>
      </c>
      <c r="P120" s="12">
        <v>650</v>
      </c>
      <c r="Q120" s="14">
        <f t="shared" si="71"/>
        <v>100</v>
      </c>
      <c r="R120" s="12">
        <f>350+350</f>
        <v>700</v>
      </c>
      <c r="S120" s="12">
        <v>700</v>
      </c>
      <c r="T120" s="12">
        <f t="shared" si="78"/>
        <v>100</v>
      </c>
      <c r="U120" s="12">
        <f>1958.6+1800</f>
        <v>3758.6</v>
      </c>
      <c r="V120" s="12">
        <v>3758.6</v>
      </c>
      <c r="W120" s="12">
        <f t="shared" si="79"/>
        <v>100</v>
      </c>
      <c r="X120" s="12">
        <v>0</v>
      </c>
      <c r="Y120" s="12">
        <v>0</v>
      </c>
      <c r="Z120" s="12">
        <v>0</v>
      </c>
      <c r="AA120" s="12">
        <f>770.9-770.9</f>
        <v>0</v>
      </c>
      <c r="AB120" s="12">
        <v>0</v>
      </c>
      <c r="AC120" s="12"/>
      <c r="AD120" s="12">
        <f>235.1-235.1</f>
        <v>0</v>
      </c>
      <c r="AE120" s="12">
        <v>0</v>
      </c>
      <c r="AF120" s="12"/>
      <c r="AG120" s="12">
        <f>500+500+235+1006</f>
        <v>2241</v>
      </c>
      <c r="AH120" s="12">
        <v>2241</v>
      </c>
      <c r="AI120" s="12">
        <f t="shared" si="74"/>
        <v>100</v>
      </c>
      <c r="AJ120" s="12">
        <f>500+700+235.1-235.1</f>
        <v>1200</v>
      </c>
      <c r="AK120" s="12">
        <v>1200</v>
      </c>
      <c r="AL120" s="12">
        <f>AK120/AJ120*100</f>
        <v>100</v>
      </c>
      <c r="AM120" s="12">
        <f>700+638.7+235.1+954.9</f>
        <v>2528.7</v>
      </c>
      <c r="AN120" s="12">
        <v>2528.7</v>
      </c>
      <c r="AO120" s="12">
        <f t="shared" si="75"/>
        <v>100</v>
      </c>
      <c r="AP120" s="12">
        <f>932+822.4+240.9+561.3+675.3+21+3156.6+0.1-402.8-954.9</f>
        <v>5051.900000000001</v>
      </c>
      <c r="AQ120" s="12">
        <v>5051.9</v>
      </c>
      <c r="AR120" s="12">
        <f t="shared" si="81"/>
        <v>99.99999999999997</v>
      </c>
      <c r="AS120" s="103"/>
      <c r="AT120" s="97"/>
    </row>
    <row r="121" spans="1:46" s="10" customFormat="1" ht="51">
      <c r="A121" s="78"/>
      <c r="B121" s="84"/>
      <c r="C121" s="72"/>
      <c r="D121" s="78"/>
      <c r="E121" s="66" t="s">
        <v>179</v>
      </c>
      <c r="F121" s="16">
        <f t="shared" si="85"/>
        <v>56269.10000000001</v>
      </c>
      <c r="G121" s="16">
        <f t="shared" si="85"/>
        <v>56269.10000000001</v>
      </c>
      <c r="H121" s="16">
        <f t="shared" si="69"/>
        <v>100</v>
      </c>
      <c r="I121" s="12">
        <f>571+748</f>
        <v>1319</v>
      </c>
      <c r="J121" s="12">
        <v>1319</v>
      </c>
      <c r="K121" s="14">
        <f>J121/I121*100</f>
        <v>100</v>
      </c>
      <c r="L121" s="12">
        <f>2581.4+2270.3</f>
        <v>4851.700000000001</v>
      </c>
      <c r="M121" s="12">
        <v>4851.7</v>
      </c>
      <c r="N121" s="14">
        <f>M121/L121*100</f>
        <v>99.99999999999997</v>
      </c>
      <c r="O121" s="12">
        <f>2380.9+2250.2+0.1+610+994.9-534.9</f>
        <v>5701.200000000001</v>
      </c>
      <c r="P121" s="12">
        <v>5701.2</v>
      </c>
      <c r="Q121" s="14">
        <f t="shared" si="71"/>
        <v>99.99999999999999</v>
      </c>
      <c r="R121" s="12">
        <f>2720.3+2672.7+500</f>
        <v>5893</v>
      </c>
      <c r="S121" s="12">
        <v>5693</v>
      </c>
      <c r="T121" s="12">
        <f t="shared" si="78"/>
        <v>96.6061428813847</v>
      </c>
      <c r="U121" s="12">
        <f>4837.2+4376.3</f>
        <v>9213.5</v>
      </c>
      <c r="V121" s="12">
        <v>9413.5</v>
      </c>
      <c r="W121" s="12">
        <f t="shared" si="79"/>
        <v>102.17072773647364</v>
      </c>
      <c r="X121" s="12">
        <f>4204.8+4565.4</f>
        <v>8770.2</v>
      </c>
      <c r="Y121" s="12">
        <v>8770.2</v>
      </c>
      <c r="Z121" s="12">
        <f>Y121/X121*100</f>
        <v>100</v>
      </c>
      <c r="AA121" s="12">
        <f>1296.8+2317.5-300-817.5</f>
        <v>2496.8</v>
      </c>
      <c r="AB121" s="12">
        <v>2496.8</v>
      </c>
      <c r="AC121" s="12">
        <f>AB121/AA121*100</f>
        <v>100</v>
      </c>
      <c r="AD121" s="12">
        <f>812.2+1565.8-660-112.5</f>
        <v>1605.5</v>
      </c>
      <c r="AE121" s="12">
        <v>1605.6</v>
      </c>
      <c r="AF121" s="12">
        <f>AE121/AD121*100</f>
        <v>100.00622858922455</v>
      </c>
      <c r="AG121" s="12">
        <f>1679.7+1838.8-611</f>
        <v>2907.5</v>
      </c>
      <c r="AH121" s="12">
        <v>2907.4</v>
      </c>
      <c r="AI121" s="12">
        <f t="shared" si="74"/>
        <v>99.99656061908857</v>
      </c>
      <c r="AJ121" s="12">
        <f>2356.4+2424.1-412.1-1500</f>
        <v>2868.3999999999996</v>
      </c>
      <c r="AK121" s="12">
        <v>2868.4</v>
      </c>
      <c r="AL121" s="12">
        <f>AK121/AJ121*100</f>
        <v>100.00000000000003</v>
      </c>
      <c r="AM121" s="12">
        <f>2094.7+2085.5+75.8-980</f>
        <v>3276</v>
      </c>
      <c r="AN121" s="12">
        <v>3276</v>
      </c>
      <c r="AO121" s="12">
        <f t="shared" si="75"/>
        <v>100</v>
      </c>
      <c r="AP121" s="12">
        <f>4203.1+3924+534.9-610-534.9-21+0.1+1877.4-0.1-2007.2</f>
        <v>7366.3</v>
      </c>
      <c r="AQ121" s="12">
        <v>7366.3</v>
      </c>
      <c r="AR121" s="12">
        <f t="shared" si="81"/>
        <v>100</v>
      </c>
      <c r="AS121" s="85"/>
      <c r="AT121" s="86"/>
    </row>
    <row r="122" spans="1:46" s="17" customFormat="1" ht="14.25">
      <c r="A122" s="121" t="s">
        <v>89</v>
      </c>
      <c r="B122" s="121"/>
      <c r="C122" s="101"/>
      <c r="D122" s="101"/>
      <c r="E122" s="66" t="s">
        <v>176</v>
      </c>
      <c r="F122" s="16">
        <f>F124+F126+F125+F123</f>
        <v>256067.80000000002</v>
      </c>
      <c r="G122" s="16">
        <f>G124+G126+G125+G123</f>
        <v>236349.02000000002</v>
      </c>
      <c r="H122" s="16">
        <f t="shared" si="69"/>
        <v>92.29939102065937</v>
      </c>
      <c r="I122" s="11">
        <f>I11+I36+I57+I74+I110</f>
        <v>3520.6</v>
      </c>
      <c r="J122" s="11">
        <f>J11+J36+J57+J74+J110</f>
        <v>3519</v>
      </c>
      <c r="K122" s="16">
        <f>J122/I122*100</f>
        <v>99.95455320115889</v>
      </c>
      <c r="L122" s="11">
        <f>L11+L36+L57+L74+L110</f>
        <v>18744.000000000004</v>
      </c>
      <c r="M122" s="11">
        <f>M11+M36+M57+M74+M110</f>
        <v>16325.8</v>
      </c>
      <c r="N122" s="16">
        <f>M122/L122*100</f>
        <v>87.09880495091761</v>
      </c>
      <c r="O122" s="11">
        <f>O11+O36+O57+O74+O110</f>
        <v>20055.899999999998</v>
      </c>
      <c r="P122" s="11">
        <f>P11+P36+P57+P74+P110</f>
        <v>20870.8</v>
      </c>
      <c r="Q122" s="16">
        <f t="shared" si="71"/>
        <v>104.06314351387871</v>
      </c>
      <c r="R122" s="11">
        <f>R11+R36+R57+R74+R110</f>
        <v>21260.2</v>
      </c>
      <c r="S122" s="11">
        <f>S11+S36+S57+S74+S110</f>
        <v>21967.800000000003</v>
      </c>
      <c r="T122" s="11">
        <f t="shared" si="78"/>
        <v>103.32828477624858</v>
      </c>
      <c r="U122" s="11">
        <f>U11+U36+U57+U74+U110</f>
        <v>26736.8</v>
      </c>
      <c r="V122" s="11">
        <f>V11+V36+V57+V74+V110</f>
        <v>29308.6</v>
      </c>
      <c r="W122" s="11">
        <f t="shared" si="79"/>
        <v>109.61895215583017</v>
      </c>
      <c r="X122" s="11">
        <f>X11+X36+X57+X74+X110</f>
        <v>25650.8</v>
      </c>
      <c r="Y122" s="11">
        <f>Y11+Y36+Y57+Y74+Y110</f>
        <v>23792</v>
      </c>
      <c r="Z122" s="11">
        <f>Y122/X122*100</f>
        <v>92.75344238776178</v>
      </c>
      <c r="AA122" s="11">
        <f>AA11+AA36+AA57+AA74+AA110</f>
        <v>29015.899999999998</v>
      </c>
      <c r="AB122" s="11">
        <f>AB11+AB36+AB57+AB74+AB110</f>
        <v>29088.2</v>
      </c>
      <c r="AC122" s="11">
        <f>AB122/AA122*100</f>
        <v>100.24917372888657</v>
      </c>
      <c r="AD122" s="11">
        <f>AD11+AD36+AD57+AD74+AD110</f>
        <v>8247.1</v>
      </c>
      <c r="AE122" s="11">
        <f>AE11+AE36+AE57+AE74+AE110</f>
        <v>2712.4</v>
      </c>
      <c r="AF122" s="11">
        <f>AE122/AD122*100</f>
        <v>32.88913678747681</v>
      </c>
      <c r="AG122" s="11">
        <f>AG11+AG36+AG57+AG74+AG110</f>
        <v>11497.5</v>
      </c>
      <c r="AH122" s="11">
        <f>AH11+AH36+AH57+AH74+AH110</f>
        <v>15623.099999999999</v>
      </c>
      <c r="AI122" s="11">
        <f t="shared" si="74"/>
        <v>135.88258317025438</v>
      </c>
      <c r="AJ122" s="11">
        <f>AJ11+AJ36+AJ57+AJ74+AJ110</f>
        <v>13584.5</v>
      </c>
      <c r="AK122" s="11">
        <f>AK11+AK36+AK57+AK74+AK110</f>
        <v>16755</v>
      </c>
      <c r="AL122" s="11">
        <f>AK122/AJ122*100</f>
        <v>123.33909970922743</v>
      </c>
      <c r="AM122" s="11">
        <f>AM11+AM36+AM57+AM74+AM110</f>
        <v>17380.9</v>
      </c>
      <c r="AN122" s="11">
        <f>AN11+AN36+AN57+AN74+AN110</f>
        <v>16359.9</v>
      </c>
      <c r="AO122" s="11">
        <f t="shared" si="75"/>
        <v>94.12573572139532</v>
      </c>
      <c r="AP122" s="11">
        <f>AP11+AP36+AP57+AP74+AP110</f>
        <v>60373.600000000006</v>
      </c>
      <c r="AQ122" s="11">
        <f>AQ11+AQ36+AQ57+AQ74+AQ110</f>
        <v>40013.619999999995</v>
      </c>
      <c r="AR122" s="11">
        <f>AQ122/AP122*100</f>
        <v>66.27668384856956</v>
      </c>
      <c r="AS122" s="67"/>
      <c r="AT122" s="67"/>
    </row>
    <row r="123" spans="1:46" s="17" customFormat="1" ht="25.5">
      <c r="A123" s="121"/>
      <c r="B123" s="121"/>
      <c r="C123" s="101"/>
      <c r="D123" s="101"/>
      <c r="E123" s="66" t="s">
        <v>177</v>
      </c>
      <c r="F123" s="16">
        <f aca="true" t="shared" si="86" ref="F123:G126">I123+L123+O123+R123+U123+X123+AA123+AD123+AG123+AJ123+AM123+AP123</f>
        <v>12.8</v>
      </c>
      <c r="G123" s="16">
        <f t="shared" si="86"/>
        <v>12.8</v>
      </c>
      <c r="H123" s="16">
        <f t="shared" si="69"/>
        <v>100</v>
      </c>
      <c r="I123" s="11">
        <f>I12</f>
        <v>0</v>
      </c>
      <c r="J123" s="11">
        <f aca="true" t="shared" si="87" ref="J123:AR123">J12</f>
        <v>0</v>
      </c>
      <c r="K123" s="11">
        <f t="shared" si="87"/>
        <v>0</v>
      </c>
      <c r="L123" s="11">
        <f t="shared" si="87"/>
        <v>0</v>
      </c>
      <c r="M123" s="11">
        <f t="shared" si="87"/>
        <v>0</v>
      </c>
      <c r="N123" s="11">
        <f t="shared" si="87"/>
        <v>0</v>
      </c>
      <c r="O123" s="11">
        <f t="shared" si="87"/>
        <v>12.8</v>
      </c>
      <c r="P123" s="11">
        <f t="shared" si="87"/>
        <v>0</v>
      </c>
      <c r="Q123" s="11">
        <f t="shared" si="87"/>
        <v>0</v>
      </c>
      <c r="R123" s="11">
        <f t="shared" si="87"/>
        <v>0</v>
      </c>
      <c r="S123" s="11">
        <f t="shared" si="87"/>
        <v>0</v>
      </c>
      <c r="T123" s="11">
        <f t="shared" si="87"/>
        <v>0</v>
      </c>
      <c r="U123" s="11">
        <f t="shared" si="87"/>
        <v>0</v>
      </c>
      <c r="V123" s="11">
        <f t="shared" si="87"/>
        <v>0</v>
      </c>
      <c r="W123" s="11">
        <f t="shared" si="87"/>
        <v>0</v>
      </c>
      <c r="X123" s="11">
        <f t="shared" si="87"/>
        <v>0</v>
      </c>
      <c r="Y123" s="11">
        <f t="shared" si="87"/>
        <v>0</v>
      </c>
      <c r="Z123" s="11">
        <f t="shared" si="87"/>
        <v>0</v>
      </c>
      <c r="AA123" s="11">
        <f t="shared" si="87"/>
        <v>0</v>
      </c>
      <c r="AB123" s="11">
        <f t="shared" si="87"/>
        <v>0</v>
      </c>
      <c r="AC123" s="11">
        <f t="shared" si="87"/>
        <v>0</v>
      </c>
      <c r="AD123" s="11">
        <f t="shared" si="87"/>
        <v>0</v>
      </c>
      <c r="AE123" s="11">
        <f t="shared" si="87"/>
        <v>0</v>
      </c>
      <c r="AF123" s="11">
        <f t="shared" si="87"/>
        <v>0</v>
      </c>
      <c r="AG123" s="11">
        <f t="shared" si="87"/>
        <v>0</v>
      </c>
      <c r="AH123" s="11">
        <f t="shared" si="87"/>
        <v>0</v>
      </c>
      <c r="AI123" s="11">
        <f t="shared" si="87"/>
        <v>0</v>
      </c>
      <c r="AJ123" s="11">
        <f t="shared" si="87"/>
        <v>0</v>
      </c>
      <c r="AK123" s="11">
        <f t="shared" si="87"/>
        <v>12.8</v>
      </c>
      <c r="AL123" s="11">
        <f t="shared" si="87"/>
        <v>0</v>
      </c>
      <c r="AM123" s="11">
        <f t="shared" si="87"/>
        <v>0</v>
      </c>
      <c r="AN123" s="11">
        <f t="shared" si="87"/>
        <v>0</v>
      </c>
      <c r="AO123" s="11">
        <f t="shared" si="87"/>
        <v>0</v>
      </c>
      <c r="AP123" s="11">
        <f t="shared" si="87"/>
        <v>0</v>
      </c>
      <c r="AQ123" s="11">
        <f t="shared" si="87"/>
        <v>0</v>
      </c>
      <c r="AR123" s="11">
        <f t="shared" si="87"/>
        <v>0</v>
      </c>
      <c r="AS123" s="67"/>
      <c r="AT123" s="67"/>
    </row>
    <row r="124" spans="1:46" s="17" customFormat="1" ht="89.25">
      <c r="A124" s="121"/>
      <c r="B124" s="121"/>
      <c r="C124" s="101"/>
      <c r="D124" s="101"/>
      <c r="E124" s="66" t="s">
        <v>178</v>
      </c>
      <c r="F124" s="16">
        <f>I124+L124+O124+R124+U124+X124+AA124+AD124+AG124+AJ124+AM124+AP124</f>
        <v>94666</v>
      </c>
      <c r="G124" s="16">
        <f t="shared" si="86"/>
        <v>94660.8</v>
      </c>
      <c r="H124" s="16">
        <f t="shared" si="69"/>
        <v>99.99450700357045</v>
      </c>
      <c r="I124" s="11">
        <f>I112+I76+I59+I38+I13</f>
        <v>1.4</v>
      </c>
      <c r="J124" s="11">
        <f>J13+J38+J59+J76+J112</f>
        <v>0</v>
      </c>
      <c r="K124" s="11">
        <f>J124/I124*100</f>
        <v>0</v>
      </c>
      <c r="L124" s="11">
        <f>L13+L38+L59+L76+L112</f>
        <v>2955.5</v>
      </c>
      <c r="M124" s="11">
        <f>M13+M38+M59+M76+M112</f>
        <v>600</v>
      </c>
      <c r="N124" s="11">
        <f>M124/L124*100</f>
        <v>20.30113347995263</v>
      </c>
      <c r="O124" s="11">
        <f>O13+O38+O59+O76+O112</f>
        <v>5597.8</v>
      </c>
      <c r="P124" s="11">
        <f>P13+P38+P59+P76+P112</f>
        <v>6413.6</v>
      </c>
      <c r="Q124" s="11">
        <f>P124/O124*100</f>
        <v>114.57358247883099</v>
      </c>
      <c r="R124" s="11">
        <f>R13+R38+R59+R76+R112</f>
        <v>4024.4</v>
      </c>
      <c r="S124" s="11">
        <f>S13+S38+S59+S76+S112</f>
        <v>4917.799999999999</v>
      </c>
      <c r="T124" s="11">
        <f t="shared" si="78"/>
        <v>122.19958254646653</v>
      </c>
      <c r="U124" s="11">
        <f>U13+U38+U59+U76+U112</f>
        <v>6470</v>
      </c>
      <c r="V124" s="11">
        <f>V13+V38+V59+V76+V112</f>
        <v>6932.5</v>
      </c>
      <c r="W124" s="11">
        <f t="shared" si="79"/>
        <v>107.1483771251932</v>
      </c>
      <c r="X124" s="11">
        <f>X13+X38+X59+X76+X112</f>
        <v>4168</v>
      </c>
      <c r="Y124" s="11">
        <f>Y13+Y38+Y59+Y76+Y112</f>
        <v>4196.9</v>
      </c>
      <c r="Z124" s="11">
        <f>Y124/X124*100</f>
        <v>100.69337811900192</v>
      </c>
      <c r="AA124" s="11">
        <f>AA13+AA38+AA59+AA76+AA112</f>
        <v>4501.4</v>
      </c>
      <c r="AB124" s="11">
        <f>AB13+AB38+AB59+AB76+AB112</f>
        <v>4538.1</v>
      </c>
      <c r="AC124" s="11">
        <f>AB124/AA124*100</f>
        <v>100.81530190607369</v>
      </c>
      <c r="AD124" s="11">
        <f>AD13+AD38+AD59+AD76+AD112</f>
        <v>5501.3</v>
      </c>
      <c r="AE124" s="11">
        <f>AE13+AE38+AE59+AE76+AE112</f>
        <v>55.3</v>
      </c>
      <c r="AF124" s="11">
        <f>AE124/AD124*100</f>
        <v>1.0052169487212113</v>
      </c>
      <c r="AG124" s="11">
        <f>AG13+AG38+AG59+AG76+AG112</f>
        <v>8586.8</v>
      </c>
      <c r="AH124" s="11">
        <f>AH13+AH38+AH59+AH76+AH112</f>
        <v>7717.2</v>
      </c>
      <c r="AI124" s="11">
        <f>AH124/AG124*100</f>
        <v>89.87282806167607</v>
      </c>
      <c r="AJ124" s="11">
        <f>AJ13+AJ38+AJ59+AJ76+AJ112</f>
        <v>10701.4</v>
      </c>
      <c r="AK124" s="11">
        <f>AK13+AK38+AK59+AK76+AK112</f>
        <v>20150.6</v>
      </c>
      <c r="AL124" s="11">
        <f>AK124/AJ124*100</f>
        <v>188.29872726932925</v>
      </c>
      <c r="AM124" s="11">
        <f>AM13+AM38+AM59+AM76+AM112</f>
        <v>12824.599999999999</v>
      </c>
      <c r="AN124" s="11">
        <f>AN13+AN38+AN59+AN76+AN112</f>
        <v>11787.1</v>
      </c>
      <c r="AO124" s="11">
        <f>AN124/AM124*100</f>
        <v>91.91007906679351</v>
      </c>
      <c r="AP124" s="11">
        <f>AP13+AP38+AP59+AP76+AP112</f>
        <v>29333.4</v>
      </c>
      <c r="AQ124" s="11">
        <f>AQ13+AQ38+AQ59+AQ76+AQ112</f>
        <v>27351.699999999997</v>
      </c>
      <c r="AR124" s="11">
        <f>AQ124/AP124*100</f>
        <v>93.24421989950021</v>
      </c>
      <c r="AS124" s="67"/>
      <c r="AT124" s="67"/>
    </row>
    <row r="125" spans="1:46" s="17" customFormat="1" ht="51">
      <c r="A125" s="121"/>
      <c r="B125" s="121"/>
      <c r="C125" s="101"/>
      <c r="D125" s="101"/>
      <c r="E125" s="66" t="s">
        <v>179</v>
      </c>
      <c r="F125" s="16">
        <f t="shared" si="86"/>
        <v>161389.00000000003</v>
      </c>
      <c r="G125" s="16">
        <f>J125+M125+P125+S125+V125+Y125+AB125+AE125+AH125+AK125+AN125+AQ125</f>
        <v>141675.42</v>
      </c>
      <c r="H125" s="16">
        <f t="shared" si="69"/>
        <v>87.78505350426609</v>
      </c>
      <c r="I125" s="11">
        <f>I14+I39+I60+I77+I113</f>
        <v>3519.2</v>
      </c>
      <c r="J125" s="11">
        <f>J14+J39+J60+J77+J113</f>
        <v>3519</v>
      </c>
      <c r="K125" s="11">
        <f>J125/I125*100</f>
        <v>99.99431689020233</v>
      </c>
      <c r="L125" s="11">
        <f>L14+L39+L60+L77+L113</f>
        <v>15788.500000000002</v>
      </c>
      <c r="M125" s="11">
        <f>M14+M39+M60+M77+M113</f>
        <v>15725.8</v>
      </c>
      <c r="N125" s="11">
        <f>M125/L125*100</f>
        <v>99.60287551065647</v>
      </c>
      <c r="O125" s="11">
        <f>O14+O39+O60+O77+O113</f>
        <v>14445.300000000001</v>
      </c>
      <c r="P125" s="11">
        <f>P14+P39+P60+P77+P113</f>
        <v>14457.199999999999</v>
      </c>
      <c r="Q125" s="11">
        <f>P125/O125*100</f>
        <v>100.08237973596947</v>
      </c>
      <c r="R125" s="11">
        <f>R14+R39+R60+R77+R113</f>
        <v>17235.8</v>
      </c>
      <c r="S125" s="11">
        <f>S14+S39+S60+S77+S113</f>
        <v>17050</v>
      </c>
      <c r="T125" s="11">
        <f>S125/R125*100</f>
        <v>98.9220111628123</v>
      </c>
      <c r="U125" s="11">
        <f>U14+U39+U60+U77+U113</f>
        <v>20266.8</v>
      </c>
      <c r="V125" s="11">
        <f>V14+V39+V60+V77+V113</f>
        <v>22376.100000000002</v>
      </c>
      <c r="W125" s="11">
        <f>V125/U125*100</f>
        <v>110.40766179169876</v>
      </c>
      <c r="X125" s="11">
        <f>X14+X39+X60+X77+X113</f>
        <v>21482.8</v>
      </c>
      <c r="Y125" s="11">
        <f>Y14+Y39+Y60+Y77+Y113</f>
        <v>19595.1</v>
      </c>
      <c r="Z125" s="11">
        <f>Y125/X125*100</f>
        <v>91.21297037630104</v>
      </c>
      <c r="AA125" s="11">
        <f>AA14+AA39+AA60+AA77+AA113</f>
        <v>24514.499999999996</v>
      </c>
      <c r="AB125" s="11">
        <f>AB14+AB39+AB60+AB77+AB113</f>
        <v>24550.1</v>
      </c>
      <c r="AC125" s="11">
        <f>AB125/AA125*100</f>
        <v>100.14522017581433</v>
      </c>
      <c r="AD125" s="11">
        <f>AD14+AD39+AD60+AD77+AD113</f>
        <v>2745.8</v>
      </c>
      <c r="AE125" s="11">
        <f>AE14+AE39+AE60+AE77+AE113</f>
        <v>2657.1</v>
      </c>
      <c r="AF125" s="11">
        <f>AE125/AD125*100</f>
        <v>96.76961177070433</v>
      </c>
      <c r="AG125" s="11">
        <f>AG14+AG39+AG60+AG77+AG113</f>
        <v>2910.7</v>
      </c>
      <c r="AH125" s="11">
        <f>AH14+AH39+AH60+AH77+AH113</f>
        <v>7905.9</v>
      </c>
      <c r="AI125" s="11">
        <f>AH125/AG125*100</f>
        <v>271.61507541141305</v>
      </c>
      <c r="AJ125" s="11">
        <f>AJ14+AJ39+AJ60+AJ77+AJ113</f>
        <v>2883.0999999999995</v>
      </c>
      <c r="AK125" s="11">
        <f>AK14+AK39+AK60+AK77+AK113</f>
        <v>-3395.6</v>
      </c>
      <c r="AL125" s="11">
        <f>AK125/AJ125*100</f>
        <v>-117.77600499462386</v>
      </c>
      <c r="AM125" s="11">
        <f>AM14+AM39+AM60+AM77+AM113</f>
        <v>4556.3</v>
      </c>
      <c r="AN125" s="11">
        <f>AN14+AN39+AN60+AN77+AN113</f>
        <v>4572.8</v>
      </c>
      <c r="AO125" s="11">
        <f>AN125/AM125*100</f>
        <v>100.36213594363848</v>
      </c>
      <c r="AP125" s="11">
        <f>AP14+AP39+AP60+AP77+AP113</f>
        <v>31040.2</v>
      </c>
      <c r="AQ125" s="11">
        <f>AQ14+AQ39+AQ60+AQ77+AQ113</f>
        <v>12661.920000000002</v>
      </c>
      <c r="AR125" s="11">
        <f>AQ125/AP125*100</f>
        <v>40.79200520615203</v>
      </c>
      <c r="AS125" s="67"/>
      <c r="AT125" s="67"/>
    </row>
    <row r="126" spans="1:46" s="17" customFormat="1" ht="76.5">
      <c r="A126" s="121"/>
      <c r="B126" s="121"/>
      <c r="C126" s="101"/>
      <c r="D126" s="101"/>
      <c r="E126" s="35" t="s">
        <v>180</v>
      </c>
      <c r="F126" s="16">
        <f>I126+L126+O126+R126+U126+X126+AA126+AD126+AG126+AJ126+AM126+AP126</f>
        <v>0</v>
      </c>
      <c r="G126" s="16">
        <f t="shared" si="86"/>
        <v>0</v>
      </c>
      <c r="H126" s="16">
        <v>0</v>
      </c>
      <c r="I126" s="11">
        <f>I78</f>
        <v>0</v>
      </c>
      <c r="J126" s="11">
        <f aca="true" t="shared" si="88" ref="J126:AQ126">J78</f>
        <v>0</v>
      </c>
      <c r="K126" s="11"/>
      <c r="L126" s="11">
        <f t="shared" si="88"/>
        <v>0</v>
      </c>
      <c r="M126" s="11">
        <f t="shared" si="88"/>
        <v>0</v>
      </c>
      <c r="N126" s="11"/>
      <c r="O126" s="11">
        <f t="shared" si="88"/>
        <v>0</v>
      </c>
      <c r="P126" s="11">
        <f t="shared" si="88"/>
        <v>0</v>
      </c>
      <c r="Q126" s="11"/>
      <c r="R126" s="11">
        <f t="shared" si="88"/>
        <v>0</v>
      </c>
      <c r="S126" s="11">
        <f t="shared" si="88"/>
        <v>0</v>
      </c>
      <c r="T126" s="11"/>
      <c r="U126" s="11">
        <f t="shared" si="88"/>
        <v>0</v>
      </c>
      <c r="V126" s="11">
        <f t="shared" si="88"/>
        <v>0</v>
      </c>
      <c r="W126" s="11"/>
      <c r="X126" s="11">
        <f t="shared" si="88"/>
        <v>0</v>
      </c>
      <c r="Y126" s="11">
        <f t="shared" si="88"/>
        <v>0</v>
      </c>
      <c r="Z126" s="11"/>
      <c r="AA126" s="11">
        <f t="shared" si="88"/>
        <v>0</v>
      </c>
      <c r="AB126" s="11">
        <f t="shared" si="88"/>
        <v>0</v>
      </c>
      <c r="AC126" s="11"/>
      <c r="AD126" s="11">
        <f>AD78</f>
        <v>0</v>
      </c>
      <c r="AE126" s="11">
        <f t="shared" si="88"/>
        <v>0</v>
      </c>
      <c r="AF126" s="11"/>
      <c r="AG126" s="11">
        <f t="shared" si="88"/>
        <v>0</v>
      </c>
      <c r="AH126" s="11">
        <f t="shared" si="88"/>
        <v>0</v>
      </c>
      <c r="AI126" s="11"/>
      <c r="AJ126" s="11">
        <f t="shared" si="88"/>
        <v>0</v>
      </c>
      <c r="AK126" s="11">
        <f t="shared" si="88"/>
        <v>0</v>
      </c>
      <c r="AL126" s="11"/>
      <c r="AM126" s="11">
        <f t="shared" si="88"/>
        <v>0</v>
      </c>
      <c r="AN126" s="11">
        <f t="shared" si="88"/>
        <v>0</v>
      </c>
      <c r="AO126" s="11"/>
      <c r="AP126" s="11">
        <f t="shared" si="88"/>
        <v>0</v>
      </c>
      <c r="AQ126" s="11">
        <f t="shared" si="88"/>
        <v>0</v>
      </c>
      <c r="AR126" s="11"/>
      <c r="AS126" s="67"/>
      <c r="AT126" s="67"/>
    </row>
    <row r="127" spans="1:46" s="10" customFormat="1" ht="12.75">
      <c r="A127" s="18"/>
      <c r="B127" s="18"/>
      <c r="C127" s="18"/>
      <c r="D127" s="18"/>
      <c r="E127" s="18"/>
      <c r="F127" s="19"/>
      <c r="G127" s="19"/>
      <c r="H127" s="1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20"/>
      <c r="V127" s="20"/>
      <c r="W127" s="20"/>
      <c r="X127" s="18"/>
      <c r="Y127" s="18"/>
      <c r="Z127" s="18"/>
      <c r="AA127" s="19"/>
      <c r="AB127" s="19"/>
      <c r="AC127" s="19"/>
      <c r="AD127" s="19"/>
      <c r="AE127" s="19"/>
      <c r="AF127" s="19"/>
      <c r="AG127" s="19"/>
      <c r="AH127" s="19"/>
      <c r="AI127" s="19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10" customFormat="1" ht="23.25" customHeight="1">
      <c r="A128" s="18"/>
      <c r="B128" s="21"/>
      <c r="C128" s="21"/>
      <c r="D128" s="21"/>
      <c r="E128" s="18"/>
      <c r="F128" s="18"/>
      <c r="G128" s="18"/>
      <c r="H128" s="18"/>
      <c r="I128" s="38"/>
      <c r="J128" s="18"/>
      <c r="K128" s="18"/>
      <c r="L128" s="18"/>
      <c r="M128" s="18"/>
      <c r="N128" s="18"/>
      <c r="O128" s="18"/>
      <c r="P128" s="18"/>
      <c r="Q128" s="18"/>
      <c r="R128" s="38"/>
      <c r="S128" s="18"/>
      <c r="T128" s="18"/>
      <c r="U128" s="39"/>
      <c r="V128" s="20"/>
      <c r="W128" s="20"/>
      <c r="X128" s="18"/>
      <c r="Y128" s="18"/>
      <c r="Z128" s="18"/>
      <c r="AA128" s="44"/>
      <c r="AB128" s="19"/>
      <c r="AC128" s="19"/>
      <c r="AD128" s="19"/>
      <c r="AE128" s="19"/>
      <c r="AF128" s="19"/>
      <c r="AG128" s="19"/>
      <c r="AH128" s="19"/>
      <c r="AI128" s="19"/>
      <c r="AJ128" s="3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10" customFormat="1" ht="12.75">
      <c r="A129" s="18"/>
      <c r="B129" s="21"/>
      <c r="C129" s="21"/>
      <c r="D129" s="21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20"/>
      <c r="V129" s="20"/>
      <c r="W129" s="20"/>
      <c r="X129" s="18"/>
      <c r="Y129" s="18"/>
      <c r="Z129" s="18"/>
      <c r="AA129" s="19"/>
      <c r="AB129" s="19"/>
      <c r="AC129" s="19"/>
      <c r="AD129" s="19"/>
      <c r="AE129" s="19"/>
      <c r="AF129" s="19"/>
      <c r="AG129" s="19"/>
      <c r="AH129" s="19"/>
      <c r="AI129" s="19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10" customFormat="1" ht="15.75">
      <c r="A130" s="26" t="s">
        <v>90</v>
      </c>
      <c r="B130" s="27"/>
      <c r="C130" s="27"/>
      <c r="D130" s="27"/>
      <c r="E130" s="25"/>
      <c r="F130" s="25"/>
      <c r="G130" s="25"/>
      <c r="H130" s="28"/>
      <c r="I130" s="28" t="s">
        <v>97</v>
      </c>
      <c r="J130" s="25"/>
      <c r="K130" s="25"/>
      <c r="L130" s="25"/>
      <c r="M130" s="18"/>
      <c r="N130" s="18"/>
      <c r="O130" s="18"/>
      <c r="P130" s="18"/>
      <c r="Q130" s="18"/>
      <c r="R130" s="18"/>
      <c r="S130" s="18"/>
      <c r="T130" s="18"/>
      <c r="U130" s="20"/>
      <c r="V130" s="20"/>
      <c r="W130" s="20"/>
      <c r="X130" s="18"/>
      <c r="Y130" s="18"/>
      <c r="Z130" s="18"/>
      <c r="AA130" s="19"/>
      <c r="AB130" s="19"/>
      <c r="AC130" s="19"/>
      <c r="AD130" s="19"/>
      <c r="AE130" s="19"/>
      <c r="AF130" s="19"/>
      <c r="AG130" s="19"/>
      <c r="AH130" s="19"/>
      <c r="AI130" s="19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10" customFormat="1" ht="15.75">
      <c r="A131" s="26" t="s">
        <v>91</v>
      </c>
      <c r="B131" s="27"/>
      <c r="C131" s="27"/>
      <c r="D131" s="27"/>
      <c r="E131" s="25"/>
      <c r="F131" s="25"/>
      <c r="G131" s="25"/>
      <c r="H131" s="28"/>
      <c r="I131" s="28" t="s">
        <v>116</v>
      </c>
      <c r="J131" s="25"/>
      <c r="K131" s="25"/>
      <c r="L131" s="25"/>
      <c r="M131" s="18"/>
      <c r="N131" s="18"/>
      <c r="O131" s="18"/>
      <c r="P131" s="18"/>
      <c r="Q131" s="18"/>
      <c r="R131" s="18"/>
      <c r="S131" s="18"/>
      <c r="T131" s="18"/>
      <c r="U131" s="20"/>
      <c r="V131" s="20"/>
      <c r="W131" s="20"/>
      <c r="X131" s="18"/>
      <c r="Y131" s="18"/>
      <c r="Z131" s="18"/>
      <c r="AA131" s="19"/>
      <c r="AB131" s="19"/>
      <c r="AC131" s="19"/>
      <c r="AD131" s="19"/>
      <c r="AE131" s="19"/>
      <c r="AF131" s="19"/>
      <c r="AG131" s="19"/>
      <c r="AH131" s="19"/>
      <c r="AI131" s="19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10" customFormat="1" ht="15.75">
      <c r="A132" s="26" t="s">
        <v>118</v>
      </c>
      <c r="B132" s="27"/>
      <c r="C132" s="27"/>
      <c r="D132" s="27"/>
      <c r="E132" s="25"/>
      <c r="F132" s="25"/>
      <c r="G132" s="25"/>
      <c r="H132" s="28"/>
      <c r="I132" s="28" t="s">
        <v>92</v>
      </c>
      <c r="J132" s="25"/>
      <c r="K132" s="25"/>
      <c r="L132" s="25"/>
      <c r="M132" s="18"/>
      <c r="N132" s="18"/>
      <c r="O132" s="18"/>
      <c r="P132" s="18"/>
      <c r="Q132" s="18"/>
      <c r="R132" s="18"/>
      <c r="S132" s="18"/>
      <c r="T132" s="18"/>
      <c r="U132" s="20"/>
      <c r="V132" s="20"/>
      <c r="W132" s="20"/>
      <c r="X132" s="18"/>
      <c r="Y132" s="18"/>
      <c r="Z132" s="18"/>
      <c r="AA132" s="19"/>
      <c r="AB132" s="19"/>
      <c r="AC132" s="19"/>
      <c r="AD132" s="19"/>
      <c r="AE132" s="19"/>
      <c r="AF132" s="19"/>
      <c r="AG132" s="19"/>
      <c r="AH132" s="19"/>
      <c r="AI132" s="19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10" customFormat="1" ht="15.75">
      <c r="A133" s="26" t="s">
        <v>92</v>
      </c>
      <c r="B133" s="27"/>
      <c r="C133" s="27"/>
      <c r="D133" s="27"/>
      <c r="E133" s="25"/>
      <c r="F133" s="25"/>
      <c r="G133" s="25"/>
      <c r="H133" s="28"/>
      <c r="I133" s="28"/>
      <c r="J133" s="25"/>
      <c r="K133" s="25"/>
      <c r="L133" s="25"/>
      <c r="M133" s="18"/>
      <c r="N133" s="18"/>
      <c r="O133" s="18"/>
      <c r="P133" s="18"/>
      <c r="Q133" s="18"/>
      <c r="R133" s="18"/>
      <c r="S133" s="18"/>
      <c r="T133" s="18"/>
      <c r="U133" s="20"/>
      <c r="V133" s="20"/>
      <c r="W133" s="20"/>
      <c r="X133" s="18"/>
      <c r="Y133" s="18"/>
      <c r="Z133" s="18"/>
      <c r="AA133" s="19"/>
      <c r="AB133" s="19"/>
      <c r="AC133" s="19"/>
      <c r="AD133" s="19"/>
      <c r="AE133" s="19"/>
      <c r="AF133" s="19"/>
      <c r="AG133" s="19"/>
      <c r="AH133" s="19"/>
      <c r="AI133" s="19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10" customFormat="1" ht="15.75">
      <c r="A134" s="29"/>
      <c r="B134" s="30"/>
      <c r="C134" s="27" t="s">
        <v>119</v>
      </c>
      <c r="D134" s="27"/>
      <c r="E134" s="25"/>
      <c r="F134" s="25"/>
      <c r="G134" s="25"/>
      <c r="H134" s="28"/>
      <c r="I134" s="31"/>
      <c r="J134" s="32"/>
      <c r="K134" s="41" t="s">
        <v>117</v>
      </c>
      <c r="L134" s="42"/>
      <c r="M134" s="18"/>
      <c r="N134" s="18"/>
      <c r="O134" s="18"/>
      <c r="P134" s="18"/>
      <c r="Q134" s="18"/>
      <c r="R134" s="18"/>
      <c r="S134" s="18"/>
      <c r="T134" s="18"/>
      <c r="U134" s="20"/>
      <c r="V134" s="20"/>
      <c r="W134" s="20"/>
      <c r="X134" s="18"/>
      <c r="Y134" s="18"/>
      <c r="Z134" s="18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10" customFormat="1" ht="15.75">
      <c r="A135" s="26" t="s">
        <v>98</v>
      </c>
      <c r="B135" s="27"/>
      <c r="C135" s="27"/>
      <c r="D135" s="27"/>
      <c r="E135" s="25"/>
      <c r="F135" s="25"/>
      <c r="G135" s="25"/>
      <c r="H135" s="28"/>
      <c r="I135" s="28" t="s">
        <v>99</v>
      </c>
      <c r="J135" s="27"/>
      <c r="K135" s="25"/>
      <c r="L135" s="25"/>
      <c r="M135" s="18"/>
      <c r="N135" s="18"/>
      <c r="O135" s="18"/>
      <c r="P135" s="18"/>
      <c r="Q135" s="18"/>
      <c r="R135" s="18"/>
      <c r="S135" s="18"/>
      <c r="T135" s="18"/>
      <c r="U135" s="20"/>
      <c r="V135" s="20"/>
      <c r="W135" s="20"/>
      <c r="X135" s="18"/>
      <c r="Y135" s="18"/>
      <c r="Z135" s="18"/>
      <c r="AA135" s="19"/>
      <c r="AB135" s="19"/>
      <c r="AC135" s="19"/>
      <c r="AD135" s="19"/>
      <c r="AE135" s="19"/>
      <c r="AF135" s="19"/>
      <c r="AG135" s="19"/>
      <c r="AH135" s="19"/>
      <c r="AI135" s="19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10" customFormat="1" ht="12.75">
      <c r="A136" s="18"/>
      <c r="B136" s="21"/>
      <c r="C136" s="21"/>
      <c r="D136" s="21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0"/>
      <c r="V136" s="20"/>
      <c r="W136" s="20"/>
      <c r="X136" s="18"/>
      <c r="Y136" s="18"/>
      <c r="Z136" s="18"/>
      <c r="AA136" s="19"/>
      <c r="AB136" s="19"/>
      <c r="AC136" s="19"/>
      <c r="AD136" s="19"/>
      <c r="AE136" s="19"/>
      <c r="AF136" s="19"/>
      <c r="AG136" s="19"/>
      <c r="AH136" s="19"/>
      <c r="AI136" s="19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s="10" customFormat="1" ht="12.75">
      <c r="A137" s="18"/>
      <c r="B137" s="21"/>
      <c r="C137" s="21"/>
      <c r="D137" s="21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20"/>
      <c r="V137" s="20"/>
      <c r="W137" s="20"/>
      <c r="X137" s="18"/>
      <c r="Y137" s="18"/>
      <c r="Z137" s="18"/>
      <c r="AA137" s="19"/>
      <c r="AB137" s="19"/>
      <c r="AC137" s="19"/>
      <c r="AD137" s="19"/>
      <c r="AE137" s="19"/>
      <c r="AF137" s="19"/>
      <c r="AG137" s="19"/>
      <c r="AH137" s="19"/>
      <c r="AI137" s="19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s="10" customFormat="1" ht="12.75">
      <c r="A138" s="45" t="s">
        <v>113</v>
      </c>
      <c r="B138" s="21"/>
      <c r="C138" s="21"/>
      <c r="D138" s="21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20"/>
      <c r="V138" s="20"/>
      <c r="W138" s="20"/>
      <c r="X138" s="18"/>
      <c r="Y138" s="18"/>
      <c r="Z138" s="18"/>
      <c r="AA138" s="19"/>
      <c r="AB138" s="19"/>
      <c r="AC138" s="19"/>
      <c r="AD138" s="19"/>
      <c r="AE138" s="19"/>
      <c r="AF138" s="19"/>
      <c r="AG138" s="19"/>
      <c r="AH138" s="19"/>
      <c r="AI138" s="19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s="10" customFormat="1" ht="12.75">
      <c r="A139" s="22" t="s">
        <v>93</v>
      </c>
      <c r="B139" s="21"/>
      <c r="C139" s="21"/>
      <c r="D139" s="21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20"/>
      <c r="V139" s="20"/>
      <c r="W139" s="20"/>
      <c r="X139" s="18"/>
      <c r="Y139" s="18"/>
      <c r="Z139" s="18"/>
      <c r="AA139" s="19"/>
      <c r="AB139" s="19"/>
      <c r="AC139" s="19"/>
      <c r="AD139" s="19"/>
      <c r="AE139" s="19"/>
      <c r="AF139" s="19"/>
      <c r="AG139" s="19"/>
      <c r="AH139" s="19"/>
      <c r="AI139" s="19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s="10" customFormat="1" ht="12.75">
      <c r="A140" s="22" t="s">
        <v>92</v>
      </c>
      <c r="B140" s="21"/>
      <c r="C140" s="21"/>
      <c r="D140" s="21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20"/>
      <c r="V140" s="20"/>
      <c r="W140" s="20"/>
      <c r="X140" s="18"/>
      <c r="Y140" s="18"/>
      <c r="Z140" s="18"/>
      <c r="AA140" s="19"/>
      <c r="AB140" s="19"/>
      <c r="AC140" s="19"/>
      <c r="AD140" s="19"/>
      <c r="AE140" s="19"/>
      <c r="AF140" s="19"/>
      <c r="AG140" s="19"/>
      <c r="AH140" s="19"/>
      <c r="AI140" s="19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s="10" customFormat="1" ht="12.75">
      <c r="A141" s="22" t="s">
        <v>94</v>
      </c>
      <c r="B141" s="21"/>
      <c r="C141" s="21"/>
      <c r="D141" s="21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20"/>
      <c r="V141" s="20"/>
      <c r="W141" s="20"/>
      <c r="X141" s="18"/>
      <c r="Y141" s="18"/>
      <c r="Z141" s="18"/>
      <c r="AA141" s="19"/>
      <c r="AB141" s="19"/>
      <c r="AC141" s="19"/>
      <c r="AD141" s="19"/>
      <c r="AE141" s="19"/>
      <c r="AF141" s="19"/>
      <c r="AG141" s="19"/>
      <c r="AH141" s="19"/>
      <c r="AI141" s="19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s="10" customFormat="1" ht="12.75">
      <c r="A142" s="22" t="s">
        <v>95</v>
      </c>
      <c r="B142" s="21"/>
      <c r="C142" s="21"/>
      <c r="D142" s="21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20"/>
      <c r="V142" s="20"/>
      <c r="W142" s="20"/>
      <c r="X142" s="18"/>
      <c r="Y142" s="18"/>
      <c r="Z142" s="18"/>
      <c r="AA142" s="19"/>
      <c r="AB142" s="19"/>
      <c r="AC142" s="19"/>
      <c r="AD142" s="19"/>
      <c r="AE142" s="19"/>
      <c r="AF142" s="19"/>
      <c r="AG142" s="19"/>
      <c r="AH142" s="19"/>
      <c r="AI142" s="19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s="10" customFormat="1" ht="12.75">
      <c r="A143" s="22" t="s">
        <v>114</v>
      </c>
      <c r="B143" s="21"/>
      <c r="C143" s="21"/>
      <c r="D143" s="21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20"/>
      <c r="V143" s="20"/>
      <c r="W143" s="20"/>
      <c r="X143" s="18"/>
      <c r="Y143" s="18"/>
      <c r="Z143" s="18"/>
      <c r="AA143" s="19"/>
      <c r="AB143" s="19"/>
      <c r="AC143" s="19"/>
      <c r="AD143" s="19"/>
      <c r="AE143" s="19"/>
      <c r="AF143" s="19"/>
      <c r="AG143" s="19"/>
      <c r="AH143" s="19"/>
      <c r="AI143" s="19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s="10" customFormat="1" ht="12.75">
      <c r="A144" s="22" t="s">
        <v>115</v>
      </c>
      <c r="B144" s="21"/>
      <c r="C144" s="21"/>
      <c r="D144" s="21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20"/>
      <c r="V144" s="20"/>
      <c r="W144" s="20"/>
      <c r="X144" s="18"/>
      <c r="Y144" s="18"/>
      <c r="Z144" s="18"/>
      <c r="AA144" s="19"/>
      <c r="AB144" s="19"/>
      <c r="AC144" s="19"/>
      <c r="AD144" s="19"/>
      <c r="AE144" s="19"/>
      <c r="AF144" s="19"/>
      <c r="AG144" s="19"/>
      <c r="AH144" s="19"/>
      <c r="AI144" s="19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10" customFormat="1" ht="12.75">
      <c r="A145" s="22" t="s">
        <v>120</v>
      </c>
      <c r="B145" s="21"/>
      <c r="C145" s="21"/>
      <c r="D145" s="21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20"/>
      <c r="V145" s="20"/>
      <c r="W145" s="20"/>
      <c r="X145" s="18"/>
      <c r="Y145" s="18"/>
      <c r="Z145" s="18"/>
      <c r="AA145" s="19"/>
      <c r="AB145" s="19"/>
      <c r="AC145" s="19"/>
      <c r="AD145" s="19"/>
      <c r="AE145" s="19"/>
      <c r="AF145" s="19"/>
      <c r="AG145" s="19"/>
      <c r="AH145" s="19"/>
      <c r="AI145" s="19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10" customFormat="1" ht="12.75">
      <c r="A146" s="22" t="s">
        <v>121</v>
      </c>
      <c r="B146" s="21"/>
      <c r="C146" s="21"/>
      <c r="D146" s="21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20"/>
      <c r="V146" s="20"/>
      <c r="W146" s="20"/>
      <c r="X146" s="18"/>
      <c r="Y146" s="18"/>
      <c r="Z146" s="18"/>
      <c r="AA146" s="19"/>
      <c r="AB146" s="19"/>
      <c r="AC146" s="19"/>
      <c r="AD146" s="19"/>
      <c r="AE146" s="19"/>
      <c r="AF146" s="19"/>
      <c r="AG146" s="19"/>
      <c r="AH146" s="19"/>
      <c r="AI146" s="19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10" customFormat="1" ht="12.75">
      <c r="A147" s="18"/>
      <c r="B147" s="21"/>
      <c r="C147" s="21"/>
      <c r="D147" s="21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20"/>
      <c r="V147" s="20"/>
      <c r="W147" s="20"/>
      <c r="X147" s="18"/>
      <c r="Y147" s="18"/>
      <c r="Z147" s="18"/>
      <c r="AA147" s="19"/>
      <c r="AB147" s="19"/>
      <c r="AC147" s="19"/>
      <c r="AD147" s="19"/>
      <c r="AE147" s="19"/>
      <c r="AF147" s="19"/>
      <c r="AG147" s="19"/>
      <c r="AH147" s="19"/>
      <c r="AI147" s="19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s="10" customFormat="1" ht="12.75">
      <c r="A148" s="18"/>
      <c r="B148" s="21"/>
      <c r="C148" s="21"/>
      <c r="D148" s="21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20"/>
      <c r="V148" s="20"/>
      <c r="W148" s="20"/>
      <c r="X148" s="18"/>
      <c r="Y148" s="18"/>
      <c r="Z148" s="18"/>
      <c r="AA148" s="19"/>
      <c r="AB148" s="19"/>
      <c r="AC148" s="19"/>
      <c r="AD148" s="19"/>
      <c r="AE148" s="19"/>
      <c r="AF148" s="19"/>
      <c r="AG148" s="19"/>
      <c r="AH148" s="19"/>
      <c r="AI148" s="19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s="10" customFormat="1" ht="12.75">
      <c r="A149" s="18"/>
      <c r="B149" s="21"/>
      <c r="C149" s="21"/>
      <c r="D149" s="21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20"/>
      <c r="V149" s="20"/>
      <c r="W149" s="20"/>
      <c r="X149" s="18"/>
      <c r="Y149" s="18"/>
      <c r="Z149" s="18"/>
      <c r="AA149" s="19"/>
      <c r="AB149" s="19"/>
      <c r="AC149" s="19"/>
      <c r="AD149" s="19"/>
      <c r="AE149" s="19"/>
      <c r="AF149" s="19"/>
      <c r="AG149" s="19"/>
      <c r="AH149" s="19"/>
      <c r="AI149" s="19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10" customFormat="1" ht="12.75">
      <c r="A150" s="18"/>
      <c r="B150" s="21"/>
      <c r="C150" s="21"/>
      <c r="D150" s="21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20"/>
      <c r="V150" s="20"/>
      <c r="W150" s="20"/>
      <c r="X150" s="18"/>
      <c r="Y150" s="18"/>
      <c r="Z150" s="18"/>
      <c r="AA150" s="19"/>
      <c r="AB150" s="19"/>
      <c r="AC150" s="19"/>
      <c r="AD150" s="19"/>
      <c r="AE150" s="19"/>
      <c r="AF150" s="19"/>
      <c r="AG150" s="19"/>
      <c r="AH150" s="19"/>
      <c r="AI150" s="19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s="10" customFormat="1" ht="12.75">
      <c r="A151" s="18"/>
      <c r="B151" s="21"/>
      <c r="C151" s="21"/>
      <c r="D151" s="21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0"/>
      <c r="V151" s="20"/>
      <c r="W151" s="20"/>
      <c r="X151" s="18"/>
      <c r="Y151" s="18"/>
      <c r="Z151" s="18"/>
      <c r="AA151" s="19"/>
      <c r="AB151" s="19"/>
      <c r="AC151" s="19"/>
      <c r="AD151" s="19"/>
      <c r="AE151" s="19"/>
      <c r="AF151" s="19"/>
      <c r="AG151" s="19"/>
      <c r="AH151" s="19"/>
      <c r="AI151" s="19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2:35" s="10" customFormat="1" ht="12.75">
      <c r="B152" s="23"/>
      <c r="C152" s="23"/>
      <c r="D152" s="23"/>
      <c r="U152" s="24"/>
      <c r="V152" s="24"/>
      <c r="W152" s="24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2:35" s="10" customFormat="1" ht="12.75">
      <c r="B153" s="23"/>
      <c r="C153" s="23"/>
      <c r="D153" s="23"/>
      <c r="U153" s="24"/>
      <c r="V153" s="24"/>
      <c r="W153" s="24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2:35" s="10" customFormat="1" ht="12.75">
      <c r="B154" s="23"/>
      <c r="C154" s="23"/>
      <c r="D154" s="23"/>
      <c r="U154" s="24"/>
      <c r="V154" s="24"/>
      <c r="W154" s="24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2:35" s="10" customFormat="1" ht="12.75">
      <c r="B155" s="23"/>
      <c r="C155" s="23"/>
      <c r="D155" s="23"/>
      <c r="U155" s="24"/>
      <c r="V155" s="24"/>
      <c r="W155" s="24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2:35" s="10" customFormat="1" ht="12.75">
      <c r="B156" s="23"/>
      <c r="C156" s="23"/>
      <c r="D156" s="23"/>
      <c r="U156" s="24"/>
      <c r="V156" s="24"/>
      <c r="W156" s="24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2:35" s="10" customFormat="1" ht="12.75">
      <c r="B157" s="23"/>
      <c r="C157" s="23"/>
      <c r="D157" s="23"/>
      <c r="U157" s="24"/>
      <c r="V157" s="24"/>
      <c r="W157" s="24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2:35" s="10" customFormat="1" ht="12.75">
      <c r="B158" s="23"/>
      <c r="C158" s="23"/>
      <c r="D158" s="23"/>
      <c r="U158" s="24"/>
      <c r="V158" s="24"/>
      <c r="W158" s="24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2:35" s="10" customFormat="1" ht="12.75">
      <c r="B159" s="23"/>
      <c r="C159" s="23"/>
      <c r="D159" s="23"/>
      <c r="U159" s="24"/>
      <c r="V159" s="24"/>
      <c r="W159" s="24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2:35" s="10" customFormat="1" ht="12.75">
      <c r="B160" s="23"/>
      <c r="C160" s="23"/>
      <c r="D160" s="23"/>
      <c r="U160" s="24"/>
      <c r="V160" s="24"/>
      <c r="W160" s="24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2:35" s="10" customFormat="1" ht="12.75">
      <c r="B161" s="23"/>
      <c r="C161" s="23"/>
      <c r="D161" s="23"/>
      <c r="U161" s="24"/>
      <c r="V161" s="24"/>
      <c r="W161" s="24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2:35" s="10" customFormat="1" ht="12.75">
      <c r="B162" s="23"/>
      <c r="C162" s="23"/>
      <c r="D162" s="23"/>
      <c r="U162" s="24"/>
      <c r="V162" s="24"/>
      <c r="W162" s="24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2:35" s="10" customFormat="1" ht="12.75">
      <c r="B163" s="23"/>
      <c r="C163" s="23"/>
      <c r="D163" s="23"/>
      <c r="U163" s="24"/>
      <c r="V163" s="24"/>
      <c r="W163" s="24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2:35" s="10" customFormat="1" ht="12.75">
      <c r="B164" s="23"/>
      <c r="C164" s="23"/>
      <c r="D164" s="23"/>
      <c r="U164" s="24"/>
      <c r="V164" s="24"/>
      <c r="W164" s="24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2:35" s="10" customFormat="1" ht="12.75">
      <c r="B165" s="23"/>
      <c r="C165" s="23"/>
      <c r="D165" s="23"/>
      <c r="U165" s="24"/>
      <c r="V165" s="24"/>
      <c r="W165" s="24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2:35" s="10" customFormat="1" ht="12.75">
      <c r="B166" s="23"/>
      <c r="C166" s="23"/>
      <c r="D166" s="23"/>
      <c r="U166" s="24"/>
      <c r="V166" s="24"/>
      <c r="W166" s="24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2:35" s="10" customFormat="1" ht="12.75">
      <c r="B167" s="23"/>
      <c r="C167" s="23"/>
      <c r="D167" s="23"/>
      <c r="U167" s="24"/>
      <c r="V167" s="24"/>
      <c r="W167" s="24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2:35" s="10" customFormat="1" ht="12.75">
      <c r="B168" s="23"/>
      <c r="C168" s="23"/>
      <c r="D168" s="23"/>
      <c r="U168" s="24"/>
      <c r="V168" s="24"/>
      <c r="W168" s="24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2:35" s="10" customFormat="1" ht="12.75">
      <c r="B169" s="23"/>
      <c r="C169" s="23"/>
      <c r="D169" s="23"/>
      <c r="U169" s="24"/>
      <c r="V169" s="24"/>
      <c r="W169" s="24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2:35" s="10" customFormat="1" ht="12.75">
      <c r="B170" s="23"/>
      <c r="C170" s="23"/>
      <c r="D170" s="23"/>
      <c r="U170" s="24"/>
      <c r="V170" s="24"/>
      <c r="W170" s="24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2:35" s="10" customFormat="1" ht="12.75">
      <c r="B171" s="23"/>
      <c r="C171" s="23"/>
      <c r="D171" s="23"/>
      <c r="U171" s="24"/>
      <c r="V171" s="24"/>
      <c r="W171" s="24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2:35" s="10" customFormat="1" ht="12.75">
      <c r="B172" s="23"/>
      <c r="C172" s="23"/>
      <c r="D172" s="23"/>
      <c r="U172" s="24"/>
      <c r="V172" s="24"/>
      <c r="W172" s="24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2:35" s="10" customFormat="1" ht="12.75">
      <c r="B173" s="23"/>
      <c r="C173" s="23"/>
      <c r="D173" s="23"/>
      <c r="U173" s="24"/>
      <c r="V173" s="24"/>
      <c r="W173" s="24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2:35" s="10" customFormat="1" ht="12.75">
      <c r="B174" s="23"/>
      <c r="C174" s="23"/>
      <c r="D174" s="23"/>
      <c r="U174" s="24"/>
      <c r="V174" s="24"/>
      <c r="W174" s="24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2:35" s="10" customFormat="1" ht="12.75">
      <c r="B175" s="23"/>
      <c r="C175" s="23"/>
      <c r="D175" s="23"/>
      <c r="U175" s="24"/>
      <c r="V175" s="24"/>
      <c r="W175" s="24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2:35" s="10" customFormat="1" ht="12.75">
      <c r="B176" s="23"/>
      <c r="C176" s="23"/>
      <c r="D176" s="23"/>
      <c r="U176" s="24"/>
      <c r="V176" s="24"/>
      <c r="W176" s="24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2:35" s="10" customFormat="1" ht="12.75">
      <c r="B177" s="23"/>
      <c r="C177" s="23"/>
      <c r="D177" s="23"/>
      <c r="U177" s="24"/>
      <c r="V177" s="24"/>
      <c r="W177" s="24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2:35" s="10" customFormat="1" ht="12.75">
      <c r="B178" s="23"/>
      <c r="C178" s="23"/>
      <c r="D178" s="23"/>
      <c r="U178" s="24"/>
      <c r="V178" s="24"/>
      <c r="W178" s="24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2:35" s="10" customFormat="1" ht="12.75">
      <c r="B179" s="23"/>
      <c r="C179" s="23"/>
      <c r="D179" s="23"/>
      <c r="U179" s="24"/>
      <c r="V179" s="24"/>
      <c r="W179" s="24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2:35" s="10" customFormat="1" ht="12.75">
      <c r="B180" s="23"/>
      <c r="C180" s="23"/>
      <c r="D180" s="23"/>
      <c r="U180" s="24"/>
      <c r="V180" s="24"/>
      <c r="W180" s="24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2:35" s="10" customFormat="1" ht="12.75">
      <c r="B181" s="23"/>
      <c r="C181" s="23"/>
      <c r="D181" s="23"/>
      <c r="U181" s="24"/>
      <c r="V181" s="24"/>
      <c r="W181" s="24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2:35" s="10" customFormat="1" ht="12.75">
      <c r="B182" s="23"/>
      <c r="C182" s="23"/>
      <c r="D182" s="23"/>
      <c r="U182" s="24"/>
      <c r="V182" s="24"/>
      <c r="W182" s="24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2:35" s="10" customFormat="1" ht="12.75">
      <c r="B183" s="23"/>
      <c r="C183" s="23"/>
      <c r="D183" s="23"/>
      <c r="U183" s="24"/>
      <c r="V183" s="24"/>
      <c r="W183" s="24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2:35" s="10" customFormat="1" ht="12.75">
      <c r="B184" s="23"/>
      <c r="C184" s="23"/>
      <c r="D184" s="23"/>
      <c r="U184" s="24"/>
      <c r="V184" s="24"/>
      <c r="W184" s="24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2:35" s="10" customFormat="1" ht="12.75">
      <c r="B185" s="23"/>
      <c r="C185" s="23"/>
      <c r="D185" s="23"/>
      <c r="U185" s="24"/>
      <c r="V185" s="24"/>
      <c r="W185" s="24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2:35" s="10" customFormat="1" ht="12.75">
      <c r="B186" s="23"/>
      <c r="C186" s="23"/>
      <c r="D186" s="23"/>
      <c r="U186" s="24"/>
      <c r="V186" s="24"/>
      <c r="W186" s="24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2:35" s="10" customFormat="1" ht="12.75">
      <c r="B187" s="23"/>
      <c r="C187" s="23"/>
      <c r="D187" s="23"/>
      <c r="U187" s="24"/>
      <c r="V187" s="24"/>
      <c r="W187" s="24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2:35" s="10" customFormat="1" ht="12.75">
      <c r="B188" s="23"/>
      <c r="C188" s="23"/>
      <c r="D188" s="23"/>
      <c r="U188" s="24"/>
      <c r="V188" s="24"/>
      <c r="W188" s="24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2:35" s="10" customFormat="1" ht="12.75">
      <c r="B189" s="23"/>
      <c r="C189" s="23"/>
      <c r="D189" s="23"/>
      <c r="U189" s="24"/>
      <c r="V189" s="24"/>
      <c r="W189" s="24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2:35" s="10" customFormat="1" ht="12.75">
      <c r="B190" s="23"/>
      <c r="C190" s="23"/>
      <c r="D190" s="23"/>
      <c r="U190" s="24"/>
      <c r="V190" s="24"/>
      <c r="W190" s="24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2:35" s="10" customFormat="1" ht="12.75">
      <c r="B191" s="23"/>
      <c r="C191" s="23"/>
      <c r="D191" s="23"/>
      <c r="U191" s="24"/>
      <c r="V191" s="24"/>
      <c r="W191" s="24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2:35" s="10" customFormat="1" ht="12.75">
      <c r="B192" s="23"/>
      <c r="C192" s="23"/>
      <c r="D192" s="23"/>
      <c r="U192" s="24"/>
      <c r="V192" s="24"/>
      <c r="W192" s="24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2:35" s="10" customFormat="1" ht="12.75">
      <c r="B193" s="23"/>
      <c r="C193" s="23"/>
      <c r="D193" s="23"/>
      <c r="U193" s="24"/>
      <c r="V193" s="24"/>
      <c r="W193" s="24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2:35" s="10" customFormat="1" ht="12.75">
      <c r="B194" s="23"/>
      <c r="C194" s="23"/>
      <c r="D194" s="23"/>
      <c r="U194" s="24"/>
      <c r="V194" s="24"/>
      <c r="W194" s="24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2:35" s="10" customFormat="1" ht="12.75">
      <c r="B195" s="23"/>
      <c r="C195" s="23"/>
      <c r="D195" s="23"/>
      <c r="U195" s="24"/>
      <c r="V195" s="24"/>
      <c r="W195" s="24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2:35" s="10" customFormat="1" ht="12.75">
      <c r="B196" s="23"/>
      <c r="C196" s="23"/>
      <c r="D196" s="23"/>
      <c r="U196" s="24"/>
      <c r="V196" s="24"/>
      <c r="W196" s="24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2:35" s="10" customFormat="1" ht="12.75">
      <c r="B197" s="23"/>
      <c r="C197" s="23"/>
      <c r="D197" s="23"/>
      <c r="U197" s="24"/>
      <c r="V197" s="24"/>
      <c r="W197" s="24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2:35" s="10" customFormat="1" ht="12.75">
      <c r="B198" s="23"/>
      <c r="C198" s="23"/>
      <c r="D198" s="23"/>
      <c r="U198" s="24"/>
      <c r="V198" s="24"/>
      <c r="W198" s="24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2:35" s="10" customFormat="1" ht="12.75">
      <c r="B199" s="23"/>
      <c r="C199" s="23"/>
      <c r="D199" s="23"/>
      <c r="U199" s="24"/>
      <c r="V199" s="24"/>
      <c r="W199" s="24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2:35" s="10" customFormat="1" ht="12.75">
      <c r="B200" s="23"/>
      <c r="C200" s="23"/>
      <c r="D200" s="23"/>
      <c r="U200" s="24"/>
      <c r="V200" s="24"/>
      <c r="W200" s="24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2:35" s="10" customFormat="1" ht="12.75">
      <c r="B201" s="23"/>
      <c r="C201" s="23"/>
      <c r="D201" s="23"/>
      <c r="U201" s="24"/>
      <c r="V201" s="24"/>
      <c r="W201" s="24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2:35" s="10" customFormat="1" ht="12.75">
      <c r="B202" s="23"/>
      <c r="C202" s="23"/>
      <c r="D202" s="23"/>
      <c r="U202" s="24"/>
      <c r="V202" s="24"/>
      <c r="W202" s="24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2:35" s="10" customFormat="1" ht="12.75">
      <c r="B203" s="23"/>
      <c r="C203" s="23"/>
      <c r="D203" s="23"/>
      <c r="U203" s="24"/>
      <c r="V203" s="24"/>
      <c r="W203" s="24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2:35" s="10" customFormat="1" ht="12.75">
      <c r="B204" s="23"/>
      <c r="C204" s="23"/>
      <c r="D204" s="23"/>
      <c r="U204" s="24"/>
      <c r="V204" s="24"/>
      <c r="W204" s="24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2:35" s="10" customFormat="1" ht="12.75">
      <c r="B205" s="23"/>
      <c r="C205" s="23"/>
      <c r="D205" s="23"/>
      <c r="U205" s="24"/>
      <c r="V205" s="24"/>
      <c r="W205" s="24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2:35" s="10" customFormat="1" ht="12.75">
      <c r="B206" s="23"/>
      <c r="C206" s="23"/>
      <c r="D206" s="23"/>
      <c r="U206" s="24"/>
      <c r="V206" s="24"/>
      <c r="W206" s="24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2:35" s="10" customFormat="1" ht="12.75">
      <c r="B207" s="23"/>
      <c r="C207" s="23"/>
      <c r="D207" s="23"/>
      <c r="U207" s="24"/>
      <c r="V207" s="24"/>
      <c r="W207" s="24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2:35" s="10" customFormat="1" ht="12.75">
      <c r="B208" s="23"/>
      <c r="C208" s="23"/>
      <c r="D208" s="23"/>
      <c r="U208" s="24"/>
      <c r="V208" s="24"/>
      <c r="W208" s="24"/>
      <c r="AA208" s="36"/>
      <c r="AB208" s="36"/>
      <c r="AC208" s="36"/>
      <c r="AD208" s="36"/>
      <c r="AE208" s="36"/>
      <c r="AF208" s="36"/>
      <c r="AG208" s="36"/>
      <c r="AH208" s="36"/>
      <c r="AI208" s="36"/>
    </row>
  </sheetData>
  <sheetProtection/>
  <mergeCells count="173">
    <mergeCell ref="AT69:AT72"/>
    <mergeCell ref="AT79:AT83"/>
    <mergeCell ref="AT84:AT88"/>
    <mergeCell ref="AT99:AT103"/>
    <mergeCell ref="A89:A93"/>
    <mergeCell ref="B89:B93"/>
    <mergeCell ref="C89:C93"/>
    <mergeCell ref="D89:D93"/>
    <mergeCell ref="AS89:AS93"/>
    <mergeCell ref="A74:A78"/>
    <mergeCell ref="AT40:AT43"/>
    <mergeCell ref="AT44:AT47"/>
    <mergeCell ref="AT48:AT51"/>
    <mergeCell ref="AT52:AT55"/>
    <mergeCell ref="AT61:AT64"/>
    <mergeCell ref="AT65:AT68"/>
    <mergeCell ref="AS118:AS121"/>
    <mergeCell ref="AT118:AT121"/>
    <mergeCell ref="AS69:AS72"/>
    <mergeCell ref="AS61:AS64"/>
    <mergeCell ref="AS40:AS43"/>
    <mergeCell ref="A104:A108"/>
    <mergeCell ref="B104:B108"/>
    <mergeCell ref="C104:C108"/>
    <mergeCell ref="D104:D108"/>
    <mergeCell ref="AS104:AS108"/>
    <mergeCell ref="A122:B126"/>
    <mergeCell ref="C122:C126"/>
    <mergeCell ref="D122:D126"/>
    <mergeCell ref="A118:A121"/>
    <mergeCell ref="B118:B121"/>
    <mergeCell ref="C118:C121"/>
    <mergeCell ref="D118:D121"/>
    <mergeCell ref="A110:A113"/>
    <mergeCell ref="B110:B113"/>
    <mergeCell ref="C110:C113"/>
    <mergeCell ref="D110:D113"/>
    <mergeCell ref="AS94:AS98"/>
    <mergeCell ref="AT94:AT98"/>
    <mergeCell ref="AT104:AT108"/>
    <mergeCell ref="B114:B117"/>
    <mergeCell ref="C114:C117"/>
    <mergeCell ref="D114:D117"/>
    <mergeCell ref="AS114:AS117"/>
    <mergeCell ref="AS99:AS103"/>
    <mergeCell ref="B109:Z109"/>
    <mergeCell ref="AT114:AT117"/>
    <mergeCell ref="A94:A98"/>
    <mergeCell ref="B94:B98"/>
    <mergeCell ref="C94:C98"/>
    <mergeCell ref="D94:D98"/>
    <mergeCell ref="A99:A103"/>
    <mergeCell ref="B99:B103"/>
    <mergeCell ref="C99:C103"/>
    <mergeCell ref="D99:D103"/>
    <mergeCell ref="A114:A117"/>
    <mergeCell ref="B74:B78"/>
    <mergeCell ref="C74:C78"/>
    <mergeCell ref="D74:D78"/>
    <mergeCell ref="A79:A83"/>
    <mergeCell ref="B79:B83"/>
    <mergeCell ref="C79:C83"/>
    <mergeCell ref="D79:D83"/>
    <mergeCell ref="AT89:AT93"/>
    <mergeCell ref="AS79:AS83"/>
    <mergeCell ref="A84:A88"/>
    <mergeCell ref="B84:B88"/>
    <mergeCell ref="C84:C88"/>
    <mergeCell ref="D84:D88"/>
    <mergeCell ref="AS84:AS88"/>
    <mergeCell ref="A69:A72"/>
    <mergeCell ref="B69:B72"/>
    <mergeCell ref="C69:C72"/>
    <mergeCell ref="D69:D72"/>
    <mergeCell ref="B73:Z73"/>
    <mergeCell ref="A65:A68"/>
    <mergeCell ref="B65:B68"/>
    <mergeCell ref="C65:C68"/>
    <mergeCell ref="D65:D68"/>
    <mergeCell ref="AS65:AS68"/>
    <mergeCell ref="B56:Z56"/>
    <mergeCell ref="A57:A60"/>
    <mergeCell ref="B57:B60"/>
    <mergeCell ref="C57:C60"/>
    <mergeCell ref="D57:D60"/>
    <mergeCell ref="A61:A64"/>
    <mergeCell ref="B61:B64"/>
    <mergeCell ref="C61:C64"/>
    <mergeCell ref="D61:D64"/>
    <mergeCell ref="AS48:AS51"/>
    <mergeCell ref="A52:A55"/>
    <mergeCell ref="B52:B55"/>
    <mergeCell ref="C52:C55"/>
    <mergeCell ref="D52:D55"/>
    <mergeCell ref="AS52:AS55"/>
    <mergeCell ref="A48:A51"/>
    <mergeCell ref="B48:B51"/>
    <mergeCell ref="C48:C51"/>
    <mergeCell ref="D48:D51"/>
    <mergeCell ref="A44:A47"/>
    <mergeCell ref="B44:B47"/>
    <mergeCell ref="C44:C47"/>
    <mergeCell ref="D44:D47"/>
    <mergeCell ref="AS44:AS47"/>
    <mergeCell ref="B35:Z35"/>
    <mergeCell ref="A36:A39"/>
    <mergeCell ref="B36:B39"/>
    <mergeCell ref="C36:C39"/>
    <mergeCell ref="D36:D39"/>
    <mergeCell ref="A40:A43"/>
    <mergeCell ref="B40:B43"/>
    <mergeCell ref="C40:C43"/>
    <mergeCell ref="D40:D43"/>
    <mergeCell ref="A27:A30"/>
    <mergeCell ref="B27:B30"/>
    <mergeCell ref="C27:C30"/>
    <mergeCell ref="D27:D30"/>
    <mergeCell ref="AS27:AS30"/>
    <mergeCell ref="AT27:AT30"/>
    <mergeCell ref="A31:A34"/>
    <mergeCell ref="B31:B34"/>
    <mergeCell ref="C31:C34"/>
    <mergeCell ref="D31:D34"/>
    <mergeCell ref="AS31:AS34"/>
    <mergeCell ref="AT31:AT34"/>
    <mergeCell ref="AS15:AS18"/>
    <mergeCell ref="AT15:AT18"/>
    <mergeCell ref="A19:A22"/>
    <mergeCell ref="B19:B22"/>
    <mergeCell ref="C19:C22"/>
    <mergeCell ref="D19:D22"/>
    <mergeCell ref="AS19:AS22"/>
    <mergeCell ref="AT19:AT22"/>
    <mergeCell ref="A15:A18"/>
    <mergeCell ref="B15:B18"/>
    <mergeCell ref="A23:A26"/>
    <mergeCell ref="B23:B26"/>
    <mergeCell ref="C23:C26"/>
    <mergeCell ref="D23:D26"/>
    <mergeCell ref="AS23:AS26"/>
    <mergeCell ref="AT23:AT26"/>
    <mergeCell ref="C15:C18"/>
    <mergeCell ref="D15:D18"/>
    <mergeCell ref="AG6:AI6"/>
    <mergeCell ref="B9:Z9"/>
    <mergeCell ref="B10:Z10"/>
    <mergeCell ref="X6:Z6"/>
    <mergeCell ref="AA6:AC6"/>
    <mergeCell ref="AD6:AF6"/>
    <mergeCell ref="A11:A14"/>
    <mergeCell ref="B11:B14"/>
    <mergeCell ref="C11:C14"/>
    <mergeCell ref="D11:D14"/>
    <mergeCell ref="AJ6:AL6"/>
    <mergeCell ref="AM6:AO6"/>
    <mergeCell ref="AP6:AR6"/>
    <mergeCell ref="AS5:AS7"/>
    <mergeCell ref="AT5:AT7"/>
    <mergeCell ref="I6:K6"/>
    <mergeCell ref="L6:N6"/>
    <mergeCell ref="O6:Q6"/>
    <mergeCell ref="R6:T6"/>
    <mergeCell ref="U6:W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57421875" style="0" customWidth="1"/>
    <col min="2" max="2" width="30.28125" style="0" customWidth="1"/>
    <col min="7" max="7" width="12.00390625" style="0" customWidth="1"/>
    <col min="8" max="8" width="41.140625" style="0" customWidth="1"/>
  </cols>
  <sheetData>
    <row r="1" spans="1:8" ht="15.75">
      <c r="A1" s="125"/>
      <c r="B1" s="125"/>
      <c r="C1" s="125"/>
      <c r="D1" s="125"/>
      <c r="E1" s="125"/>
      <c r="F1" s="125"/>
      <c r="G1" s="125"/>
      <c r="H1" s="125"/>
    </row>
    <row r="2" spans="1:8" ht="15.75">
      <c r="A2" s="125"/>
      <c r="B2" s="125"/>
      <c r="C2" s="125"/>
      <c r="D2" s="125"/>
      <c r="E2" s="125"/>
      <c r="F2" s="125"/>
      <c r="G2" s="125"/>
      <c r="H2" s="125"/>
    </row>
    <row r="3" spans="1:8" ht="15.75">
      <c r="A3" s="125" t="s">
        <v>127</v>
      </c>
      <c r="B3" s="125"/>
      <c r="C3" s="125"/>
      <c r="D3" s="125"/>
      <c r="E3" s="125"/>
      <c r="F3" s="125"/>
      <c r="G3" s="125"/>
      <c r="H3" s="125"/>
    </row>
    <row r="4" spans="1:8" ht="15.75" customHeight="1">
      <c r="A4" s="126" t="s">
        <v>128</v>
      </c>
      <c r="B4" s="126"/>
      <c r="C4" s="126"/>
      <c r="D4" s="126"/>
      <c r="E4" s="126"/>
      <c r="F4" s="126"/>
      <c r="G4" s="126"/>
      <c r="H4" s="126"/>
    </row>
    <row r="5" spans="1:8" ht="15.75" customHeight="1">
      <c r="A5" s="126" t="s">
        <v>129</v>
      </c>
      <c r="B5" s="126"/>
      <c r="C5" s="126"/>
      <c r="D5" s="126"/>
      <c r="E5" s="126"/>
      <c r="F5" s="126"/>
      <c r="G5" s="126"/>
      <c r="H5" s="126"/>
    </row>
    <row r="6" spans="1:8" ht="15.75">
      <c r="A6" s="60"/>
      <c r="B6" s="60"/>
      <c r="C6" s="60"/>
      <c r="D6" s="60"/>
      <c r="E6" s="60"/>
      <c r="F6" s="60"/>
      <c r="G6" s="60"/>
      <c r="H6" s="60"/>
    </row>
    <row r="7" spans="1:8" ht="15.75">
      <c r="A7" s="127" t="s">
        <v>130</v>
      </c>
      <c r="B7" s="127" t="s">
        <v>171</v>
      </c>
      <c r="C7" s="127" t="s">
        <v>131</v>
      </c>
      <c r="D7" s="130" t="s">
        <v>132</v>
      </c>
      <c r="E7" s="131"/>
      <c r="F7" s="132"/>
      <c r="G7" s="127" t="s">
        <v>133</v>
      </c>
      <c r="H7" s="127" t="s">
        <v>134</v>
      </c>
    </row>
    <row r="8" spans="1:8" ht="94.5">
      <c r="A8" s="128"/>
      <c r="B8" s="128"/>
      <c r="C8" s="128"/>
      <c r="D8" s="61" t="s">
        <v>135</v>
      </c>
      <c r="E8" s="61" t="s">
        <v>136</v>
      </c>
      <c r="F8" s="61" t="s">
        <v>137</v>
      </c>
      <c r="G8" s="128"/>
      <c r="H8" s="128"/>
    </row>
    <row r="9" spans="1:8" ht="21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 t="s">
        <v>138</v>
      </c>
      <c r="H9" s="46">
        <v>8</v>
      </c>
    </row>
    <row r="10" spans="1:8" ht="53.25" customHeight="1">
      <c r="A10" s="48">
        <v>1</v>
      </c>
      <c r="B10" s="48" t="s">
        <v>139</v>
      </c>
      <c r="C10" s="48" t="s">
        <v>140</v>
      </c>
      <c r="D10" s="49">
        <v>2611</v>
      </c>
      <c r="E10" s="48">
        <v>2606</v>
      </c>
      <c r="F10" s="48">
        <v>2632</v>
      </c>
      <c r="G10" s="51">
        <f>F10/E10*100</f>
        <v>100.99769762087489</v>
      </c>
      <c r="H10" s="48" t="s">
        <v>173</v>
      </c>
    </row>
    <row r="11" spans="1:8" ht="65.25" customHeight="1">
      <c r="A11" s="52">
        <v>2</v>
      </c>
      <c r="B11" s="52" t="s">
        <v>141</v>
      </c>
      <c r="C11" s="52" t="s">
        <v>142</v>
      </c>
      <c r="D11" s="53">
        <v>0.38</v>
      </c>
      <c r="E11" s="54">
        <v>0.4</v>
      </c>
      <c r="F11" s="54">
        <v>0.4</v>
      </c>
      <c r="G11" s="47">
        <f>F11/E11*100</f>
        <v>100</v>
      </c>
      <c r="H11" s="48" t="s">
        <v>174</v>
      </c>
    </row>
    <row r="12" spans="1:8" ht="87" customHeight="1">
      <c r="A12" s="48">
        <v>3</v>
      </c>
      <c r="B12" s="48" t="s">
        <v>143</v>
      </c>
      <c r="C12" s="48" t="s">
        <v>144</v>
      </c>
      <c r="D12" s="49">
        <v>20</v>
      </c>
      <c r="E12" s="48">
        <v>2</v>
      </c>
      <c r="F12" s="48">
        <v>2</v>
      </c>
      <c r="G12" s="47">
        <f aca="true" t="shared" si="0" ref="G12:G17">F12/E12*100</f>
        <v>100</v>
      </c>
      <c r="H12" s="48" t="s">
        <v>145</v>
      </c>
    </row>
    <row r="13" spans="1:8" ht="72" customHeight="1">
      <c r="A13" s="48">
        <v>4</v>
      </c>
      <c r="B13" s="48" t="s">
        <v>146</v>
      </c>
      <c r="C13" s="48" t="s">
        <v>144</v>
      </c>
      <c r="D13" s="49">
        <v>39.1</v>
      </c>
      <c r="E13" s="48">
        <v>40</v>
      </c>
      <c r="F13" s="48">
        <v>40.3</v>
      </c>
      <c r="G13" s="47">
        <f t="shared" si="0"/>
        <v>100.74999999999999</v>
      </c>
      <c r="H13" s="48" t="s">
        <v>161</v>
      </c>
    </row>
    <row r="14" spans="1:8" ht="69" customHeight="1">
      <c r="A14" s="48">
        <v>5</v>
      </c>
      <c r="B14" s="52" t="s">
        <v>147</v>
      </c>
      <c r="C14" s="48" t="s">
        <v>142</v>
      </c>
      <c r="D14" s="49">
        <v>3.54</v>
      </c>
      <c r="E14" s="48">
        <v>2.8</v>
      </c>
      <c r="F14" s="48">
        <v>4.34</v>
      </c>
      <c r="G14" s="47">
        <f t="shared" si="0"/>
        <v>155</v>
      </c>
      <c r="H14" s="48" t="s">
        <v>175</v>
      </c>
    </row>
    <row r="15" spans="1:8" ht="114" customHeight="1">
      <c r="A15" s="48">
        <v>6</v>
      </c>
      <c r="B15" s="48" t="s">
        <v>148</v>
      </c>
      <c r="C15" s="48" t="s">
        <v>144</v>
      </c>
      <c r="D15" s="49">
        <v>20.6</v>
      </c>
      <c r="E15" s="48">
        <v>20</v>
      </c>
      <c r="F15" s="48">
        <v>23</v>
      </c>
      <c r="G15" s="47">
        <f t="shared" si="0"/>
        <v>114.99999999999999</v>
      </c>
      <c r="H15" s="48" t="s">
        <v>164</v>
      </c>
    </row>
    <row r="16" spans="1:8" ht="127.5" customHeight="1">
      <c r="A16" s="48">
        <v>7</v>
      </c>
      <c r="B16" s="48" t="s">
        <v>149</v>
      </c>
      <c r="C16" s="48" t="s">
        <v>144</v>
      </c>
      <c r="D16" s="49">
        <v>97.5</v>
      </c>
      <c r="E16" s="48">
        <v>95</v>
      </c>
      <c r="F16" s="48">
        <v>95.5</v>
      </c>
      <c r="G16" s="47">
        <f t="shared" si="0"/>
        <v>100.52631578947368</v>
      </c>
      <c r="H16" s="48" t="s">
        <v>172</v>
      </c>
    </row>
    <row r="17" spans="1:8" ht="135" customHeight="1">
      <c r="A17" s="48">
        <v>8</v>
      </c>
      <c r="B17" s="48" t="s">
        <v>150</v>
      </c>
      <c r="C17" s="48" t="s">
        <v>144</v>
      </c>
      <c r="D17" s="49">
        <v>55</v>
      </c>
      <c r="E17" s="48">
        <v>55</v>
      </c>
      <c r="F17" s="48">
        <v>55</v>
      </c>
      <c r="G17" s="51">
        <f t="shared" si="0"/>
        <v>100</v>
      </c>
      <c r="H17" s="48" t="s">
        <v>151</v>
      </c>
    </row>
    <row r="19" spans="1:8" ht="15.75">
      <c r="A19" s="26" t="s">
        <v>90</v>
      </c>
      <c r="B19" s="27"/>
      <c r="C19" s="27"/>
      <c r="D19" s="50"/>
      <c r="E19" s="50"/>
      <c r="F19" s="50"/>
      <c r="G19" s="50"/>
      <c r="H19" s="50"/>
    </row>
    <row r="20" spans="1:8" ht="15.75">
      <c r="A20" s="26" t="s">
        <v>91</v>
      </c>
      <c r="B20" s="27"/>
      <c r="C20" s="27"/>
      <c r="D20" s="50"/>
      <c r="E20" s="50"/>
      <c r="F20" s="50"/>
      <c r="G20" s="50"/>
      <c r="H20" s="50"/>
    </row>
    <row r="21" spans="1:8" ht="15.75">
      <c r="A21" s="26" t="s">
        <v>152</v>
      </c>
      <c r="B21" s="27"/>
      <c r="C21" s="27"/>
      <c r="D21" s="50"/>
      <c r="E21" s="50"/>
      <c r="F21" s="50"/>
      <c r="G21" s="50"/>
      <c r="H21" s="50"/>
    </row>
    <row r="22" spans="1:8" ht="15.75">
      <c r="A22" s="26" t="s">
        <v>92</v>
      </c>
      <c r="B22" s="27"/>
      <c r="C22" s="27"/>
      <c r="D22" s="50"/>
      <c r="E22" s="50"/>
      <c r="F22" s="50"/>
      <c r="G22" s="50"/>
      <c r="H22" s="50"/>
    </row>
    <row r="23" spans="1:8" ht="15.75">
      <c r="A23" s="29"/>
      <c r="B23" s="30"/>
      <c r="C23" s="129" t="s">
        <v>119</v>
      </c>
      <c r="D23" s="129"/>
      <c r="E23" s="50"/>
      <c r="F23" s="50"/>
      <c r="G23" s="50"/>
      <c r="H23" s="50"/>
    </row>
    <row r="24" spans="1:8" ht="15.75">
      <c r="A24" s="26" t="s">
        <v>153</v>
      </c>
      <c r="B24" s="27"/>
      <c r="C24" s="27"/>
      <c r="D24" s="50"/>
      <c r="E24" s="50"/>
      <c r="F24" s="50"/>
      <c r="G24" s="50"/>
      <c r="H24" s="50"/>
    </row>
    <row r="25" spans="1:8" ht="15.75">
      <c r="A25" s="25"/>
      <c r="B25" s="27"/>
      <c r="C25" s="27"/>
      <c r="D25" s="50"/>
      <c r="E25" s="50"/>
      <c r="F25" s="50"/>
      <c r="G25" s="50"/>
      <c r="H25" s="50"/>
    </row>
    <row r="26" spans="1:8" ht="15.75">
      <c r="A26" s="25"/>
      <c r="B26" s="27"/>
      <c r="C26" s="27"/>
      <c r="D26" s="50"/>
      <c r="E26" s="50"/>
      <c r="F26" s="50"/>
      <c r="G26" s="50"/>
      <c r="H26" s="50"/>
    </row>
    <row r="27" spans="1:8" ht="15.75">
      <c r="A27" s="28" t="s">
        <v>154</v>
      </c>
      <c r="B27" s="27"/>
      <c r="C27" s="27"/>
      <c r="D27" s="50"/>
      <c r="E27" s="50"/>
      <c r="F27" s="50"/>
      <c r="G27" s="50"/>
      <c r="H27" s="50"/>
    </row>
    <row r="28" spans="1:8" ht="15.75">
      <c r="A28" s="28" t="s">
        <v>155</v>
      </c>
      <c r="B28" s="27"/>
      <c r="C28" s="27"/>
      <c r="D28" s="50"/>
      <c r="E28" s="50"/>
      <c r="F28" s="50"/>
      <c r="G28" s="50"/>
      <c r="H28" s="50"/>
    </row>
    <row r="29" spans="1:8" ht="15.75">
      <c r="A29" s="28" t="s">
        <v>92</v>
      </c>
      <c r="B29" s="27"/>
      <c r="C29" s="27"/>
      <c r="D29" s="50"/>
      <c r="E29" s="50"/>
      <c r="F29" s="50"/>
      <c r="G29" s="50"/>
      <c r="H29" s="50"/>
    </row>
    <row r="30" spans="1:8" ht="15.75">
      <c r="A30" s="28" t="s">
        <v>156</v>
      </c>
      <c r="B30" s="27"/>
      <c r="C30" s="27"/>
      <c r="D30" s="50"/>
      <c r="E30" s="50"/>
      <c r="F30" s="50"/>
      <c r="G30" s="50"/>
      <c r="H30" s="50"/>
    </row>
    <row r="31" spans="1:8" ht="15.75">
      <c r="A31" s="28" t="s">
        <v>157</v>
      </c>
      <c r="B31" s="27"/>
      <c r="C31" s="27"/>
      <c r="D31" s="50"/>
      <c r="E31" s="50"/>
      <c r="F31" s="50"/>
      <c r="G31" s="50"/>
      <c r="H31" s="50"/>
    </row>
    <row r="32" spans="1:8" ht="15.75">
      <c r="A32" s="25"/>
      <c r="B32" s="27"/>
      <c r="C32" s="27"/>
      <c r="D32" s="50"/>
      <c r="E32" s="50"/>
      <c r="F32" s="50"/>
      <c r="G32" s="50"/>
      <c r="H32" s="50"/>
    </row>
    <row r="33" spans="1:8" ht="15.75">
      <c r="A33" s="50"/>
      <c r="B33" s="50"/>
      <c r="C33" s="50"/>
      <c r="D33" s="50"/>
      <c r="E33" s="50"/>
      <c r="F33" s="50"/>
      <c r="G33" s="50"/>
      <c r="H33" s="50"/>
    </row>
    <row r="34" spans="1:2" ht="15">
      <c r="A34" s="59"/>
      <c r="B34" s="59"/>
    </row>
  </sheetData>
  <sheetProtection/>
  <mergeCells count="12">
    <mergeCell ref="C23:D23"/>
    <mergeCell ref="A7:A8"/>
    <mergeCell ref="B7:B8"/>
    <mergeCell ref="C7:C8"/>
    <mergeCell ref="D7:F7"/>
    <mergeCell ref="G7:G8"/>
    <mergeCell ref="A2:H2"/>
    <mergeCell ref="A1:H1"/>
    <mergeCell ref="A4:H4"/>
    <mergeCell ref="A5:H5"/>
    <mergeCell ref="A3:H3"/>
    <mergeCell ref="H7:H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2019-02-20T05:23:02Z</dcterms:modified>
  <cp:category/>
  <cp:version/>
  <cp:contentType/>
  <cp:contentStatus/>
</cp:coreProperties>
</file>