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-30" windowWidth="13785" windowHeight="9765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сентябрь" sheetId="15" r:id="rId4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сентябрь!$A$1:$AT$153</definedName>
  </definedNames>
  <calcPr calcId="125725"/>
</workbook>
</file>

<file path=xl/calcChain.xml><?xml version="1.0" encoding="utf-8"?>
<calcChain xmlns="http://schemas.openxmlformats.org/spreadsheetml/2006/main">
  <c r="I167" i="15"/>
  <c r="F164"/>
  <c r="Z156"/>
  <c r="AJ149"/>
  <c r="AP145"/>
  <c r="AO145"/>
  <c r="AN145"/>
  <c r="AM145"/>
  <c r="AL145"/>
  <c r="AK145"/>
  <c r="AJ145"/>
  <c r="AI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AU145" s="1"/>
  <c r="AQ144"/>
  <c r="AN144"/>
  <c r="AK144"/>
  <c r="AB144"/>
  <c r="V144"/>
  <c r="S144"/>
  <c r="P144"/>
  <c r="AQ143"/>
  <c r="AN143"/>
  <c r="AK143"/>
  <c r="AH143"/>
  <c r="AE143"/>
  <c r="Y143"/>
  <c r="V143"/>
  <c r="S143"/>
  <c r="P143"/>
  <c r="O143"/>
  <c r="Q143" s="1"/>
  <c r="M143"/>
  <c r="N143" s="1"/>
  <c r="L143"/>
  <c r="J143"/>
  <c r="I143"/>
  <c r="AV141"/>
  <c r="AP141"/>
  <c r="AO141"/>
  <c r="AM141"/>
  <c r="AL141"/>
  <c r="AJ141"/>
  <c r="BA141" s="1"/>
  <c r="AI141"/>
  <c r="AG141"/>
  <c r="AZ141" s="1"/>
  <c r="Z141"/>
  <c r="X141"/>
  <c r="W141"/>
  <c r="U141"/>
  <c r="T141"/>
  <c r="R141"/>
  <c r="AY141" s="1"/>
  <c r="Q141"/>
  <c r="O141"/>
  <c r="N141"/>
  <c r="L141"/>
  <c r="K141"/>
  <c r="I141"/>
  <c r="AW141" s="1"/>
  <c r="G141"/>
  <c r="F141"/>
  <c r="H141" s="1"/>
  <c r="BA140"/>
  <c r="AZ140"/>
  <c r="AY140"/>
  <c r="AX140"/>
  <c r="AV140"/>
  <c r="AU140"/>
  <c r="G140"/>
  <c r="F140"/>
  <c r="AR139"/>
  <c r="AQ139"/>
  <c r="AP139"/>
  <c r="AN139"/>
  <c r="AO139" s="1"/>
  <c r="AM139"/>
  <c r="AK139"/>
  <c r="AJ139"/>
  <c r="AL139" s="1"/>
  <c r="AH139"/>
  <c r="AI139" s="1"/>
  <c r="AG139"/>
  <c r="AF139"/>
  <c r="AE139"/>
  <c r="AD139"/>
  <c r="AB139"/>
  <c r="AA139"/>
  <c r="AZ139" s="1"/>
  <c r="Y139"/>
  <c r="Z139" s="1"/>
  <c r="X139"/>
  <c r="V139"/>
  <c r="U139"/>
  <c r="W139" s="1"/>
  <c r="S139"/>
  <c r="T139" s="1"/>
  <c r="R139"/>
  <c r="AY139" s="1"/>
  <c r="P139"/>
  <c r="O139"/>
  <c r="Q139" s="1"/>
  <c r="M139"/>
  <c r="N139" s="1"/>
  <c r="L139"/>
  <c r="J139"/>
  <c r="AV139" s="1"/>
  <c r="I139"/>
  <c r="AX139" s="1"/>
  <c r="G139"/>
  <c r="AV138"/>
  <c r="AU138"/>
  <c r="AV137"/>
  <c r="AU137"/>
  <c r="BA136"/>
  <c r="AZ136"/>
  <c r="AY136"/>
  <c r="AV136"/>
  <c r="AO136"/>
  <c r="AL136"/>
  <c r="Z136"/>
  <c r="W136"/>
  <c r="T136"/>
  <c r="Q136"/>
  <c r="L136"/>
  <c r="AW136" s="1"/>
  <c r="G136"/>
  <c r="AZ135"/>
  <c r="AY135"/>
  <c r="AX135"/>
  <c r="AX147" s="1"/>
  <c r="AW135"/>
  <c r="AV135"/>
  <c r="AU135"/>
  <c r="AM135"/>
  <c r="BA135" s="1"/>
  <c r="AL135"/>
  <c r="Z135"/>
  <c r="W135"/>
  <c r="T135"/>
  <c r="Q135"/>
  <c r="N135"/>
  <c r="G135"/>
  <c r="AR134"/>
  <c r="AQ134"/>
  <c r="AP134"/>
  <c r="AN134"/>
  <c r="AM134"/>
  <c r="BA134" s="1"/>
  <c r="AK134"/>
  <c r="AL134" s="1"/>
  <c r="AJ134"/>
  <c r="AI134"/>
  <c r="AH134"/>
  <c r="AG134"/>
  <c r="AF134"/>
  <c r="AE134"/>
  <c r="AD134"/>
  <c r="AB134"/>
  <c r="AA134"/>
  <c r="AZ134" s="1"/>
  <c r="Y134"/>
  <c r="X134"/>
  <c r="Z134" s="1"/>
  <c r="V134"/>
  <c r="W134" s="1"/>
  <c r="U134"/>
  <c r="S134"/>
  <c r="R134"/>
  <c r="AY134" s="1"/>
  <c r="P134"/>
  <c r="Q134" s="1"/>
  <c r="O134"/>
  <c r="M134"/>
  <c r="L134"/>
  <c r="AU134" s="1"/>
  <c r="K134"/>
  <c r="J134"/>
  <c r="AW134" s="1"/>
  <c r="I134"/>
  <c r="AX134" s="1"/>
  <c r="F134"/>
  <c r="AV133"/>
  <c r="AU133"/>
  <c r="AV132"/>
  <c r="AU132"/>
  <c r="BA131"/>
  <c r="AZ131"/>
  <c r="AY131"/>
  <c r="AX131"/>
  <c r="AV131"/>
  <c r="AU131"/>
  <c r="G131"/>
  <c r="F131"/>
  <c r="BA130"/>
  <c r="AZ130"/>
  <c r="AY130"/>
  <c r="AX130"/>
  <c r="AW130"/>
  <c r="AV130"/>
  <c r="AU130"/>
  <c r="AO130"/>
  <c r="AL130"/>
  <c r="AI130"/>
  <c r="AF130"/>
  <c r="AC130"/>
  <c r="Z130"/>
  <c r="W130"/>
  <c r="T130"/>
  <c r="Q130"/>
  <c r="N130"/>
  <c r="G130"/>
  <c r="F130"/>
  <c r="H130" s="1"/>
  <c r="AR129"/>
  <c r="AQ129"/>
  <c r="AP129"/>
  <c r="AN129"/>
  <c r="AO129" s="1"/>
  <c r="AM129"/>
  <c r="AK129"/>
  <c r="AJ129"/>
  <c r="AL129" s="1"/>
  <c r="AH129"/>
  <c r="AI129" s="1"/>
  <c r="AG129"/>
  <c r="AE129"/>
  <c r="AD129"/>
  <c r="AZ129" s="1"/>
  <c r="AB129"/>
  <c r="AC129" s="1"/>
  <c r="AA129"/>
  <c r="Y129"/>
  <c r="X129"/>
  <c r="Z129" s="1"/>
  <c r="V129"/>
  <c r="W129" s="1"/>
  <c r="U129"/>
  <c r="S129"/>
  <c r="R129"/>
  <c r="T129" s="1"/>
  <c r="P129"/>
  <c r="AV129" s="1"/>
  <c r="O129"/>
  <c r="M129"/>
  <c r="L129"/>
  <c r="N129" s="1"/>
  <c r="J129"/>
  <c r="AW129" s="1"/>
  <c r="I129"/>
  <c r="AX129" s="1"/>
  <c r="G129"/>
  <c r="AV128"/>
  <c r="AU128"/>
  <c r="AV127"/>
  <c r="AU127"/>
  <c r="BA126"/>
  <c r="AZ126"/>
  <c r="AY126"/>
  <c r="AX126"/>
  <c r="AV126"/>
  <c r="AU126"/>
  <c r="AC126"/>
  <c r="G126"/>
  <c r="H126" s="1"/>
  <c r="F126"/>
  <c r="BA125"/>
  <c r="AZ125"/>
  <c r="AY125"/>
  <c r="AX125"/>
  <c r="AV125"/>
  <c r="AU125"/>
  <c r="G125"/>
  <c r="F125"/>
  <c r="H125" s="1"/>
  <c r="AR124"/>
  <c r="AQ124"/>
  <c r="AP124"/>
  <c r="AO124"/>
  <c r="AN124"/>
  <c r="AM124"/>
  <c r="AL124"/>
  <c r="AK124"/>
  <c r="AJ124"/>
  <c r="BA124" s="1"/>
  <c r="AI124"/>
  <c r="AH124"/>
  <c r="AG124"/>
  <c r="AF124"/>
  <c r="AE124"/>
  <c r="AD124"/>
  <c r="AB124"/>
  <c r="AA124"/>
  <c r="AZ124" s="1"/>
  <c r="Y124"/>
  <c r="X124"/>
  <c r="W124"/>
  <c r="V124"/>
  <c r="U124"/>
  <c r="S124"/>
  <c r="R124"/>
  <c r="AY124" s="1"/>
  <c r="P124"/>
  <c r="O124"/>
  <c r="N124"/>
  <c r="M124"/>
  <c r="L124"/>
  <c r="AU124" s="1"/>
  <c r="K124"/>
  <c r="J124"/>
  <c r="AV124" s="1"/>
  <c r="I124"/>
  <c r="AX124" s="1"/>
  <c r="F124"/>
  <c r="BA123"/>
  <c r="AZ123"/>
  <c r="AY123"/>
  <c r="AX123"/>
  <c r="AV123"/>
  <c r="AU123"/>
  <c r="G123"/>
  <c r="F123"/>
  <c r="BA122"/>
  <c r="AZ122"/>
  <c r="AY122"/>
  <c r="AX122"/>
  <c r="AV122"/>
  <c r="AU122"/>
  <c r="G122"/>
  <c r="F122"/>
  <c r="AR121"/>
  <c r="AQ121"/>
  <c r="AP121"/>
  <c r="AO121"/>
  <c r="AN121"/>
  <c r="AM121"/>
  <c r="AL121"/>
  <c r="AK121"/>
  <c r="AJ121"/>
  <c r="BA121" s="1"/>
  <c r="AI121"/>
  <c r="AH121"/>
  <c r="AG121"/>
  <c r="AZ121" s="1"/>
  <c r="AF121"/>
  <c r="AE121"/>
  <c r="AD121"/>
  <c r="AB121"/>
  <c r="AA121"/>
  <c r="Y121"/>
  <c r="X121"/>
  <c r="W121"/>
  <c r="V121"/>
  <c r="U121"/>
  <c r="S121"/>
  <c r="R121"/>
  <c r="AY121" s="1"/>
  <c r="P121"/>
  <c r="O121"/>
  <c r="N121"/>
  <c r="M121"/>
  <c r="G121" s="1"/>
  <c r="L121"/>
  <c r="K121"/>
  <c r="J121"/>
  <c r="AV121" s="1"/>
  <c r="I121"/>
  <c r="AX121" s="1"/>
  <c r="F121"/>
  <c r="BA120"/>
  <c r="AZ120"/>
  <c r="AY120"/>
  <c r="AX120"/>
  <c r="AW120"/>
  <c r="AV120"/>
  <c r="AU120"/>
  <c r="AC120"/>
  <c r="W120"/>
  <c r="G120"/>
  <c r="F120"/>
  <c r="H120" s="1"/>
  <c r="BA119"/>
  <c r="AZ119"/>
  <c r="AY119"/>
  <c r="AX119"/>
  <c r="AV119"/>
  <c r="AU119"/>
  <c r="G119"/>
  <c r="F119"/>
  <c r="AR118"/>
  <c r="AQ118"/>
  <c r="AP118"/>
  <c r="AO118"/>
  <c r="AN118"/>
  <c r="AM118"/>
  <c r="AL118"/>
  <c r="AK118"/>
  <c r="AJ118"/>
  <c r="BA118" s="1"/>
  <c r="AI118"/>
  <c r="AH118"/>
  <c r="AG118"/>
  <c r="AF118"/>
  <c r="AE118"/>
  <c r="AD118"/>
  <c r="AB118"/>
  <c r="AC118" s="1"/>
  <c r="AA118"/>
  <c r="AZ118" s="1"/>
  <c r="Y118"/>
  <c r="X118"/>
  <c r="V118"/>
  <c r="U118"/>
  <c r="W118" s="1"/>
  <c r="S118"/>
  <c r="R118"/>
  <c r="AY118" s="1"/>
  <c r="P118"/>
  <c r="O118"/>
  <c r="N118"/>
  <c r="M118"/>
  <c r="L118"/>
  <c r="K118"/>
  <c r="J118"/>
  <c r="AV118" s="1"/>
  <c r="I118"/>
  <c r="AX118" s="1"/>
  <c r="G118"/>
  <c r="BA117"/>
  <c r="AZ117"/>
  <c r="AY117"/>
  <c r="AX117"/>
  <c r="AV117"/>
  <c r="AU117"/>
  <c r="G117"/>
  <c r="F117"/>
  <c r="BA116"/>
  <c r="AZ116"/>
  <c r="AY116"/>
  <c r="AX116"/>
  <c r="AV116"/>
  <c r="AU116"/>
  <c r="G116"/>
  <c r="F116"/>
  <c r="AY115"/>
  <c r="AR115"/>
  <c r="AQ115"/>
  <c r="AP115"/>
  <c r="AN115"/>
  <c r="AM115"/>
  <c r="BA115" s="1"/>
  <c r="AL115"/>
  <c r="AK115"/>
  <c r="AJ115"/>
  <c r="AI115"/>
  <c r="AH115"/>
  <c r="AG115"/>
  <c r="AF115"/>
  <c r="AE115"/>
  <c r="AD115"/>
  <c r="AC115"/>
  <c r="AB115"/>
  <c r="AA115"/>
  <c r="AZ115" s="1"/>
  <c r="W115"/>
  <c r="V115"/>
  <c r="U115"/>
  <c r="S115"/>
  <c r="R115"/>
  <c r="P115"/>
  <c r="O115"/>
  <c r="N115"/>
  <c r="M115"/>
  <c r="L115"/>
  <c r="F115" s="1"/>
  <c r="K115"/>
  <c r="J115"/>
  <c r="AV115" s="1"/>
  <c r="I115"/>
  <c r="AX115" s="1"/>
  <c r="G115"/>
  <c r="BA114"/>
  <c r="AZ114"/>
  <c r="AY114"/>
  <c r="AX114"/>
  <c r="AV114"/>
  <c r="AU114"/>
  <c r="Q114"/>
  <c r="G114"/>
  <c r="F114"/>
  <c r="BA113"/>
  <c r="AZ113"/>
  <c r="AY113"/>
  <c r="AX113"/>
  <c r="AV113"/>
  <c r="AU113"/>
  <c r="Q113"/>
  <c r="G113"/>
  <c r="F113"/>
  <c r="AR112"/>
  <c r="AQ112"/>
  <c r="AP112"/>
  <c r="AO112"/>
  <c r="AN112"/>
  <c r="AM112"/>
  <c r="AL112"/>
  <c r="AK112"/>
  <c r="AJ112"/>
  <c r="BA112" s="1"/>
  <c r="AI112"/>
  <c r="AH112"/>
  <c r="AG112"/>
  <c r="AF112"/>
  <c r="AE112"/>
  <c r="AD112"/>
  <c r="AC112"/>
  <c r="AB112"/>
  <c r="AA112"/>
  <c r="AZ112" s="1"/>
  <c r="Y112"/>
  <c r="X112"/>
  <c r="W112"/>
  <c r="V112"/>
  <c r="U112"/>
  <c r="S112"/>
  <c r="R112"/>
  <c r="AY112" s="1"/>
  <c r="P112"/>
  <c r="Q112" s="1"/>
  <c r="O112"/>
  <c r="N112"/>
  <c r="M112"/>
  <c r="L112"/>
  <c r="F112" s="1"/>
  <c r="K112"/>
  <c r="J112"/>
  <c r="AV112" s="1"/>
  <c r="I112"/>
  <c r="AX112" s="1"/>
  <c r="G112"/>
  <c r="BA111"/>
  <c r="AZ111"/>
  <c r="AY111"/>
  <c r="AX111"/>
  <c r="AW111"/>
  <c r="AV111"/>
  <c r="AU111"/>
  <c r="AO111"/>
  <c r="AL111"/>
  <c r="AI111"/>
  <c r="AF111"/>
  <c r="AC111"/>
  <c r="Z111"/>
  <c r="W111"/>
  <c r="T111"/>
  <c r="Q111"/>
  <c r="G111"/>
  <c r="F111"/>
  <c r="H111" s="1"/>
  <c r="BA110"/>
  <c r="AY110"/>
  <c r="AX110"/>
  <c r="AV110"/>
  <c r="AF110"/>
  <c r="AA110"/>
  <c r="AZ110" s="1"/>
  <c r="Z110"/>
  <c r="W110"/>
  <c r="G110"/>
  <c r="AR109"/>
  <c r="AQ109"/>
  <c r="AP109"/>
  <c r="AN109"/>
  <c r="AM109"/>
  <c r="BA109" s="1"/>
  <c r="AK109"/>
  <c r="AL109" s="1"/>
  <c r="AJ109"/>
  <c r="AH109"/>
  <c r="AG109"/>
  <c r="AI109" s="1"/>
  <c r="AE109"/>
  <c r="AF109" s="1"/>
  <c r="AD109"/>
  <c r="AB109"/>
  <c r="AA109"/>
  <c r="AC109" s="1"/>
  <c r="Y109"/>
  <c r="Z109" s="1"/>
  <c r="X109"/>
  <c r="V109"/>
  <c r="U109"/>
  <c r="AY109" s="1"/>
  <c r="S109"/>
  <c r="T109" s="1"/>
  <c r="R109"/>
  <c r="P109"/>
  <c r="O109"/>
  <c r="Q109" s="1"/>
  <c r="N109"/>
  <c r="M109"/>
  <c r="AW109" s="1"/>
  <c r="L109"/>
  <c r="K109"/>
  <c r="J109"/>
  <c r="AV109" s="1"/>
  <c r="I109"/>
  <c r="AU109" s="1"/>
  <c r="G109"/>
  <c r="BA108"/>
  <c r="AY108"/>
  <c r="AX108"/>
  <c r="AO108"/>
  <c r="AI108"/>
  <c r="AD108"/>
  <c r="AF108" s="1"/>
  <c r="AA108"/>
  <c r="AU108" s="1"/>
  <c r="Y108"/>
  <c r="AW108" s="1"/>
  <c r="T108"/>
  <c r="Q108"/>
  <c r="G108"/>
  <c r="BA107"/>
  <c r="AY107"/>
  <c r="AX107"/>
  <c r="AW107"/>
  <c r="AV107"/>
  <c r="AU107"/>
  <c r="AO107"/>
  <c r="AI107"/>
  <c r="AF107"/>
  <c r="AC107"/>
  <c r="AA107"/>
  <c r="AZ107" s="1"/>
  <c r="T107"/>
  <c r="G107"/>
  <c r="H107" s="1"/>
  <c r="F107"/>
  <c r="AR106"/>
  <c r="AR158" s="1"/>
  <c r="AQ106"/>
  <c r="AQ158" s="1"/>
  <c r="AP106"/>
  <c r="AP158" s="1"/>
  <c r="AN106"/>
  <c r="AN158" s="1"/>
  <c r="AM106"/>
  <c r="AM158" s="1"/>
  <c r="AK106"/>
  <c r="AK158" s="1"/>
  <c r="AJ106"/>
  <c r="AJ158" s="1"/>
  <c r="AH106"/>
  <c r="AH158" s="1"/>
  <c r="AG106"/>
  <c r="AG158" s="1"/>
  <c r="AE106"/>
  <c r="AE158" s="1"/>
  <c r="AD106"/>
  <c r="AD158" s="1"/>
  <c r="AB106"/>
  <c r="AB158" s="1"/>
  <c r="AA106"/>
  <c r="AA158" s="1"/>
  <c r="AA165" s="1"/>
  <c r="Y106"/>
  <c r="Y158" s="1"/>
  <c r="X106"/>
  <c r="X158" s="1"/>
  <c r="V106"/>
  <c r="V158" s="1"/>
  <c r="U106"/>
  <c r="U158" s="1"/>
  <c r="S106"/>
  <c r="S158" s="1"/>
  <c r="R106"/>
  <c r="AY106" s="1"/>
  <c r="P106"/>
  <c r="Q106" s="1"/>
  <c r="O106"/>
  <c r="O158" s="1"/>
  <c r="N106"/>
  <c r="M106"/>
  <c r="L106"/>
  <c r="AU106" s="1"/>
  <c r="K106"/>
  <c r="J106"/>
  <c r="AW106" s="1"/>
  <c r="I106"/>
  <c r="I158" s="1"/>
  <c r="F106"/>
  <c r="AV105"/>
  <c r="AU105"/>
  <c r="AV104"/>
  <c r="AU104"/>
  <c r="BA103"/>
  <c r="AZ103"/>
  <c r="AX103"/>
  <c r="AV103"/>
  <c r="AI103"/>
  <c r="AF103"/>
  <c r="AC103"/>
  <c r="Z103"/>
  <c r="W103"/>
  <c r="U103"/>
  <c r="AY103" s="1"/>
  <c r="T103"/>
  <c r="Q103"/>
  <c r="N103"/>
  <c r="L103"/>
  <c r="AW103" s="1"/>
  <c r="K103"/>
  <c r="G103"/>
  <c r="H103" s="1"/>
  <c r="F103"/>
  <c r="BA102"/>
  <c r="AY102"/>
  <c r="AX102"/>
  <c r="AW102"/>
  <c r="AV102"/>
  <c r="AU102"/>
  <c r="AP102"/>
  <c r="AO102"/>
  <c r="AM102"/>
  <c r="AL102"/>
  <c r="AJ102"/>
  <c r="AI102"/>
  <c r="AG102"/>
  <c r="AZ102" s="1"/>
  <c r="AF102"/>
  <c r="AC102"/>
  <c r="Z102"/>
  <c r="X102"/>
  <c r="W102"/>
  <c r="T102"/>
  <c r="Q102"/>
  <c r="N102"/>
  <c r="K102"/>
  <c r="G102"/>
  <c r="H102" s="1"/>
  <c r="F102"/>
  <c r="AR101"/>
  <c r="AQ101"/>
  <c r="AP101"/>
  <c r="AN101"/>
  <c r="AO101" s="1"/>
  <c r="AM101"/>
  <c r="AK101"/>
  <c r="AJ101"/>
  <c r="AL101" s="1"/>
  <c r="AH101"/>
  <c r="AI101" s="1"/>
  <c r="AG101"/>
  <c r="AE101"/>
  <c r="AD101"/>
  <c r="AF101" s="1"/>
  <c r="AB101"/>
  <c r="AC101" s="1"/>
  <c r="AA101"/>
  <c r="Y101"/>
  <c r="X101"/>
  <c r="Z101" s="1"/>
  <c r="V101"/>
  <c r="W101" s="1"/>
  <c r="U101"/>
  <c r="S101"/>
  <c r="R101"/>
  <c r="AY101" s="1"/>
  <c r="P101"/>
  <c r="Q101" s="1"/>
  <c r="O101"/>
  <c r="M101"/>
  <c r="L101"/>
  <c r="N101" s="1"/>
  <c r="J101"/>
  <c r="AV101" s="1"/>
  <c r="I101"/>
  <c r="F101"/>
  <c r="AZ100"/>
  <c r="AV100"/>
  <c r="AP100"/>
  <c r="AM100"/>
  <c r="BA100" s="1"/>
  <c r="AL100"/>
  <c r="AI100"/>
  <c r="AG100"/>
  <c r="AF100"/>
  <c r="AD100"/>
  <c r="AC100"/>
  <c r="AA100"/>
  <c r="Z100"/>
  <c r="X100"/>
  <c r="W100"/>
  <c r="U100"/>
  <c r="T100"/>
  <c r="R100"/>
  <c r="AY100" s="1"/>
  <c r="Q100"/>
  <c r="O100"/>
  <c r="N100"/>
  <c r="L100"/>
  <c r="K100"/>
  <c r="I100"/>
  <c r="AX100" s="1"/>
  <c r="G100"/>
  <c r="F100"/>
  <c r="H100" s="1"/>
  <c r="AZ99"/>
  <c r="AY99"/>
  <c r="AX99"/>
  <c r="AV99"/>
  <c r="AU99"/>
  <c r="AP99"/>
  <c r="BA99" s="1"/>
  <c r="G99"/>
  <c r="F99"/>
  <c r="AR98"/>
  <c r="AQ98"/>
  <c r="AP98"/>
  <c r="AN98"/>
  <c r="AM98"/>
  <c r="BA98" s="1"/>
  <c r="AK98"/>
  <c r="AL98" s="1"/>
  <c r="AJ98"/>
  <c r="AH98"/>
  <c r="AG98"/>
  <c r="AI98" s="1"/>
  <c r="AE98"/>
  <c r="AF98" s="1"/>
  <c r="AD98"/>
  <c r="AB98"/>
  <c r="AA98"/>
  <c r="AC98" s="1"/>
  <c r="Y98"/>
  <c r="Z98" s="1"/>
  <c r="X98"/>
  <c r="V98"/>
  <c r="U98"/>
  <c r="W98" s="1"/>
  <c r="S98"/>
  <c r="T98" s="1"/>
  <c r="R98"/>
  <c r="AY98" s="1"/>
  <c r="P98"/>
  <c r="O98"/>
  <c r="Q98" s="1"/>
  <c r="M98"/>
  <c r="N98" s="1"/>
  <c r="L98"/>
  <c r="J98"/>
  <c r="AW98" s="1"/>
  <c r="I98"/>
  <c r="AU98" s="1"/>
  <c r="G98"/>
  <c r="BA97"/>
  <c r="AZ97"/>
  <c r="AY97"/>
  <c r="AX97"/>
  <c r="AV97"/>
  <c r="AU97"/>
  <c r="BA96"/>
  <c r="AZ96"/>
  <c r="AY96"/>
  <c r="AX96"/>
  <c r="AV96"/>
  <c r="AU96"/>
  <c r="AZ95"/>
  <c r="AY95"/>
  <c r="AM95"/>
  <c r="AO95" s="1"/>
  <c r="AJ95"/>
  <c r="AJ144" s="1"/>
  <c r="AE95"/>
  <c r="AC95"/>
  <c r="Z95"/>
  <c r="W95"/>
  <c r="T95"/>
  <c r="Q95"/>
  <c r="M95"/>
  <c r="M144" s="1"/>
  <c r="L95"/>
  <c r="J95"/>
  <c r="AV95" s="1"/>
  <c r="I95"/>
  <c r="AU95" s="1"/>
  <c r="G95"/>
  <c r="BA94"/>
  <c r="AZ94"/>
  <c r="AX94"/>
  <c r="AV94"/>
  <c r="R94"/>
  <c r="AY94" s="1"/>
  <c r="G94"/>
  <c r="AR93"/>
  <c r="AQ93"/>
  <c r="AP93"/>
  <c r="AN93"/>
  <c r="AM93"/>
  <c r="BA93" s="1"/>
  <c r="AK93"/>
  <c r="AL93" s="1"/>
  <c r="AJ93"/>
  <c r="AI93"/>
  <c r="AH93"/>
  <c r="AG93"/>
  <c r="AF93"/>
  <c r="AE93"/>
  <c r="AD93"/>
  <c r="AB93"/>
  <c r="AA93"/>
  <c r="AC93" s="1"/>
  <c r="AC157" s="1"/>
  <c r="Y93"/>
  <c r="Z93" s="1"/>
  <c r="X93"/>
  <c r="V93"/>
  <c r="U93"/>
  <c r="W93" s="1"/>
  <c r="S93"/>
  <c r="P93"/>
  <c r="O93"/>
  <c r="Q93" s="1"/>
  <c r="M93"/>
  <c r="L93"/>
  <c r="J93"/>
  <c r="AV93" s="1"/>
  <c r="I93"/>
  <c r="G93"/>
  <c r="BA92"/>
  <c r="AZ92"/>
  <c r="AY92"/>
  <c r="AX92"/>
  <c r="AV92"/>
  <c r="AU92"/>
  <c r="AO92"/>
  <c r="G92"/>
  <c r="F92"/>
  <c r="BA91"/>
  <c r="AZ91"/>
  <c r="AX91"/>
  <c r="AV91"/>
  <c r="AI91"/>
  <c r="U91"/>
  <c r="AY91" s="1"/>
  <c r="T91"/>
  <c r="G91"/>
  <c r="F91"/>
  <c r="H91" s="1"/>
  <c r="AZ90"/>
  <c r="AR90"/>
  <c r="AQ90"/>
  <c r="AP90"/>
  <c r="AN90"/>
  <c r="AO90" s="1"/>
  <c r="AM90"/>
  <c r="AL90"/>
  <c r="AK90"/>
  <c r="AJ90"/>
  <c r="BA90" s="1"/>
  <c r="AH90"/>
  <c r="AI90" s="1"/>
  <c r="AG90"/>
  <c r="AE90"/>
  <c r="AD90"/>
  <c r="AB90"/>
  <c r="AA90"/>
  <c r="Y90"/>
  <c r="X90"/>
  <c r="V90"/>
  <c r="U90"/>
  <c r="W90" s="1"/>
  <c r="S90"/>
  <c r="T90" s="1"/>
  <c r="R90"/>
  <c r="AY90" s="1"/>
  <c r="P90"/>
  <c r="O90"/>
  <c r="M90"/>
  <c r="AV90" s="1"/>
  <c r="L90"/>
  <c r="K90"/>
  <c r="J90"/>
  <c r="AW90" s="1"/>
  <c r="I90"/>
  <c r="AX90" s="1"/>
  <c r="G90"/>
  <c r="BA89"/>
  <c r="AZ89"/>
  <c r="AY89"/>
  <c r="AX89"/>
  <c r="AW89"/>
  <c r="AV89"/>
  <c r="AU89"/>
  <c r="AL89"/>
  <c r="W89"/>
  <c r="G89"/>
  <c r="H89" s="1"/>
  <c r="F89"/>
  <c r="BA88"/>
  <c r="AZ88"/>
  <c r="AY88"/>
  <c r="AX88"/>
  <c r="AV88"/>
  <c r="AU88"/>
  <c r="G88"/>
  <c r="F88"/>
  <c r="AR87"/>
  <c r="AQ87"/>
  <c r="AP87"/>
  <c r="AO87"/>
  <c r="AN87"/>
  <c r="AM87"/>
  <c r="BA87" s="1"/>
  <c r="AK87"/>
  <c r="AL87" s="1"/>
  <c r="AJ87"/>
  <c r="AH87"/>
  <c r="AG87"/>
  <c r="AF87"/>
  <c r="AE87"/>
  <c r="AD87"/>
  <c r="AB87"/>
  <c r="AA87"/>
  <c r="AZ87" s="1"/>
  <c r="Y87"/>
  <c r="X87"/>
  <c r="AY87" s="1"/>
  <c r="V87"/>
  <c r="W87" s="1"/>
  <c r="U87"/>
  <c r="S87"/>
  <c r="R87"/>
  <c r="P87"/>
  <c r="O87"/>
  <c r="M87"/>
  <c r="AW87" s="1"/>
  <c r="L87"/>
  <c r="K87"/>
  <c r="J87"/>
  <c r="AV87" s="1"/>
  <c r="I87"/>
  <c r="AU87" s="1"/>
  <c r="G87"/>
  <c r="G86"/>
  <c r="F86"/>
  <c r="BA85"/>
  <c r="AY85"/>
  <c r="AX85"/>
  <c r="AI85"/>
  <c r="AE85"/>
  <c r="AE144" s="1"/>
  <c r="AD85"/>
  <c r="AW85" s="1"/>
  <c r="G85"/>
  <c r="BA84"/>
  <c r="AZ84"/>
  <c r="AY84"/>
  <c r="AX84"/>
  <c r="AW84"/>
  <c r="AV84"/>
  <c r="AU84"/>
  <c r="Z84"/>
  <c r="G84"/>
  <c r="F84"/>
  <c r="H84" s="1"/>
  <c r="AR83"/>
  <c r="AQ83"/>
  <c r="AP83"/>
  <c r="AN83"/>
  <c r="AM83"/>
  <c r="AL83"/>
  <c r="AK83"/>
  <c r="AJ83"/>
  <c r="BA83" s="1"/>
  <c r="AH83"/>
  <c r="AG83"/>
  <c r="AI83" s="1"/>
  <c r="AE83"/>
  <c r="AB83"/>
  <c r="AA83"/>
  <c r="Y83"/>
  <c r="X83"/>
  <c r="Z83" s="1"/>
  <c r="Z157" s="1"/>
  <c r="W83"/>
  <c r="V83"/>
  <c r="U83"/>
  <c r="S83"/>
  <c r="R83"/>
  <c r="AY83" s="1"/>
  <c r="P83"/>
  <c r="O83"/>
  <c r="M83"/>
  <c r="AV83" s="1"/>
  <c r="L83"/>
  <c r="K83"/>
  <c r="J83"/>
  <c r="I83"/>
  <c r="AX83" s="1"/>
  <c r="G83"/>
  <c r="BA82"/>
  <c r="AZ82"/>
  <c r="AY82"/>
  <c r="AX82"/>
  <c r="AW82"/>
  <c r="AV82"/>
  <c r="AU82"/>
  <c r="G82"/>
  <c r="F82"/>
  <c r="BA81"/>
  <c r="AZ81"/>
  <c r="AY81"/>
  <c r="AX81"/>
  <c r="AW81"/>
  <c r="AV81"/>
  <c r="AU81"/>
  <c r="G81"/>
  <c r="F81"/>
  <c r="H81" s="1"/>
  <c r="AR80"/>
  <c r="AQ80"/>
  <c r="AP80"/>
  <c r="AO80"/>
  <c r="AN80"/>
  <c r="AM80"/>
  <c r="AL80"/>
  <c r="AK80"/>
  <c r="AJ80"/>
  <c r="BA80" s="1"/>
  <c r="AH80"/>
  <c r="AG80"/>
  <c r="AZ80" s="1"/>
  <c r="AF80"/>
  <c r="AE80"/>
  <c r="AD80"/>
  <c r="AB80"/>
  <c r="AA80"/>
  <c r="Y80"/>
  <c r="X80"/>
  <c r="W80"/>
  <c r="V80"/>
  <c r="U80"/>
  <c r="S80"/>
  <c r="R80"/>
  <c r="AY80" s="1"/>
  <c r="P80"/>
  <c r="O80"/>
  <c r="M80"/>
  <c r="L80"/>
  <c r="AX80" s="1"/>
  <c r="K80"/>
  <c r="J80"/>
  <c r="AV80" s="1"/>
  <c r="I80"/>
  <c r="AU80" s="1"/>
  <c r="F80"/>
  <c r="BA79"/>
  <c r="AZ79"/>
  <c r="AY79"/>
  <c r="AX79"/>
  <c r="AW79"/>
  <c r="AV79"/>
  <c r="AU79"/>
  <c r="AO79"/>
  <c r="W79"/>
  <c r="G79"/>
  <c r="F79"/>
  <c r="BA78"/>
  <c r="AZ78"/>
  <c r="AY78"/>
  <c r="AX78"/>
  <c r="AW78"/>
  <c r="AV78"/>
  <c r="AU78"/>
  <c r="G78"/>
  <c r="H78" s="1"/>
  <c r="F78"/>
  <c r="AR77"/>
  <c r="AQ77"/>
  <c r="AP77"/>
  <c r="AN77"/>
  <c r="AM77"/>
  <c r="BA77" s="1"/>
  <c r="AL77"/>
  <c r="AK77"/>
  <c r="AJ77"/>
  <c r="AH77"/>
  <c r="AG77"/>
  <c r="AE77"/>
  <c r="AD77"/>
  <c r="AB77"/>
  <c r="AA77"/>
  <c r="AZ77" s="1"/>
  <c r="Y77"/>
  <c r="X77"/>
  <c r="V77"/>
  <c r="U77"/>
  <c r="W77" s="1"/>
  <c r="S77"/>
  <c r="R77"/>
  <c r="AY77" s="1"/>
  <c r="P77"/>
  <c r="O77"/>
  <c r="M77"/>
  <c r="L77"/>
  <c r="AU77" s="1"/>
  <c r="K77"/>
  <c r="J77"/>
  <c r="AW77" s="1"/>
  <c r="I77"/>
  <c r="AX77" s="1"/>
  <c r="F77"/>
  <c r="AU76"/>
  <c r="AH76"/>
  <c r="AH145" s="1"/>
  <c r="G76"/>
  <c r="G145" s="1"/>
  <c r="F76"/>
  <c r="BA75"/>
  <c r="AZ75"/>
  <c r="AY75"/>
  <c r="AX75"/>
  <c r="AV75"/>
  <c r="AU75"/>
  <c r="AL75"/>
  <c r="AI75"/>
  <c r="G75"/>
  <c r="F75"/>
  <c r="H75" s="1"/>
  <c r="BA74"/>
  <c r="AZ74"/>
  <c r="AY74"/>
  <c r="AX74"/>
  <c r="AV74"/>
  <c r="AU74"/>
  <c r="G74"/>
  <c r="F74"/>
  <c r="AZ73"/>
  <c r="AR73"/>
  <c r="AR157" s="1"/>
  <c r="AQ73"/>
  <c r="AQ157" s="1"/>
  <c r="AP73"/>
  <c r="AP157" s="1"/>
  <c r="AN73"/>
  <c r="AN157" s="1"/>
  <c r="AM73"/>
  <c r="AK73"/>
  <c r="AJ73"/>
  <c r="AJ157" s="1"/>
  <c r="AH73"/>
  <c r="AH157" s="1"/>
  <c r="AG73"/>
  <c r="AG157" s="1"/>
  <c r="AE73"/>
  <c r="AE157" s="1"/>
  <c r="AD73"/>
  <c r="AB73"/>
  <c r="AB157" s="1"/>
  <c r="AA73"/>
  <c r="AA157" s="1"/>
  <c r="Y73"/>
  <c r="Y157" s="1"/>
  <c r="X73"/>
  <c r="X157" s="1"/>
  <c r="W73"/>
  <c r="V73"/>
  <c r="V157" s="1"/>
  <c r="U73"/>
  <c r="U157" s="1"/>
  <c r="S73"/>
  <c r="S157" s="1"/>
  <c r="R73"/>
  <c r="AY73" s="1"/>
  <c r="P73"/>
  <c r="O73"/>
  <c r="O157" s="1"/>
  <c r="M73"/>
  <c r="L73"/>
  <c r="L157" s="1"/>
  <c r="K73"/>
  <c r="J73"/>
  <c r="AV73" s="1"/>
  <c r="I73"/>
  <c r="I157" s="1"/>
  <c r="F73"/>
  <c r="AV72"/>
  <c r="AU72"/>
  <c r="AV71"/>
  <c r="AU71"/>
  <c r="BA70"/>
  <c r="AZ70"/>
  <c r="AY70"/>
  <c r="AX70"/>
  <c r="AV70"/>
  <c r="AU70"/>
  <c r="G70"/>
  <c r="H70" s="1"/>
  <c r="F70"/>
  <c r="BA69"/>
  <c r="AZ69"/>
  <c r="AY69"/>
  <c r="AX69"/>
  <c r="AV69"/>
  <c r="AU69"/>
  <c r="G69"/>
  <c r="F69"/>
  <c r="AR68"/>
  <c r="AQ68"/>
  <c r="AP68"/>
  <c r="AO68"/>
  <c r="AN68"/>
  <c r="AM68"/>
  <c r="AL68"/>
  <c r="AK68"/>
  <c r="AJ68"/>
  <c r="BA68" s="1"/>
  <c r="AH68"/>
  <c r="AG68"/>
  <c r="AF68"/>
  <c r="AE68"/>
  <c r="AD68"/>
  <c r="AB68"/>
  <c r="AA68"/>
  <c r="AZ68" s="1"/>
  <c r="Y68"/>
  <c r="X68"/>
  <c r="W68"/>
  <c r="V68"/>
  <c r="U68"/>
  <c r="S68"/>
  <c r="R68"/>
  <c r="AY68" s="1"/>
  <c r="P68"/>
  <c r="O68"/>
  <c r="M68"/>
  <c r="L68"/>
  <c r="K68"/>
  <c r="J68"/>
  <c r="AV68" s="1"/>
  <c r="I68"/>
  <c r="AX68" s="1"/>
  <c r="F68"/>
  <c r="BA67"/>
  <c r="AZ67"/>
  <c r="AX67"/>
  <c r="AV67"/>
  <c r="R67"/>
  <c r="AU67" s="1"/>
  <c r="G67"/>
  <c r="F67"/>
  <c r="BA66"/>
  <c r="AZ66"/>
  <c r="AY66"/>
  <c r="AX66"/>
  <c r="AV66"/>
  <c r="AU66"/>
  <c r="G66"/>
  <c r="F66"/>
  <c r="AR65"/>
  <c r="AQ65"/>
  <c r="AP65"/>
  <c r="AO65"/>
  <c r="AN65"/>
  <c r="AM65"/>
  <c r="AL65"/>
  <c r="AK65"/>
  <c r="AJ65"/>
  <c r="BA65" s="1"/>
  <c r="AI65"/>
  <c r="AH65"/>
  <c r="AG65"/>
  <c r="AZ65" s="1"/>
  <c r="AF65"/>
  <c r="AE65"/>
  <c r="AD65"/>
  <c r="AB65"/>
  <c r="AA65"/>
  <c r="Y65"/>
  <c r="X65"/>
  <c r="W65"/>
  <c r="V65"/>
  <c r="U65"/>
  <c r="S65"/>
  <c r="P65"/>
  <c r="O65"/>
  <c r="M65"/>
  <c r="G65" s="1"/>
  <c r="L65"/>
  <c r="K65"/>
  <c r="J65"/>
  <c r="AV65" s="1"/>
  <c r="I65"/>
  <c r="AX65" s="1"/>
  <c r="BA64"/>
  <c r="AZ64"/>
  <c r="AY64"/>
  <c r="AX64"/>
  <c r="AW64"/>
  <c r="AV64"/>
  <c r="AU64"/>
  <c r="AO64"/>
  <c r="AL64"/>
  <c r="AI64"/>
  <c r="AC64"/>
  <c r="Q64"/>
  <c r="K64"/>
  <c r="G64"/>
  <c r="F64"/>
  <c r="H64" s="1"/>
  <c r="BA63"/>
  <c r="AZ63"/>
  <c r="AY63"/>
  <c r="AX63"/>
  <c r="AV63"/>
  <c r="AU63"/>
  <c r="G63"/>
  <c r="F63"/>
  <c r="AR62"/>
  <c r="AQ62"/>
  <c r="AP62"/>
  <c r="AN62"/>
  <c r="AO62" s="1"/>
  <c r="AM62"/>
  <c r="AK62"/>
  <c r="AJ62"/>
  <c r="AL62" s="1"/>
  <c r="AH62"/>
  <c r="AI62" s="1"/>
  <c r="AG62"/>
  <c r="AF62"/>
  <c r="AE62"/>
  <c r="AD62"/>
  <c r="AZ62" s="1"/>
  <c r="AB62"/>
  <c r="AC62" s="1"/>
  <c r="AA62"/>
  <c r="Y62"/>
  <c r="X62"/>
  <c r="V62"/>
  <c r="U62"/>
  <c r="S62"/>
  <c r="R62"/>
  <c r="AY62" s="1"/>
  <c r="P62"/>
  <c r="O62"/>
  <c r="Q62" s="1"/>
  <c r="M62"/>
  <c r="L62"/>
  <c r="AX62" s="1"/>
  <c r="J62"/>
  <c r="AV62" s="1"/>
  <c r="I62"/>
  <c r="AU62" s="1"/>
  <c r="F62"/>
  <c r="BA61"/>
  <c r="AZ61"/>
  <c r="AY61"/>
  <c r="AX61"/>
  <c r="AV61"/>
  <c r="AI61"/>
  <c r="AG61"/>
  <c r="AW61" s="1"/>
  <c r="Q61"/>
  <c r="G61"/>
  <c r="H61" s="1"/>
  <c r="F61"/>
  <c r="BA60"/>
  <c r="AZ60"/>
  <c r="AY60"/>
  <c r="AX60"/>
  <c r="AV60"/>
  <c r="AU60"/>
  <c r="G60"/>
  <c r="F60"/>
  <c r="AR59"/>
  <c r="AQ59"/>
  <c r="AP59"/>
  <c r="AO59"/>
  <c r="AN59"/>
  <c r="AM59"/>
  <c r="BA59" s="1"/>
  <c r="AL59"/>
  <c r="AK59"/>
  <c r="AJ59"/>
  <c r="AH59"/>
  <c r="AG59"/>
  <c r="AI59" s="1"/>
  <c r="AF59"/>
  <c r="AE59"/>
  <c r="AD59"/>
  <c r="AC59"/>
  <c r="AB59"/>
  <c r="AA59"/>
  <c r="AZ59" s="1"/>
  <c r="Y59"/>
  <c r="X59"/>
  <c r="AY59" s="1"/>
  <c r="W59"/>
  <c r="V59"/>
  <c r="U59"/>
  <c r="S59"/>
  <c r="R59"/>
  <c r="P59"/>
  <c r="O59"/>
  <c r="Q59" s="1"/>
  <c r="M59"/>
  <c r="L59"/>
  <c r="AU59" s="1"/>
  <c r="K59"/>
  <c r="J59"/>
  <c r="AW59" s="1"/>
  <c r="I59"/>
  <c r="AX59" s="1"/>
  <c r="F59"/>
  <c r="BA58"/>
  <c r="AZ58"/>
  <c r="AY58"/>
  <c r="AX58"/>
  <c r="AV58"/>
  <c r="AU58"/>
  <c r="G58"/>
  <c r="F58"/>
  <c r="BA57"/>
  <c r="AZ57"/>
  <c r="AY57"/>
  <c r="AX57"/>
  <c r="AV57"/>
  <c r="AU57"/>
  <c r="G57"/>
  <c r="F57"/>
  <c r="AR56"/>
  <c r="AR156" s="1"/>
  <c r="AQ56"/>
  <c r="AQ156" s="1"/>
  <c r="AP56"/>
  <c r="AP156" s="1"/>
  <c r="AO56"/>
  <c r="AN56"/>
  <c r="AN156" s="1"/>
  <c r="AM56"/>
  <c r="AM156" s="1"/>
  <c r="AL56"/>
  <c r="AK56"/>
  <c r="AK156" s="1"/>
  <c r="AJ56"/>
  <c r="AJ156" s="1"/>
  <c r="AI56"/>
  <c r="AH56"/>
  <c r="AH156" s="1"/>
  <c r="AG56"/>
  <c r="AG156" s="1"/>
  <c r="AF56"/>
  <c r="AF156" s="1"/>
  <c r="AE56"/>
  <c r="AE156" s="1"/>
  <c r="AD56"/>
  <c r="AD156" s="1"/>
  <c r="AC56"/>
  <c r="AB56"/>
  <c r="AB156" s="1"/>
  <c r="AA56"/>
  <c r="AA156" s="1"/>
  <c r="AA162" s="1"/>
  <c r="Y56"/>
  <c r="Y156" s="1"/>
  <c r="X56"/>
  <c r="X156" s="1"/>
  <c r="W56"/>
  <c r="W156" s="1"/>
  <c r="V56"/>
  <c r="V156" s="1"/>
  <c r="U56"/>
  <c r="U156" s="1"/>
  <c r="S56"/>
  <c r="S156" s="1"/>
  <c r="R56"/>
  <c r="P56"/>
  <c r="O56"/>
  <c r="M56"/>
  <c r="G56" s="1"/>
  <c r="L56"/>
  <c r="K56"/>
  <c r="J56"/>
  <c r="AV56" s="1"/>
  <c r="I56"/>
  <c r="I156" s="1"/>
  <c r="F56"/>
  <c r="AV55"/>
  <c r="AU55"/>
  <c r="AV54"/>
  <c r="AU54"/>
  <c r="BA53"/>
  <c r="AZ53"/>
  <c r="AY53"/>
  <c r="AX53"/>
  <c r="AV53"/>
  <c r="AU53"/>
  <c r="G53"/>
  <c r="F53"/>
  <c r="BA52"/>
  <c r="AZ52"/>
  <c r="AY52"/>
  <c r="AX52"/>
  <c r="AV52"/>
  <c r="AU52"/>
  <c r="G52"/>
  <c r="F52"/>
  <c r="AX51"/>
  <c r="AR51"/>
  <c r="AQ51"/>
  <c r="AP51"/>
  <c r="AO51"/>
  <c r="AN51"/>
  <c r="AM51"/>
  <c r="AL51"/>
  <c r="AK51"/>
  <c r="AJ51"/>
  <c r="BA51" s="1"/>
  <c r="AI51"/>
  <c r="AH51"/>
  <c r="AG51"/>
  <c r="AF51"/>
  <c r="AE51"/>
  <c r="AD51"/>
  <c r="AC51"/>
  <c r="AB51"/>
  <c r="AA51"/>
  <c r="AZ51" s="1"/>
  <c r="Y51"/>
  <c r="X51"/>
  <c r="AU51" s="1"/>
  <c r="W51"/>
  <c r="V51"/>
  <c r="U51"/>
  <c r="S51"/>
  <c r="R51"/>
  <c r="AY51" s="1"/>
  <c r="P51"/>
  <c r="O51"/>
  <c r="M51"/>
  <c r="L51"/>
  <c r="J51"/>
  <c r="AV51" s="1"/>
  <c r="I51"/>
  <c r="G51"/>
  <c r="BA50"/>
  <c r="AZ50"/>
  <c r="AY50"/>
  <c r="AX50"/>
  <c r="AW50"/>
  <c r="AV50"/>
  <c r="AU50"/>
  <c r="AL50"/>
  <c r="W50"/>
  <c r="Q50"/>
  <c r="G50"/>
  <c r="F50"/>
  <c r="H50" s="1"/>
  <c r="BA49"/>
  <c r="AZ49"/>
  <c r="AX49"/>
  <c r="AV49"/>
  <c r="AC49"/>
  <c r="AB49"/>
  <c r="AW49" s="1"/>
  <c r="Z49"/>
  <c r="U49"/>
  <c r="U143" s="1"/>
  <c r="W143" s="1"/>
  <c r="T49"/>
  <c r="Q49"/>
  <c r="N49"/>
  <c r="G49"/>
  <c r="F49"/>
  <c r="H49" s="1"/>
  <c r="AR48"/>
  <c r="AQ48"/>
  <c r="AP48"/>
  <c r="AO48"/>
  <c r="AN48"/>
  <c r="AM48"/>
  <c r="AK48"/>
  <c r="AJ48"/>
  <c r="AL48" s="1"/>
  <c r="AI48"/>
  <c r="AH48"/>
  <c r="AG48"/>
  <c r="AF48"/>
  <c r="AE48"/>
  <c r="AD48"/>
  <c r="AZ48" s="1"/>
  <c r="AB48"/>
  <c r="AC48" s="1"/>
  <c r="AA48"/>
  <c r="Y48"/>
  <c r="X48"/>
  <c r="Z48" s="1"/>
  <c r="V48"/>
  <c r="S48"/>
  <c r="R48"/>
  <c r="T48" s="1"/>
  <c r="P48"/>
  <c r="AV48" s="1"/>
  <c r="O48"/>
  <c r="M48"/>
  <c r="L48"/>
  <c r="N48" s="1"/>
  <c r="J48"/>
  <c r="I48"/>
  <c r="AX48" s="1"/>
  <c r="G48"/>
  <c r="AV47"/>
  <c r="AU47"/>
  <c r="AV46"/>
  <c r="AU46"/>
  <c r="AV45"/>
  <c r="AU45"/>
  <c r="AV44"/>
  <c r="AU44"/>
  <c r="AV43"/>
  <c r="AU43"/>
  <c r="AR43"/>
  <c r="AQ43"/>
  <c r="AV42"/>
  <c r="AU42"/>
  <c r="AV41"/>
  <c r="AU41"/>
  <c r="BA40"/>
  <c r="AY40"/>
  <c r="AO40"/>
  <c r="AL40"/>
  <c r="AG40"/>
  <c r="AI40" s="1"/>
  <c r="AD40"/>
  <c r="AF40" s="1"/>
  <c r="AA40"/>
  <c r="AA144" s="1"/>
  <c r="Y40"/>
  <c r="Y144" s="1"/>
  <c r="X40"/>
  <c r="W40"/>
  <c r="U40"/>
  <c r="U144" s="1"/>
  <c r="T40"/>
  <c r="R40"/>
  <c r="Q40"/>
  <c r="O40"/>
  <c r="O144" s="1"/>
  <c r="N40"/>
  <c r="L40"/>
  <c r="L144" s="1"/>
  <c r="J40"/>
  <c r="J144" s="1"/>
  <c r="I40"/>
  <c r="I144" s="1"/>
  <c r="G40"/>
  <c r="BA39"/>
  <c r="AY39"/>
  <c r="AX39"/>
  <c r="AU39"/>
  <c r="AP39"/>
  <c r="AO39"/>
  <c r="AM39"/>
  <c r="AL39"/>
  <c r="AJ39"/>
  <c r="AI39"/>
  <c r="AG39"/>
  <c r="AF39"/>
  <c r="AB39"/>
  <c r="AB143" s="1"/>
  <c r="AA39"/>
  <c r="AZ39" s="1"/>
  <c r="Z39"/>
  <c r="W39"/>
  <c r="T39"/>
  <c r="Q39"/>
  <c r="N39"/>
  <c r="G39"/>
  <c r="H39" s="1"/>
  <c r="F39"/>
  <c r="AR38"/>
  <c r="AQ38"/>
  <c r="AP38"/>
  <c r="AN38"/>
  <c r="AM38"/>
  <c r="BA38" s="1"/>
  <c r="AK38"/>
  <c r="AL38" s="1"/>
  <c r="AJ38"/>
  <c r="AH38"/>
  <c r="AG38"/>
  <c r="AI38" s="1"/>
  <c r="AE38"/>
  <c r="AA38"/>
  <c r="Y38"/>
  <c r="Z38" s="1"/>
  <c r="X38"/>
  <c r="V38"/>
  <c r="U38"/>
  <c r="AY38" s="1"/>
  <c r="S38"/>
  <c r="T38" s="1"/>
  <c r="R38"/>
  <c r="P38"/>
  <c r="O38"/>
  <c r="Q38" s="1"/>
  <c r="M38"/>
  <c r="L38"/>
  <c r="J38"/>
  <c r="I38"/>
  <c r="BA37"/>
  <c r="AY37"/>
  <c r="AX37"/>
  <c r="AP37"/>
  <c r="AO37"/>
  <c r="AL37"/>
  <c r="AH37"/>
  <c r="AH144" s="1"/>
  <c r="AG37"/>
  <c r="AW37" s="1"/>
  <c r="AF37"/>
  <c r="AC37"/>
  <c r="Z37"/>
  <c r="W37"/>
  <c r="T37"/>
  <c r="Q37"/>
  <c r="N37"/>
  <c r="K37"/>
  <c r="G37"/>
  <c r="BA36"/>
  <c r="AX36"/>
  <c r="AV36"/>
  <c r="AP36"/>
  <c r="AI36"/>
  <c r="AG36"/>
  <c r="AZ36" s="1"/>
  <c r="AF36"/>
  <c r="AC36"/>
  <c r="Z36"/>
  <c r="W36"/>
  <c r="R36"/>
  <c r="AY36" s="1"/>
  <c r="Q36"/>
  <c r="N36"/>
  <c r="K36"/>
  <c r="G36"/>
  <c r="F36"/>
  <c r="H36" s="1"/>
  <c r="AR35"/>
  <c r="AQ35"/>
  <c r="AP35"/>
  <c r="AN35"/>
  <c r="AO35" s="1"/>
  <c r="AM35"/>
  <c r="AK35"/>
  <c r="AJ35"/>
  <c r="AL35" s="1"/>
  <c r="AH35"/>
  <c r="AE35"/>
  <c r="AD35"/>
  <c r="AB35"/>
  <c r="AC35" s="1"/>
  <c r="AA35"/>
  <c r="Y35"/>
  <c r="X35"/>
  <c r="Z35" s="1"/>
  <c r="V35"/>
  <c r="W35" s="1"/>
  <c r="U35"/>
  <c r="S35"/>
  <c r="R35"/>
  <c r="T35" s="1"/>
  <c r="P35"/>
  <c r="Q35" s="1"/>
  <c r="O35"/>
  <c r="M35"/>
  <c r="L35"/>
  <c r="AX35" s="1"/>
  <c r="J35"/>
  <c r="AV35" s="1"/>
  <c r="I35"/>
  <c r="BA34"/>
  <c r="AZ34"/>
  <c r="AY34"/>
  <c r="AX34"/>
  <c r="AV34"/>
  <c r="AU34"/>
  <c r="G34"/>
  <c r="F34"/>
  <c r="BA33"/>
  <c r="AZ33"/>
  <c r="AY33"/>
  <c r="AX33"/>
  <c r="AV33"/>
  <c r="AU33"/>
  <c r="G33"/>
  <c r="F33"/>
  <c r="AX32"/>
  <c r="AR32"/>
  <c r="AQ32"/>
  <c r="AP32"/>
  <c r="AO32"/>
  <c r="AN32"/>
  <c r="AM32"/>
  <c r="AL32"/>
  <c r="AK32"/>
  <c r="AJ32"/>
  <c r="BA32" s="1"/>
  <c r="AH32"/>
  <c r="AG32"/>
  <c r="AF32"/>
  <c r="AE32"/>
  <c r="AD32"/>
  <c r="AZ32" s="1"/>
  <c r="AC32"/>
  <c r="AB32"/>
  <c r="AA32"/>
  <c r="Y32"/>
  <c r="X32"/>
  <c r="V32"/>
  <c r="U32"/>
  <c r="S32"/>
  <c r="R32"/>
  <c r="AY32" s="1"/>
  <c r="P32"/>
  <c r="O32"/>
  <c r="M32"/>
  <c r="L32"/>
  <c r="J32"/>
  <c r="AV32" s="1"/>
  <c r="I32"/>
  <c r="G32"/>
  <c r="BA31"/>
  <c r="AZ31"/>
  <c r="AY31"/>
  <c r="AX31"/>
  <c r="AW31"/>
  <c r="AV31"/>
  <c r="AU31"/>
  <c r="AO31"/>
  <c r="AL31"/>
  <c r="AI31"/>
  <c r="T31"/>
  <c r="G31"/>
  <c r="H31" s="1"/>
  <c r="F31"/>
  <c r="BA30"/>
  <c r="AZ30"/>
  <c r="AY30"/>
  <c r="AX30"/>
  <c r="AV30"/>
  <c r="AU30"/>
  <c r="G30"/>
  <c r="F30"/>
  <c r="AR29"/>
  <c r="AQ29"/>
  <c r="AP29"/>
  <c r="AN29"/>
  <c r="AM29"/>
  <c r="BA29" s="1"/>
  <c r="AK29"/>
  <c r="AL29" s="1"/>
  <c r="AJ29"/>
  <c r="AH29"/>
  <c r="AG29"/>
  <c r="AI29" s="1"/>
  <c r="AE29"/>
  <c r="AD29"/>
  <c r="AB29"/>
  <c r="AA29"/>
  <c r="AZ29" s="1"/>
  <c r="Y29"/>
  <c r="X29"/>
  <c r="V29"/>
  <c r="U29"/>
  <c r="AY29" s="1"/>
  <c r="S29"/>
  <c r="T29" s="1"/>
  <c r="R29"/>
  <c r="P29"/>
  <c r="O29"/>
  <c r="M29"/>
  <c r="L29"/>
  <c r="J29"/>
  <c r="AW29" s="1"/>
  <c r="I29"/>
  <c r="AX29" s="1"/>
  <c r="F29"/>
  <c r="BA28"/>
  <c r="AZ28"/>
  <c r="AY28"/>
  <c r="AX28"/>
  <c r="AV28"/>
  <c r="AU28"/>
  <c r="G28"/>
  <c r="F28"/>
  <c r="BA27"/>
  <c r="AZ27"/>
  <c r="AY27"/>
  <c r="AX27"/>
  <c r="AV27"/>
  <c r="AU27"/>
  <c r="G27"/>
  <c r="F27"/>
  <c r="AR26"/>
  <c r="AQ26"/>
  <c r="AP26"/>
  <c r="AO26"/>
  <c r="AN26"/>
  <c r="AM26"/>
  <c r="AL26"/>
  <c r="AK26"/>
  <c r="AJ26"/>
  <c r="BA26" s="1"/>
  <c r="AH26"/>
  <c r="G26" s="1"/>
  <c r="AG26"/>
  <c r="AF26"/>
  <c r="AE26"/>
  <c r="AD26"/>
  <c r="AB26"/>
  <c r="AA26"/>
  <c r="AZ26" s="1"/>
  <c r="Y26"/>
  <c r="X26"/>
  <c r="V26"/>
  <c r="U26"/>
  <c r="S26"/>
  <c r="R26"/>
  <c r="AY26" s="1"/>
  <c r="P26"/>
  <c r="O26"/>
  <c r="M26"/>
  <c r="L26"/>
  <c r="J26"/>
  <c r="AV26" s="1"/>
  <c r="I26"/>
  <c r="AX26" s="1"/>
  <c r="F26"/>
  <c r="BA25"/>
  <c r="AZ25"/>
  <c r="AY25"/>
  <c r="AX25"/>
  <c r="AV25"/>
  <c r="AU25"/>
  <c r="G25"/>
  <c r="F25"/>
  <c r="BA24"/>
  <c r="AZ24"/>
  <c r="AY24"/>
  <c r="AX24"/>
  <c r="AW24"/>
  <c r="AV24"/>
  <c r="AU24"/>
  <c r="AI24"/>
  <c r="AF24"/>
  <c r="T24"/>
  <c r="G24"/>
  <c r="H24" s="1"/>
  <c r="F24"/>
  <c r="AR23"/>
  <c r="AQ23"/>
  <c r="AP23"/>
  <c r="AO23"/>
  <c r="AN23"/>
  <c r="AM23"/>
  <c r="BA23" s="1"/>
  <c r="AL23"/>
  <c r="AK23"/>
  <c r="AJ23"/>
  <c r="AH23"/>
  <c r="AG23"/>
  <c r="AI23" s="1"/>
  <c r="AE23"/>
  <c r="AF23" s="1"/>
  <c r="AD23"/>
  <c r="AB23"/>
  <c r="AA23"/>
  <c r="AZ23" s="1"/>
  <c r="Y23"/>
  <c r="X23"/>
  <c r="V23"/>
  <c r="AW23" s="1"/>
  <c r="U23"/>
  <c r="S23"/>
  <c r="R23"/>
  <c r="AY23" s="1"/>
  <c r="P23"/>
  <c r="O23"/>
  <c r="M23"/>
  <c r="L23"/>
  <c r="J23"/>
  <c r="AV23" s="1"/>
  <c r="I23"/>
  <c r="AU23" s="1"/>
  <c r="G23"/>
  <c r="BA22"/>
  <c r="AZ22"/>
  <c r="AY22"/>
  <c r="AX22"/>
  <c r="AW22"/>
  <c r="AV22"/>
  <c r="AU22"/>
  <c r="W22"/>
  <c r="T22"/>
  <c r="R22"/>
  <c r="R144" s="1"/>
  <c r="G22"/>
  <c r="F22"/>
  <c r="H22" s="1"/>
  <c r="BA21"/>
  <c r="AZ21"/>
  <c r="AY21"/>
  <c r="AX21"/>
  <c r="AV21"/>
  <c r="AU21"/>
  <c r="G21"/>
  <c r="F21"/>
  <c r="AR20"/>
  <c r="AQ20"/>
  <c r="AP20"/>
  <c r="AN20"/>
  <c r="AO20" s="1"/>
  <c r="AM20"/>
  <c r="AL20"/>
  <c r="AK20"/>
  <c r="AJ20"/>
  <c r="BA20" s="1"/>
  <c r="AH20"/>
  <c r="AG20"/>
  <c r="AE20"/>
  <c r="AD20"/>
  <c r="AB20"/>
  <c r="AA20"/>
  <c r="AZ20" s="1"/>
  <c r="Y20"/>
  <c r="X20"/>
  <c r="V20"/>
  <c r="AV20" s="1"/>
  <c r="U20"/>
  <c r="S20"/>
  <c r="R20"/>
  <c r="T20" s="1"/>
  <c r="P20"/>
  <c r="O20"/>
  <c r="M20"/>
  <c r="L20"/>
  <c r="J20"/>
  <c r="AW20" s="1"/>
  <c r="I20"/>
  <c r="AX20" s="1"/>
  <c r="G20"/>
  <c r="BA19"/>
  <c r="AZ19"/>
  <c r="AX19"/>
  <c r="AV19"/>
  <c r="AM19"/>
  <c r="AM144" s="1"/>
  <c r="AO144" s="1"/>
  <c r="AF19"/>
  <c r="X19"/>
  <c r="X144" s="1"/>
  <c r="T19"/>
  <c r="Q19"/>
  <c r="K19"/>
  <c r="G19"/>
  <c r="F19"/>
  <c r="H19" s="1"/>
  <c r="BA18"/>
  <c r="AZ18"/>
  <c r="AY18"/>
  <c r="AX18"/>
  <c r="AV18"/>
  <c r="AU18"/>
  <c r="G18"/>
  <c r="F18"/>
  <c r="AR17"/>
  <c r="AQ17"/>
  <c r="AP17"/>
  <c r="AO17"/>
  <c r="AN17"/>
  <c r="AM17"/>
  <c r="AK17"/>
  <c r="AJ17"/>
  <c r="BA17" s="1"/>
  <c r="AH17"/>
  <c r="AG17"/>
  <c r="AE17"/>
  <c r="AD17"/>
  <c r="AF17" s="1"/>
  <c r="AB17"/>
  <c r="AA17"/>
  <c r="AZ17" s="1"/>
  <c r="Y17"/>
  <c r="V17"/>
  <c r="U17"/>
  <c r="S17"/>
  <c r="R17"/>
  <c r="T17" s="1"/>
  <c r="P17"/>
  <c r="Q17" s="1"/>
  <c r="O17"/>
  <c r="M17"/>
  <c r="AV17" s="1"/>
  <c r="L17"/>
  <c r="J17"/>
  <c r="I17"/>
  <c r="AX17" s="1"/>
  <c r="G17"/>
  <c r="BA16"/>
  <c r="AZ16"/>
  <c r="AY16"/>
  <c r="AX16"/>
  <c r="AW16"/>
  <c r="AV16"/>
  <c r="AU16"/>
  <c r="AO16"/>
  <c r="AL16"/>
  <c r="W16"/>
  <c r="Q16"/>
  <c r="G16"/>
  <c r="H16" s="1"/>
  <c r="F16"/>
  <c r="BA15"/>
  <c r="AZ15"/>
  <c r="AY15"/>
  <c r="AX15"/>
  <c r="AV15"/>
  <c r="AU15"/>
  <c r="G15"/>
  <c r="F15"/>
  <c r="AR14"/>
  <c r="AQ14"/>
  <c r="AP14"/>
  <c r="AN14"/>
  <c r="AM14"/>
  <c r="BA14" s="1"/>
  <c r="AK14"/>
  <c r="AL14" s="1"/>
  <c r="AJ14"/>
  <c r="AH14"/>
  <c r="AG14"/>
  <c r="AE14"/>
  <c r="AD14"/>
  <c r="AB14"/>
  <c r="AA14"/>
  <c r="AZ14" s="1"/>
  <c r="Y14"/>
  <c r="X14"/>
  <c r="V14"/>
  <c r="U14"/>
  <c r="W14" s="1"/>
  <c r="S14"/>
  <c r="R14"/>
  <c r="AY14" s="1"/>
  <c r="P14"/>
  <c r="Q14" s="1"/>
  <c r="O14"/>
  <c r="M14"/>
  <c r="L14"/>
  <c r="J14"/>
  <c r="AW14" s="1"/>
  <c r="I14"/>
  <c r="AX14" s="1"/>
  <c r="F14"/>
  <c r="AY13"/>
  <c r="AX13"/>
  <c r="AV13"/>
  <c r="AP13"/>
  <c r="AP144" s="1"/>
  <c r="AO13"/>
  <c r="AL13"/>
  <c r="AG13"/>
  <c r="AG144" s="1"/>
  <c r="AD13"/>
  <c r="AD144" s="1"/>
  <c r="AC13"/>
  <c r="Z13"/>
  <c r="W13"/>
  <c r="T13"/>
  <c r="Q13"/>
  <c r="N13"/>
  <c r="K13"/>
  <c r="G13"/>
  <c r="F13"/>
  <c r="H13" s="1"/>
  <c r="AX12"/>
  <c r="AV12"/>
  <c r="AP12"/>
  <c r="AP143" s="1"/>
  <c r="AM12"/>
  <c r="AM143" s="1"/>
  <c r="AO143" s="1"/>
  <c r="AJ12"/>
  <c r="AJ143" s="1"/>
  <c r="AG12"/>
  <c r="AG143" s="1"/>
  <c r="AD12"/>
  <c r="AD143" s="1"/>
  <c r="AA12"/>
  <c r="AA143" s="1"/>
  <c r="X12"/>
  <c r="X143" s="1"/>
  <c r="W12"/>
  <c r="R12"/>
  <c r="R143" s="1"/>
  <c r="Q12"/>
  <c r="N12"/>
  <c r="K12"/>
  <c r="G12"/>
  <c r="F12"/>
  <c r="H12" s="1"/>
  <c r="AR11"/>
  <c r="AQ11"/>
  <c r="AP11"/>
  <c r="AN11"/>
  <c r="AO11" s="1"/>
  <c r="AM11"/>
  <c r="AK11"/>
  <c r="AJ11"/>
  <c r="BA11" s="1"/>
  <c r="AH11"/>
  <c r="AE11"/>
  <c r="AD11"/>
  <c r="AF11" s="1"/>
  <c r="AB11"/>
  <c r="Y11"/>
  <c r="X11"/>
  <c r="Z11" s="1"/>
  <c r="V11"/>
  <c r="W11" s="1"/>
  <c r="U11"/>
  <c r="S11"/>
  <c r="R11"/>
  <c r="T11" s="1"/>
  <c r="P11"/>
  <c r="Q11" s="1"/>
  <c r="O11"/>
  <c r="M11"/>
  <c r="L11"/>
  <c r="AX11" s="1"/>
  <c r="J11"/>
  <c r="I11"/>
  <c r="BA10"/>
  <c r="AZ10"/>
  <c r="AY10"/>
  <c r="AX10"/>
  <c r="AV10"/>
  <c r="AU10"/>
  <c r="G10"/>
  <c r="G144" s="1"/>
  <c r="F10"/>
  <c r="BA9"/>
  <c r="AZ9"/>
  <c r="AY9"/>
  <c r="AX9"/>
  <c r="AV9"/>
  <c r="AU9"/>
  <c r="G9"/>
  <c r="G143" s="1"/>
  <c r="F9"/>
  <c r="AR8"/>
  <c r="AQ8"/>
  <c r="AP8"/>
  <c r="AO8"/>
  <c r="AN8"/>
  <c r="AM8"/>
  <c r="AL8"/>
  <c r="AK8"/>
  <c r="AJ8"/>
  <c r="AI8"/>
  <c r="AH8"/>
  <c r="AG8"/>
  <c r="AZ8" s="1"/>
  <c r="AF8"/>
  <c r="AE8"/>
  <c r="AD8"/>
  <c r="AB8"/>
  <c r="AA8"/>
  <c r="Y8"/>
  <c r="G8" s="1"/>
  <c r="X8"/>
  <c r="W8"/>
  <c r="V8"/>
  <c r="U8"/>
  <c r="S8"/>
  <c r="R8"/>
  <c r="P8"/>
  <c r="O8"/>
  <c r="M8"/>
  <c r="M142" s="1"/>
  <c r="L8"/>
  <c r="J8"/>
  <c r="I8"/>
  <c r="AX8" s="1"/>
  <c r="AV3"/>
  <c r="L155" l="1"/>
  <c r="L142"/>
  <c r="R155"/>
  <c r="AE155"/>
  <c r="AE159" s="1"/>
  <c r="AE142"/>
  <c r="AK155"/>
  <c r="AK142"/>
  <c r="AM155"/>
  <c r="AM142"/>
  <c r="AQ155"/>
  <c r="AQ159" s="1"/>
  <c r="AQ142"/>
  <c r="S155"/>
  <c r="S159" s="1"/>
  <c r="S142"/>
  <c r="V155"/>
  <c r="V159" s="1"/>
  <c r="V142"/>
  <c r="AH155"/>
  <c r="AH159" s="1"/>
  <c r="AH142"/>
  <c r="AJ155"/>
  <c r="AJ159" s="1"/>
  <c r="AJ142"/>
  <c r="AN155"/>
  <c r="AN159" s="1"/>
  <c r="AN142"/>
  <c r="AO142" s="1"/>
  <c r="AP155"/>
  <c r="AP159" s="1"/>
  <c r="AP142"/>
  <c r="AY144"/>
  <c r="R168"/>
  <c r="T144"/>
  <c r="AW144"/>
  <c r="K144"/>
  <c r="AV144"/>
  <c r="F8"/>
  <c r="AU8"/>
  <c r="AL11"/>
  <c r="AV11"/>
  <c r="J142"/>
  <c r="N142"/>
  <c r="P142"/>
  <c r="AL155"/>
  <c r="AL159" s="1"/>
  <c r="AR155"/>
  <c r="AR159" s="1"/>
  <c r="AV8"/>
  <c r="AY8"/>
  <c r="BA8"/>
  <c r="G11"/>
  <c r="K11"/>
  <c r="AA11"/>
  <c r="AG11"/>
  <c r="AI11" s="1"/>
  <c r="AY11"/>
  <c r="Z12"/>
  <c r="AC12"/>
  <c r="AF12"/>
  <c r="AI12"/>
  <c r="AU12"/>
  <c r="AW12"/>
  <c r="AY12"/>
  <c r="BA12"/>
  <c r="AF13"/>
  <c r="AI13"/>
  <c r="AU13"/>
  <c r="AU1" s="1"/>
  <c r="AW13"/>
  <c r="BA13"/>
  <c r="G14"/>
  <c r="H14" s="1"/>
  <c r="AV14"/>
  <c r="X17"/>
  <c r="AW17" s="1"/>
  <c r="AY17"/>
  <c r="Z19"/>
  <c r="F20"/>
  <c r="H20" s="1"/>
  <c r="W20"/>
  <c r="AU20"/>
  <c r="AY20"/>
  <c r="F23"/>
  <c r="H23" s="1"/>
  <c r="AX23"/>
  <c r="G29"/>
  <c r="H29" s="1"/>
  <c r="AV29"/>
  <c r="F32"/>
  <c r="G35"/>
  <c r="K35"/>
  <c r="AG35"/>
  <c r="F35" s="1"/>
  <c r="AW35"/>
  <c r="AY35"/>
  <c r="BA35"/>
  <c r="F37"/>
  <c r="H37" s="1"/>
  <c r="AI144"/>
  <c r="AV37"/>
  <c r="AZ37"/>
  <c r="N38"/>
  <c r="AB38"/>
  <c r="AD38"/>
  <c r="AF38" s="1"/>
  <c r="AX38"/>
  <c r="AC39"/>
  <c r="AV39"/>
  <c r="F40"/>
  <c r="H40" s="1"/>
  <c r="Z40"/>
  <c r="AC40"/>
  <c r="AV40"/>
  <c r="AX40"/>
  <c r="AZ40"/>
  <c r="Q48"/>
  <c r="U48"/>
  <c r="AW48" s="1"/>
  <c r="AY48"/>
  <c r="BA48"/>
  <c r="W49"/>
  <c r="AU49"/>
  <c r="AY49"/>
  <c r="AY4" s="1"/>
  <c r="F51"/>
  <c r="L156"/>
  <c r="O156"/>
  <c r="R156"/>
  <c r="R162" s="1"/>
  <c r="AL156"/>
  <c r="AY56"/>
  <c r="BA56"/>
  <c r="G59"/>
  <c r="H59" s="1"/>
  <c r="AV59"/>
  <c r="AU61"/>
  <c r="AU3" s="1"/>
  <c r="G62"/>
  <c r="H62" s="1"/>
  <c r="K62"/>
  <c r="AW62"/>
  <c r="BA62"/>
  <c r="R65"/>
  <c r="T67"/>
  <c r="AY67"/>
  <c r="G68"/>
  <c r="H68" s="1"/>
  <c r="AU68"/>
  <c r="G73"/>
  <c r="I164"/>
  <c r="AI73"/>
  <c r="AI157" s="1"/>
  <c r="AK157"/>
  <c r="AM157"/>
  <c r="BA73"/>
  <c r="AV76"/>
  <c r="G77"/>
  <c r="H77" s="1"/>
  <c r="AV77"/>
  <c r="G80"/>
  <c r="H80" s="1"/>
  <c r="AW80"/>
  <c r="F83"/>
  <c r="H83" s="1"/>
  <c r="AD83"/>
  <c r="AZ83" s="1"/>
  <c r="AU83"/>
  <c r="F85"/>
  <c r="H85" s="1"/>
  <c r="AF144"/>
  <c r="AV85"/>
  <c r="AZ85"/>
  <c r="F87"/>
  <c r="H87" s="1"/>
  <c r="AX87"/>
  <c r="F90"/>
  <c r="H90" s="1"/>
  <c r="AU90"/>
  <c r="W91"/>
  <c r="AU91"/>
  <c r="AW91"/>
  <c r="N93"/>
  <c r="R93"/>
  <c r="AY93" s="1"/>
  <c r="AX93"/>
  <c r="AZ93"/>
  <c r="F94"/>
  <c r="H94" s="1"/>
  <c r="T94"/>
  <c r="F95"/>
  <c r="H95" s="1"/>
  <c r="N95"/>
  <c r="AL95"/>
  <c r="AX95"/>
  <c r="F98"/>
  <c r="H98" s="1"/>
  <c r="AV98"/>
  <c r="AX98"/>
  <c r="AZ98"/>
  <c r="AO100"/>
  <c r="AU100"/>
  <c r="AW100"/>
  <c r="G101"/>
  <c r="H101" s="1"/>
  <c r="AX101"/>
  <c r="K101"/>
  <c r="AZ101"/>
  <c r="AU101"/>
  <c r="AW101"/>
  <c r="BA101"/>
  <c r="AW143"/>
  <c r="AF143"/>
  <c r="AL143"/>
  <c r="AR143"/>
  <c r="AC144"/>
  <c r="I155"/>
  <c r="I142"/>
  <c r="O155"/>
  <c r="O159" s="1"/>
  <c r="O142"/>
  <c r="U155"/>
  <c r="U159" s="1"/>
  <c r="U142"/>
  <c r="Y155"/>
  <c r="Y159" s="1"/>
  <c r="Y142"/>
  <c r="AG155"/>
  <c r="AG159" s="1"/>
  <c r="AG142"/>
  <c r="R167"/>
  <c r="AY143"/>
  <c r="AA167"/>
  <c r="AZ143"/>
  <c r="I168"/>
  <c r="AU144"/>
  <c r="AX144"/>
  <c r="AA168"/>
  <c r="AZ144"/>
  <c r="N11"/>
  <c r="BA143"/>
  <c r="AZ12"/>
  <c r="AZ13"/>
  <c r="AO14"/>
  <c r="AO155" s="1"/>
  <c r="AO159" s="1"/>
  <c r="AU14"/>
  <c r="K17"/>
  <c r="AU19"/>
  <c r="AW19"/>
  <c r="AY19"/>
  <c r="T23"/>
  <c r="T155" s="1"/>
  <c r="AU26"/>
  <c r="AO29"/>
  <c r="AU29"/>
  <c r="AU32"/>
  <c r="N35"/>
  <c r="AF35"/>
  <c r="AF155" s="1"/>
  <c r="AU36"/>
  <c r="AW36"/>
  <c r="AI37"/>
  <c r="AU37"/>
  <c r="K38"/>
  <c r="W38"/>
  <c r="AO38"/>
  <c r="AC143"/>
  <c r="AW39"/>
  <c r="K40"/>
  <c r="Z144"/>
  <c r="AU40"/>
  <c r="AW40"/>
  <c r="I162"/>
  <c r="AC156"/>
  <c r="AI156"/>
  <c r="AO156"/>
  <c r="AU56"/>
  <c r="AX56"/>
  <c r="AZ56"/>
  <c r="AU65"/>
  <c r="R157"/>
  <c r="R164" s="1"/>
  <c r="W157"/>
  <c r="AL73"/>
  <c r="AL157" s="1"/>
  <c r="AU73"/>
  <c r="AX73"/>
  <c r="AO77"/>
  <c r="AF85"/>
  <c r="AU85"/>
  <c r="K93"/>
  <c r="AO93"/>
  <c r="AU94"/>
  <c r="AW94"/>
  <c r="K95"/>
  <c r="N144"/>
  <c r="BA144"/>
  <c r="AW95"/>
  <c r="BA95"/>
  <c r="K98"/>
  <c r="AO98"/>
  <c r="T101"/>
  <c r="I165"/>
  <c r="AU143"/>
  <c r="T143"/>
  <c r="Z143"/>
  <c r="AI143"/>
  <c r="Q144"/>
  <c r="W144"/>
  <c r="AL144"/>
  <c r="AR144"/>
  <c r="AV145"/>
  <c r="AU103"/>
  <c r="G106"/>
  <c r="Z106"/>
  <c r="Z158" s="1"/>
  <c r="AF106"/>
  <c r="AF158" s="1"/>
  <c r="AL106"/>
  <c r="AL158" s="1"/>
  <c r="AV106"/>
  <c r="AX106"/>
  <c r="AZ106"/>
  <c r="F108"/>
  <c r="H108" s="1"/>
  <c r="Z108"/>
  <c r="AC108"/>
  <c r="AV108"/>
  <c r="AZ108"/>
  <c r="F109"/>
  <c r="F158" s="1"/>
  <c r="AX109"/>
  <c r="AZ109"/>
  <c r="F110"/>
  <c r="F143" s="1"/>
  <c r="H143" s="1"/>
  <c r="AC110"/>
  <c r="AU110"/>
  <c r="AW110"/>
  <c r="AU112"/>
  <c r="AU115"/>
  <c r="F118"/>
  <c r="H118" s="1"/>
  <c r="AU118"/>
  <c r="AW118"/>
  <c r="G124"/>
  <c r="H124" s="1"/>
  <c r="F129"/>
  <c r="H129" s="1"/>
  <c r="Q129"/>
  <c r="AU129"/>
  <c r="AY129"/>
  <c r="BA129"/>
  <c r="G134"/>
  <c r="H134" s="1"/>
  <c r="AV134"/>
  <c r="F135"/>
  <c r="H135" s="1"/>
  <c r="AO135"/>
  <c r="F136"/>
  <c r="H136" s="1"/>
  <c r="N136"/>
  <c r="AX136"/>
  <c r="F139"/>
  <c r="H139" s="1"/>
  <c r="AU139"/>
  <c r="AW139"/>
  <c r="BA139"/>
  <c r="AX141"/>
  <c r="AV143"/>
  <c r="AX143"/>
  <c r="L158"/>
  <c r="R158"/>
  <c r="R165" s="1"/>
  <c r="T106"/>
  <c r="T158" s="1"/>
  <c r="AC106"/>
  <c r="AC158" s="1"/>
  <c r="AI106"/>
  <c r="AI158" s="1"/>
  <c r="AO106"/>
  <c r="AO158" s="1"/>
  <c r="BA106"/>
  <c r="W109"/>
  <c r="W158" s="1"/>
  <c r="AO109"/>
  <c r="AU121"/>
  <c r="AC124"/>
  <c r="AF129"/>
  <c r="N134"/>
  <c r="T134"/>
  <c r="AO134"/>
  <c r="AU136"/>
  <c r="K139"/>
  <c r="AU141"/>
  <c r="K143"/>
  <c r="J6" i="2"/>
  <c r="M6"/>
  <c r="G7"/>
  <c r="M7"/>
  <c r="J3"/>
  <c r="H25" i="3"/>
  <c r="E25"/>
  <c r="D23"/>
  <c r="K8" i="2"/>
  <c r="Z8"/>
  <c r="Y9"/>
  <c r="B24" i="8"/>
  <c r="D23"/>
  <c r="C22"/>
  <c r="D22" s="1"/>
  <c r="D21"/>
  <c r="D20"/>
  <c r="C19" s="1"/>
  <c r="D19" s="1"/>
  <c r="D18"/>
  <c r="C17" s="1"/>
  <c r="D17" s="1"/>
  <c r="D16"/>
  <c r="D15"/>
  <c r="C14" s="1"/>
  <c r="D14" s="1"/>
  <c r="D13"/>
  <c r="D12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C11" i="8"/>
  <c r="D11" s="1"/>
  <c r="V5" i="2"/>
  <c r="M9"/>
  <c r="O9"/>
  <c r="E5"/>
  <c r="J7"/>
  <c r="L7"/>
  <c r="U9"/>
  <c r="L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AS7"/>
  <c r="AK7"/>
  <c r="AI7"/>
  <c r="F8"/>
  <c r="AB8"/>
  <c r="D8"/>
  <c r="Q8"/>
  <c r="AM8"/>
  <c r="AC8"/>
  <c r="AE8"/>
  <c r="N8"/>
  <c r="F7"/>
  <c r="J5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AX149" i="15" l="1"/>
  <c r="AX148"/>
  <c r="H106"/>
  <c r="G158"/>
  <c r="I161"/>
  <c r="I159"/>
  <c r="F65"/>
  <c r="F156" s="1"/>
  <c r="AY65"/>
  <c r="AC38"/>
  <c r="G38"/>
  <c r="F11"/>
  <c r="AZ11"/>
  <c r="R159"/>
  <c r="H109"/>
  <c r="AO157"/>
  <c r="F144"/>
  <c r="H144" s="1"/>
  <c r="AD157"/>
  <c r="AA164" s="1"/>
  <c r="AU48"/>
  <c r="F38"/>
  <c r="H35"/>
  <c r="AU17"/>
  <c r="F17"/>
  <c r="H17" s="1"/>
  <c r="H11"/>
  <c r="AD155"/>
  <c r="AD159" s="1"/>
  <c r="AA155"/>
  <c r="X155"/>
  <c r="X159" s="1"/>
  <c r="AM159"/>
  <c r="AK159"/>
  <c r="AB155"/>
  <c r="AB159" s="1"/>
  <c r="L159"/>
  <c r="AU93"/>
  <c r="T65"/>
  <c r="T156" s="1"/>
  <c r="T159" s="1"/>
  <c r="AZ38"/>
  <c r="AC11"/>
  <c r="AC155" s="1"/>
  <c r="AC159" s="1"/>
  <c r="G155"/>
  <c r="W48"/>
  <c r="W155" s="1"/>
  <c r="W159" s="1"/>
  <c r="AW38"/>
  <c r="AZ35"/>
  <c r="AW11"/>
  <c r="AX142"/>
  <c r="G157"/>
  <c r="H73"/>
  <c r="K142"/>
  <c r="H110"/>
  <c r="F93"/>
  <c r="F48"/>
  <c r="H48" s="1"/>
  <c r="Q142"/>
  <c r="BA142"/>
  <c r="AI142"/>
  <c r="AD142"/>
  <c r="AA142"/>
  <c r="AZ142" s="1"/>
  <c r="X142"/>
  <c r="Z142" s="1"/>
  <c r="W142"/>
  <c r="AR142"/>
  <c r="AL142"/>
  <c r="AF142"/>
  <c r="AB142"/>
  <c r="AC142" s="1"/>
  <c r="R142"/>
  <c r="AY142" s="1"/>
  <c r="T93"/>
  <c r="T157" s="1"/>
  <c r="AF83"/>
  <c r="AF157" s="1"/>
  <c r="AF159" s="1"/>
  <c r="AU38"/>
  <c r="Z17"/>
  <c r="Z155" s="1"/>
  <c r="Z159" s="1"/>
  <c r="AU11"/>
  <c r="G142"/>
  <c r="AW93"/>
  <c r="AW83"/>
  <c r="G156"/>
  <c r="AV38"/>
  <c r="AI35"/>
  <c r="AI155" s="1"/>
  <c r="AI159" s="1"/>
  <c r="AU35"/>
  <c r="G6" i="2"/>
  <c r="M3"/>
  <c r="D7"/>
  <c r="D5" i="8"/>
  <c r="D24" s="1"/>
  <c r="C24"/>
  <c r="T142" i="15" l="1"/>
  <c r="AV142"/>
  <c r="AW142"/>
  <c r="AU142"/>
  <c r="R161"/>
  <c r="F155"/>
  <c r="H93"/>
  <c r="F157"/>
  <c r="AA161"/>
  <c r="AA159"/>
  <c r="AA166" s="1"/>
  <c r="AA171" s="1"/>
  <c r="G159"/>
  <c r="R166"/>
  <c r="F142"/>
  <c r="H142" s="1"/>
  <c r="H38"/>
  <c r="I166"/>
  <c r="D3" i="2"/>
  <c r="F159" i="15" l="1"/>
  <c r="F165" s="1"/>
  <c r="D6" i="2"/>
</calcChain>
</file>

<file path=xl/sharedStrings.xml><?xml version="1.0" encoding="utf-8"?>
<sst xmlns="http://schemas.openxmlformats.org/spreadsheetml/2006/main" count="894" uniqueCount="471">
  <si>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</si>
  <si>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</si>
  <si>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</si>
  <si>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</si>
  <si>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</si>
  <si>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</si>
  <si>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</si>
  <si>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</si>
  <si>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</si>
  <si>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</si>
  <si>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</si>
  <si>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</si>
  <si>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</si>
  <si>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</si>
  <si>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</si>
  <si>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</si>
  <si>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</si>
  <si>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</si>
  <si>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</si>
  <si>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</si>
  <si>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</si>
  <si>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</si>
  <si>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</si>
  <si>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</si>
  <si>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</si>
  <si>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</si>
  <si>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</si>
  <si>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</si>
  <si>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</si>
  <si>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</si>
  <si>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</si>
  <si>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</si>
  <si>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</si>
  <si>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</si>
  <si>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</si>
  <si>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</si>
  <si>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</si>
  <si>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</si>
  <si>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</si>
  <si>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</si>
  <si>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</si>
  <si>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</si>
  <si>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</si>
  <si>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</si>
  <si>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</si>
  <si>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</si>
  <si>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</si>
  <si>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</si>
  <si>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</si>
  <si>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</si>
  <si>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</si>
  <si>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</si>
  <si>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</si>
  <si>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</si>
  <si>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</si>
  <si>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</si>
  <si>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</si>
  <si>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</si>
  <si>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</si>
  <si>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</si>
  <si>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</si>
  <si>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</si>
  <si>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</si>
  <si>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</si>
  <si>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</si>
  <si>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</si>
  <si>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</si>
  <si>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</si>
  <si>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</si>
  <si>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</si>
  <si>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</si>
  <si>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</si>
  <si>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</si>
  <si>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</si>
  <si>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</si>
  <si>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</si>
  <si>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</si>
  <si>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</si>
  <si>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</si>
  <si>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</si>
  <si>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</si>
  <si>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</si>
  <si>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</si>
  <si>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</si>
  <si>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</si>
  <si>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</si>
  <si>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</si>
  <si>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</si>
  <si>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</si>
  <si>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</si>
  <si>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</si>
  <si>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</si>
  <si>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</si>
  <si>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</si>
  <si>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</si>
  <si>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</si>
  <si>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</si>
  <si>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</si>
  <si>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</si>
  <si>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</si>
  <si>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</si>
  <si>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</si>
  <si>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</si>
  <si>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</si>
  <si>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</si>
  <si>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</si>
  <si>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</si>
  <si>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</si>
  <si>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</si>
  <si>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</si>
  <si>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</si>
  <si>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</si>
  <si>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</si>
  <si>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</si>
  <si>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</si>
  <si>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</si>
  <si>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</si>
  <si>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</si>
  <si>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</si>
  <si>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</si>
  <si>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</si>
  <si>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</si>
  <si>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</si>
  <si>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</si>
  <si>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</si>
  <si>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</si>
  <si>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</si>
  <si>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</si>
  <si>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</si>
  <si>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</si>
  <si>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</si>
  <si>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</si>
  <si>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</si>
  <si>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</si>
  <si>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</si>
  <si>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</si>
  <si>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</si>
  <si>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</si>
  <si>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</si>
  <si>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</si>
  <si>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</si>
  <si>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</si>
  <si>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</si>
  <si>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</si>
  <si>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</si>
  <si>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</si>
  <si>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</si>
  <si>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</si>
  <si>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</si>
  <si>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</si>
  <si>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</si>
  <si>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</si>
  <si>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</si>
  <si>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</si>
  <si>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</si>
  <si>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</si>
  <si>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</si>
  <si>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</si>
  <si>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</si>
  <si>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</si>
  <si>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</si>
  <si>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</si>
  <si>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</si>
  <si>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</si>
  <si>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</si>
  <si>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</si>
  <si>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</si>
  <si>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</si>
  <si>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</si>
  <si>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</si>
  <si>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</si>
  <si>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</si>
  <si>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</si>
  <si>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</si>
  <si>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</si>
  <si>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</si>
  <si>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</si>
  <si>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</si>
  <si>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</si>
  <si>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</si>
  <si>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</si>
  <si>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</si>
  <si>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</si>
  <si>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</si>
  <si>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</si>
  <si>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</si>
  <si>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</si>
  <si>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</si>
  <si>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</si>
  <si>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</si>
  <si>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</si>
  <si>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</si>
  <si>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</si>
  <si>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</si>
  <si>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</si>
  <si>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</si>
  <si>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</si>
  <si>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</si>
  <si>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</si>
  <si>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</si>
  <si>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</si>
  <si>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</si>
  <si>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</si>
  <si>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</si>
  <si>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</si>
  <si>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</si>
  <si>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</si>
  <si>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</si>
  <si>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</si>
  <si>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</si>
  <si>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</si>
  <si>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</si>
  <si>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</si>
  <si>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</si>
  <si>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</si>
  <si>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</si>
  <si>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</si>
  <si>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</si>
  <si>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</si>
  <si>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</si>
  <si>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</si>
  <si>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</si>
  <si>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</si>
  <si>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</si>
  <si>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</si>
  <si>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</si>
  <si>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</si>
  <si>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</si>
  <si>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</si>
  <si>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</si>
  <si>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</si>
  <si>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</si>
  <si>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</si>
  <si>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</si>
  <si>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</si>
  <si>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</si>
  <si>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</si>
  <si>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</si>
  <si>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</si>
  <si>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</si>
  <si>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</si>
  <si>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</si>
  <si>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</si>
  <si>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</si>
  <si>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</si>
  <si>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</si>
  <si>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</si>
  <si>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</si>
  <si>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</si>
  <si>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</si>
  <si>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</si>
  <si>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</si>
  <si>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</si>
  <si>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</si>
  <si>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</si>
  <si>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</si>
  <si>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</si>
  <si>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I</t>
  </si>
  <si>
    <t>1.2.1.</t>
  </si>
  <si>
    <t>1.1.1.</t>
  </si>
  <si>
    <t>1.3.1.</t>
  </si>
  <si>
    <t>1.3.2.</t>
  </si>
  <si>
    <t>Наименование программных мероприятий</t>
  </si>
  <si>
    <t>№</t>
  </si>
  <si>
    <t>Объем финансирования, всего на год, тыс.руб.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</si>
  <si>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</si>
  <si>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</si>
  <si>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</si>
  <si>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Муниципальные образовательные организации дошкольного образования</t>
  </si>
  <si>
    <t>Управление образования администрации города Урай</t>
  </si>
  <si>
    <t>Муниципальные общеобразовательные организации; муниципальное автономное учреждение города Урай «Городской методический центр»</t>
  </si>
  <si>
    <t>Муниципальные общеобразовательные организации; муниципальные организации дополнительного образования</t>
  </si>
  <si>
    <t>Муниципальные общеобразовательные организации</t>
  </si>
  <si>
    <t>Муниципальные организации дополнительного образования</t>
  </si>
  <si>
    <t>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</si>
  <si>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</si>
  <si>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Урай», органы администрации города Урай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</si>
  <si>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</si>
  <si>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</t>
  </si>
  <si>
    <t>Муниципальное автономное учреждение города Урай «Городской методический центр»; Управление образования администрации города Урай</t>
  </si>
  <si>
    <t>Целевой показатель, №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</si>
  <si>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центр»;муниципальные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</t>
  </si>
  <si>
    <t>Муниципальные общеобразовательные организации (МБОУ СОШ №5)</t>
  </si>
  <si>
    <t>3,5,8</t>
  </si>
  <si>
    <t>3,8</t>
  </si>
  <si>
    <t>7</t>
  </si>
  <si>
    <t>6,8</t>
  </si>
  <si>
    <t>12,13</t>
  </si>
  <si>
    <t>13</t>
  </si>
  <si>
    <t>4,8,9,10,11,14</t>
  </si>
  <si>
    <t>11,14</t>
  </si>
  <si>
    <t>Цель 1. Создание условий для формирования личной успешности обучающихся и воспитанников в обществе через совершенствование муниципальной системы образования</t>
  </si>
  <si>
    <t>Задача 1. Комплексное развитие сети образовательных организаций для обеспечения доступности дошкольного, общего и дополнительного образования независимо от состояния здоровья детей</t>
  </si>
  <si>
    <t>Подпрограмма I. Модернизация образования</t>
  </si>
  <si>
    <t xml:space="preserve">Мероприятие 1.1.2. Развитие дошкольного образования (поддержка программ развития дошкольных образовательных организаций, проектов, направленных на повышение эффективности деятельности дошкольных образовательных организаций в рамках введения Федерального государственного образовательного стандарта дошкольного образования)  </t>
  </si>
  <si>
    <t>Мероприятие 1.1.3. Расходы на обеспечение деятельности (оказание услуг) муниципальных организаций  дошкольного образования</t>
  </si>
  <si>
    <t>Мероприятие 1.2.1. Профильное обучение (проведение и участие в мероприятиях разного уровня, способствующих получению школьниками профессий: издание печатной продукции, проведение ярмарок учебных мест, открытие профильных классов и др.)</t>
  </si>
  <si>
    <t>Мероприятие 1.2.2. Организация и проведение мероприятий по развитию одаренных детей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по итогам участия с участием главы города, Губернатора округа, награждения именной премией ООО «ЛУКОЙЛ – Западная Сибирь»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конкурсах)</t>
  </si>
  <si>
    <t>Мероприятие 1.2.3. Расходы на обеспечение деятельности городских ресурсных центров на базе образовательных организаций</t>
  </si>
  <si>
    <t>Задача 2. Разработка муниципальной системы оценки качества образования. Внедрение инструментов независимой и прозрачной для общества оценки качества образования</t>
  </si>
  <si>
    <t>Задача 3. Создание в системе образования условий для сохранения и укрепления здоровья, формирования здорового образа жизни обучающихся и воспитанников, оказания помощи детям, нуждающимся в психолого-педагогической и медико-социальной помощи</t>
  </si>
  <si>
    <t>Задача 4. Обеспечение инновационного характера образования через модернизацию кадровых, организационных, технологических и методических условий</t>
  </si>
  <si>
    <t>1.4.1.</t>
  </si>
  <si>
    <t>Подпрограмма II. Развитие кадрового потенциала</t>
  </si>
  <si>
    <t>Задача 5. Создание в образовательных организациях условий обучения, отвечающих требованиям Федерального государственного образовательного стандарта общего и дошкольного образования</t>
  </si>
  <si>
    <t>1.5.1.</t>
  </si>
  <si>
    <t>Подпрограмма III. Обеспечение условий для реализации образовательных программ</t>
  </si>
  <si>
    <t>Задача 6. Обеспечение эффективности управления системой образования города</t>
  </si>
  <si>
    <t>1.6.1.</t>
  </si>
  <si>
    <t>1.7.</t>
  </si>
  <si>
    <t>Задача 7. Создание условий для организации отдыха и оздоровления детей и подростков в каникулярное время</t>
  </si>
  <si>
    <t>1.7.1.</t>
  </si>
  <si>
    <t>Подпрограмма IV. Организация каникулярного отдыха детей и подростков</t>
  </si>
  <si>
    <t>1.8.</t>
  </si>
  <si>
    <t>Задача 8. Обеспечение материальной поддержки в воспитании и обучении детей в образовательных организациях, реализующих образовательные программы дошкольного образования</t>
  </si>
  <si>
    <t>1.8.1.</t>
  </si>
  <si>
    <t>Задача 9. Создание безопасных и комфортных условий для обеспечения обучающихся и воспитанников полноценным сбалансированным горячим питанием</t>
  </si>
  <si>
    <t>1.9.1.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</si>
  <si>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центр»; 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</t>
  </si>
  <si>
    <t>Муниципальные общеобразовательные организации (МБОУ СОШ №12)</t>
  </si>
  <si>
    <t>Мероприятие 1.2.4. Развитие общего образования (поддержка программ развития образовательных организаций, проектов, направленных на повышение эффективности деятельности образовательных организаций в рамках введения Федеральных государственных образовательных стандартов начального общего, основного общего, среднего общего образования, поддержка общеобразовательных организаций по развитию кадетских классов)</t>
  </si>
  <si>
    <t>Мероприятие 1.2.6. Организация и проведение мероприятий, способствующих развитию детских органов самоуправления; участие в мероприятиях окружного и федерального уровней</t>
  </si>
  <si>
    <t>Мероприятие 1.2.8. Мероприятия по профилактике правонарушений правил дорожного движения (проведение  и участие в мероприятиях городского,  окружного, федерального уровней), приобретение наглядных пособий, учебного оборудования по правилам дорожного движения, содержание закрытого детского автогородка</t>
  </si>
  <si>
    <t>Мероприятие 1.2.9. Профилактика экстремистской деятельности (участие в мероприятиях городского, окружного уровней и награждение по итогам участия)</t>
  </si>
  <si>
    <t xml:space="preserve">Мероприятие 1.2.10. Расходы на обеспечение деятельности (оказание услуг) муниципальных общеобразовательных организаций </t>
  </si>
  <si>
    <t>Мероприятие 1.2.11. Расходы на обеспечение деятельности (оказание услуг) муниципальных организаций  дополнительного  образования</t>
  </si>
  <si>
    <t>Мероприятие 1.3.2. Разработка муниципальной системы оценки качества образования</t>
  </si>
  <si>
    <t>Мероприятие 1.2.5. Здоровье учащихся (участие (или проведение) в спортивных мероприятиях федерального, окружного и муниципального уровней: состязания,  спартакиады)</t>
  </si>
  <si>
    <t>Мероприятие 1.2.7. Мероприятия по профилактике злоупотребления психо- активными веществами, совершения правонарушений подростками</t>
  </si>
  <si>
    <t>Мероприятие 2.1. Реализация проекта «Педагогический класс»</t>
  </si>
  <si>
    <t>Мероприятие 2.2. Проведение конкурсов профессионального мастерства города, подготовка и участие в окружных конкурсах профессионального мастерства. Организация и проведение профессиональных праздников</t>
  </si>
  <si>
    <t>Мероприятие 2.4. Повышение квалификации педагогических работников и руководителей образовательных организаций</t>
  </si>
  <si>
    <t>Мероприятие 2.6. Проведение тестирования руководителей образовательных организаций (в рамках аттестации)</t>
  </si>
  <si>
    <t>Мероприятие 3.1. Создание комфортных условий образовательного процесса, создание дополнительных мест для реализации образовательных программ, в том числе проведение капитальных ремонтов в муниципальных образовательных организациях, благоустройство территорий, разработка ПСД и др. Реконструкция здания школы под инклюзивный детский сад</t>
  </si>
  <si>
    <t xml:space="preserve">Мероприятие 3.2. Выполнение мероприятий по обеспечению  пожарной безопасности муниципальных образовательных организаций </t>
  </si>
  <si>
    <t>Мероприятие 3.3. Выполнение мероприятий по обеспечению  антитеррористической безопасности муниципальных образовательных организаций</t>
  </si>
  <si>
    <t>Мероприятие 3.6. Обеспечение комфортных условий для детей во время образовательного процесса (транспортные услуги, услуги по предоставлению метеоинформации и др.)</t>
  </si>
  <si>
    <t>Мероприятие 3.7. Развитие образовательной среды  образовательных организаций</t>
  </si>
  <si>
    <t>Мероприятие 3.8. Информатизация системы образования и обеспечение проведения государственной итоговой аттестации обучающихся (защита персональных данных, создание локальных сетей в образовательных организациях, подключение к сети Интернет дошкольных организаций, предоставление электронных услуг образовательными организациями, приобретение компьютерной техники, обеспечение соблюдения режима информационной безопасности при доставке, хранении и использовании экзаменационных материалов и др.)</t>
  </si>
  <si>
    <t>Мероприятие 1.3.3. Расходы на обеспечение деятельности (оказание услуг) Муниципальное автономное учреждений «Городской методический центр»</t>
  </si>
  <si>
    <t>Мероприятие 4.1. Организация работы лагерей с дневным пребыванием детей</t>
  </si>
  <si>
    <t>Мероприятие 4.2. Организация выездного отдыха детей</t>
  </si>
  <si>
    <t>Мероприятие 4.4. Приобретение оборудования, инвентаря для лагерей с дневным пребыванием детей и малозатратными формами</t>
  </si>
  <si>
    <t>Мероприятие 4.5. Организация и проведение мероприятий на базе автогородка</t>
  </si>
  <si>
    <t>Мероприятие 4.6. Функционирование и развитие поискового отряда «Патриот»</t>
  </si>
  <si>
    <t>Мероприятие 4.7. Создание безопасных условий и соблюдение требований СаНПиН (аккарицидная обработка)</t>
  </si>
  <si>
    <t>Мероприятие 4.8. Организация сплавов, походов</t>
  </si>
  <si>
    <t>Мероприятие 1.1.4. Материальная поддержка воспитания и обучения детей, посещающих дошкольные образовательные организации</t>
  </si>
  <si>
    <t>Мероприятие 3.9. Организация предоставления учащимся муниципальных общеобразовательных организаций завтраков и обедов</t>
  </si>
  <si>
    <t>1.1.1.1.</t>
  </si>
  <si>
    <t>1.1.1.2.</t>
  </si>
  <si>
    <t>1.1.1.3.</t>
  </si>
  <si>
    <t>1.1.1.4.</t>
  </si>
  <si>
    <t>1.1.1.5.</t>
  </si>
  <si>
    <t>1.1.1.6.</t>
  </si>
  <si>
    <t>1.1.1.7.</t>
  </si>
  <si>
    <t>1.1.1.8.</t>
  </si>
  <si>
    <t>1.1.1.9.</t>
  </si>
  <si>
    <t>1.1.1.10.</t>
  </si>
  <si>
    <t>1.1.1.11.</t>
  </si>
  <si>
    <t>1.5.1.1.</t>
  </si>
  <si>
    <t>1.4.1.1.</t>
  </si>
  <si>
    <t>1.4.1.2.</t>
  </si>
  <si>
    <t>1.4.1.3.</t>
  </si>
  <si>
    <t>1.4.1.4.</t>
  </si>
  <si>
    <t>1.4.1.5.</t>
  </si>
  <si>
    <t>1.5.1.2.</t>
  </si>
  <si>
    <t>1.5.1.3.</t>
  </si>
  <si>
    <t>1.5.1.4.</t>
  </si>
  <si>
    <t>1.5.1.5.</t>
  </si>
  <si>
    <t>1.5.1.6.</t>
  </si>
  <si>
    <t>1.5.1.7.</t>
  </si>
  <si>
    <t>1.6.1.1.</t>
  </si>
  <si>
    <t>1.6.1.2.</t>
  </si>
  <si>
    <t>1.7.1.1.</t>
  </si>
  <si>
    <t>1.7.1.2.</t>
  </si>
  <si>
    <t>1.7.1.3.</t>
  </si>
  <si>
    <t>1.7.1.4.</t>
  </si>
  <si>
    <t>1.7.1.5.</t>
  </si>
  <si>
    <t>1.7.1.6.</t>
  </si>
  <si>
    <t>1.7.1.7.</t>
  </si>
  <si>
    <t>1.8.1.1.</t>
  </si>
  <si>
    <t>1.9.1.1.</t>
  </si>
  <si>
    <t>Не требует финансирования</t>
  </si>
  <si>
    <t>ВСЕГО по программе:</t>
  </si>
  <si>
    <t>1</t>
  </si>
  <si>
    <t>8,9,10,14</t>
  </si>
  <si>
    <t>8,14</t>
  </si>
  <si>
    <t>11</t>
  </si>
  <si>
    <t>8,12,13</t>
  </si>
  <si>
    <t>8,12</t>
  </si>
  <si>
    <t>7,8</t>
  </si>
  <si>
    <t>1,8</t>
  </si>
  <si>
    <t>4,8</t>
  </si>
  <si>
    <t>1.10.</t>
  </si>
  <si>
    <t>1.10.1.</t>
  </si>
  <si>
    <t>1.10.1.1.</t>
  </si>
  <si>
    <t>Задача 10. Создание равных возможностей для получения качественного дополнительного образования</t>
  </si>
  <si>
    <t>7.1</t>
  </si>
  <si>
    <t>Управление образования администрации города Урай, муниципальные организации дополнительного образования, муниципальное автономное учреждение города Урай «Городской методический центр»</t>
  </si>
  <si>
    <t>Мероприятие 2.3. Проведение педагогических конференций, слетов, совещаний, семинаров, форумов муниципального и участие в окружном и всероссийском уровнях</t>
  </si>
  <si>
    <t>Мероприятие 1.2.12. Апробация системы персонифицированного финансирования дополнительного образования детей. Внедрение системы персонифицированного финансирования дополнительного образования детей</t>
  </si>
  <si>
    <t>Начальник Управления</t>
  </si>
  <si>
    <t>М.Н. Бусова</t>
  </si>
  <si>
    <t>Исполняющий обязанности начальника Управления</t>
  </si>
  <si>
    <t>Заместитель начальника Управления</t>
  </si>
  <si>
    <t>Ю.А.Чигинцева</t>
  </si>
  <si>
    <t xml:space="preserve">Комитет по финансам администрации грода Урай </t>
  </si>
  <si>
    <t>Заместитель начальника отдела ФП, БУ и О</t>
  </si>
  <si>
    <t>Г.С. Ли</t>
  </si>
  <si>
    <t>Исполнитель Невская Ирина Евгеньевна</t>
  </si>
  <si>
    <t>тел.2-32-00</t>
  </si>
  <si>
    <t>Управление образования и молодежной политики администрации грода Урай</t>
  </si>
  <si>
    <t>Организация работы медицинского класса на базе МБОУ СОШ №4</t>
  </si>
  <si>
    <t xml:space="preserve">Обеспечение учащихся шести общеобразовательных учреждений завтраками и обедами (льготная категория). </t>
  </si>
  <si>
    <t>Обеспечение персонифицированного финансирования дополнительного образования детей</t>
  </si>
  <si>
    <t>Отклонение в связи с уточнением мероприятия программы и сроков его проведения</t>
  </si>
  <si>
    <t>Согласовано:</t>
  </si>
  <si>
    <t>остатки прошлых лет</t>
  </si>
  <si>
    <t>Исполнение 64,3%. Экономия за счет дней карантина, актированных дней и дней пропущенных учащимися по причине болезни</t>
  </si>
  <si>
    <t>Участие учащихся МБОУ Гимназия и МБОУ СОШ №6 в региональном этапе всероссийской олимпиады, награждение выпускников премией "Стипендиат главы города Урай", награждение именными премиями ООО "ЛУКойл-Западная Сибирь" учащихся общеобразовательных организаций</t>
  </si>
  <si>
    <t xml:space="preserve">Обеспечение деятельности городского ресурсного центра "Интелектуал" на базе МБОУ Гимназия. Обеспечение деятельности городского ресурсного "Центра патриотического воспитания" на базе МБОУ СОШ №5.  </t>
  </si>
  <si>
    <t>Проведение городской спартакиады среди муниципальных образовательных организаций "Старты надежд". Проведение военно-полевых сборов</t>
  </si>
  <si>
    <t>Участие в чемпионате Мира и участие в учебно-тренировочных сборах по парашютному спорту. Участие в областной военно-спортивной игре "Граница"</t>
  </si>
  <si>
    <t>Организация и проведение государственной итоговой аттестации обучающихся</t>
  </si>
  <si>
    <t>Организация питания в лагерях дневного пребывания детей в период весенних и летних каникул каникул</t>
  </si>
  <si>
    <t>Организация работы лагеря дневного пребывания детей в период весенних и летних каникул каникул</t>
  </si>
  <si>
    <t>Организация поездки поискового отряда для участия в поисковой экспедиции в г. Белый Тверской области</t>
  </si>
  <si>
    <t xml:space="preserve">Организации каникулярного отдыха и оздоровление детей за пределами  города Урай (выездной отдых) </t>
  </si>
  <si>
    <t>Организации каникулярного отдыха и оздоровление детей за пределами  города Урай (выездной отдых). Участие специалиста по летнему отдыху в семинаре по подготовке детских оздоровительных компаний  в г.Евпатории</t>
  </si>
  <si>
    <t>_____________________________И.В. Хусаинова</t>
  </si>
  <si>
    <t>Л.В. Константинова</t>
  </si>
  <si>
    <t>Лимиты</t>
  </si>
  <si>
    <t>Исполнение 65,7%. Экономия по расходам на участие в Международном форуме "Одна планета - одно будущее" и в "Летней профессиональной школе". Средства будкт перераспределены на участие в Региональном чемпионате Junior</t>
  </si>
  <si>
    <t>Исполнение 83,3%. Экономия по фактически сложившимся расходам на участие в региональном этапе всероссийской олимпиады и в заключительном этапе всероссийской олимпиады (уточнение пункта проведения по итогам регионального этапа)</t>
  </si>
  <si>
    <t>Неисполнение в связи с запретом на проведение сплавов. Средства направлены на организацию лагеря дневного пребывания детей в период летних каникул</t>
  </si>
  <si>
    <t xml:space="preserve">Исполнение 87,3%. Экономия по результатам проведения торгов на приобретение оборудования в МБУ ДО "ЦМДО". Остатоок средств будет освоен после согласования приобретения экрана в актовый зал с депутатом Думы ХМАО-Югры </t>
  </si>
  <si>
    <t>Исполнение 98,7%. Финансирование по фактически начисленной компенсации родительской платы</t>
  </si>
  <si>
    <t>Неисполнение в связи с фактическими расходами на компенсацию педагогическим работникам, привлекаемым к проведению государственной итоговой аттестации</t>
  </si>
  <si>
    <t>Обеспечение деятельности девяти дошкольных образовательных учреждений в части выполнения стандарта дошкольного образования  за 9 месяцев</t>
  </si>
  <si>
    <t>Обеспечение деятельности девяти дошкольных образовательных учреждений в части содержания здания и прочих общехозяйственных расходов за 9 месяцев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</si>
  <si>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9 месяцев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</si>
  <si>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9 месяцев</t>
  </si>
  <si>
    <t>Обеспечение деятельности организации дополнительного образования в части повышение оплаты труда в целях реализации указа Президента Российской Федерации от 7 мая 2012 года №597 за 9 месяцев</t>
  </si>
  <si>
    <t>Обеспечение деятельности МБУ ДО "ЦМДО" в части исполнения муниципального задания за 9 месяцев</t>
  </si>
  <si>
    <t>Обеспечение деятельности МАУ "Городской методический центр" в части исполнения муниципального  задания за 9 месяцев</t>
  </si>
  <si>
    <t>Осуществление деятельности по выплате компенсации части родительской платы (администрирование) за 9 месяцев</t>
  </si>
  <si>
    <t>Выплата компенсации части родительской платы за 9 месяцев</t>
  </si>
  <si>
    <t>Приобретение кадетской (парадной) формы. Участие в слетах, конкурсах кадетов окружного уровня. Приобретение ттуристического снаряжения и кадетских атрибутов</t>
  </si>
  <si>
    <t>Организация городских и участие в окружных соревнованиях "Безопасное колесо-2018"</t>
  </si>
  <si>
    <t>Обновление доски почета работников образованич и молодежной политики города Урай</t>
  </si>
  <si>
    <t>Организация и проведение семинара, ежегодного педагогического совещания, участие в конкурсе "Женщина - Лидер. 21 век" и в Шестом Международном Форуме Лидеров образования "За гранью грань"</t>
  </si>
  <si>
    <t>Приобретение светового оборудования в МБДОУ д/с №21</t>
  </si>
  <si>
    <t>Приобретение и монтаж информационно-технического оборудования для внутреннего и внешнего видеонаблюдения</t>
  </si>
  <si>
    <t>Приобретение оборудвания для пищеблока МБДОУ "Детский сад №19 "Радость", приобретение теневого навеса для колясок в МБДОУ "Детскиц сад №10 "Снежинка"</t>
  </si>
  <si>
    <t>Проведение ремонтных работ кафе-вагона «Экспресс»</t>
  </si>
  <si>
    <t>Предоставление метеоинформации (трансляция объявлений)</t>
  </si>
  <si>
    <t>Приобретение оборудованияв для МБУ ДО "ЦМДО", приобретение мебели для МБОУ СОШ №5, приобретение оборудования и снаряжения для парашютно-десантной подготовки и погружения с аквалангом, оформление кадетской рекриации в МБОУ СОШ №5, приобретение палок для скандинавской ходьбы для детей МБДОУ "Детский сад №12", приобретение обучающей программы по английскому языку "Смарт фокс" в МБДОУ "Детский сад №7 «Антошка»</t>
  </si>
  <si>
    <t>Предоставление электронных услуг Управлением образования и молодежной политики, образовательными организациями и МАУ "Городской методический центр"</t>
  </si>
  <si>
    <t>Расходы по содержанию аппарата Управления образования и молодежной политики за 9 месяцев</t>
  </si>
  <si>
    <t>Управление образования и молодежной политики администрации города Урай</t>
  </si>
  <si>
    <t>Мероприятие 1.3.4. Расходы на обеспечение деятельности Управления образования и молодежной политики администрации города Урай</t>
  </si>
  <si>
    <t>Мероприятие 3.4. Выполнение мероприятий по укреплению санитарно-эпидемиологической безопасности муниципальных образовательных организаций. Обеспечение пропускной системы в образовательных организациях</t>
  </si>
  <si>
    <t>Проведение ремонта теплоснабжения в подвальном помещении МБДОУ "Детский сад №6 "Дюймовочка", ремонт вентиляции и монтаж воздуховода в овощном складе, ремонт кровли МБДОУ "Детский сад №10 "Снежинка", ремонт прачечной МБДОУ "Детский сад №19 "Радость"</t>
  </si>
  <si>
    <t>Ремонт прачечной МБДОУ "Детский сад №19 "Радость". Замена системы отопления и установка металлических дверей в МБОУ СОШ №4</t>
  </si>
  <si>
    <t>Исполнение 97,1%. Экономия по коммунальным расходам, по оплате льготного проезда работников общеобразовательных организаций. Перенос сроков поставки аптечек, спецодежды и строительных материалов для МБОУ Гимназия и спецодежды для МБОУ СОШ №4. Увеличиваются сроки проведения анализа поставщиков на замену светильников и гигиеническую аттестацию, учитывая, что потенциальные поставщики иногородние. Экономия по налогу на имущество и ГСМ в МБОУ Гимназия</t>
  </si>
  <si>
    <t>Исполнение 93,6%. Экономия по фактически начисленной заработной плате и премии работникам Управления. Экономия по фактическим расходам на льгтный проезд и оплату санаторно-курортного лечения. Экономия по договорам на оплату ремонта оргтехники, периодического медицинского осмотра, обучения специалистов, по договорам программного обеспечения. Экономия по приобретению канцелярских товаров (согласно проведенного мониторинга цен)</t>
  </si>
  <si>
    <t>Изготовление технического паспорта по объекту «Детский сад на 240 мест в микрорайоне Центральный»</t>
  </si>
  <si>
    <t>Отчет о ходе исполнения комплексного плана (сетевого графика) реализации муниципальной программы "Развитие образования города Урай на 2014-2018 годы" за 9 месяцев.2018</t>
  </si>
  <si>
    <t>Исполнение 60%. В связи с изменением графика приезда педагогов Ханты-Мансийской Государственной медицинской академии, часть учебных часов перенесена на осенний период</t>
  </si>
  <si>
    <t xml:space="preserve">Исполнение 72,2%. Оплата по фактически сложившимся расходам на проведение ГИА. Остаток средств будет освоен в октябре </t>
  </si>
</sst>
</file>

<file path=xl/styles.xml><?xml version="1.0" encoding="utf-8"?>
<styleSheet xmlns="http://schemas.openxmlformats.org/spreadsheetml/2006/main">
  <numFmts count="16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00_р_._-;\-* #,##0.000_р_._-;_-* &quot;-&quot;??_р_._-;_-@_-"/>
    <numFmt numFmtId="169" formatCode="0.000E+00"/>
    <numFmt numFmtId="170" formatCode="_-* #,##0.000_р_._-;\-* #,##0.000_р_._-;_-* &quot;-&quot;???_р_._-;_-@_-"/>
    <numFmt numFmtId="171" formatCode="0.0%"/>
    <numFmt numFmtId="172" formatCode="_-* #,##0.0000000_р_._-;\-* #,##0.0000000_р_._-;_-* &quot;-&quot;??_р_._-;_-@_-"/>
    <numFmt numFmtId="173" formatCode="_-* #,##0.0_р_._-;\-* #,##0.0_р_._-;_-* &quot;-&quot;??_р_._-;_-@_-"/>
    <numFmt numFmtId="174" formatCode="_-* #,##0.00000_р_._-;\-* #,##0.00000_р_._-;_-* &quot;-&quot;?????_р_._-;_-@_-"/>
    <numFmt numFmtId="175" formatCode="_-* #,##0_р_._-;\-* #,##0_р_._-;_-* &quot;-&quot;??_р_._-;_-@_-"/>
    <numFmt numFmtId="176" formatCode="_-* #,##0.000000_р_._-;\-* #,##0.000000_р_._-;_-* &quot;-&quot;??_р_._-;_-@_-"/>
    <numFmt numFmtId="177" formatCode="_-* #,##0.00000_р_._-;\-* #,##0.00000_р_._-;_-* &quot;-&quot;???_р_._-;_-@_-"/>
    <numFmt numFmtId="178" formatCode="_-* #,##0.00000_р_._-;\-* #,##0.00000_р_._-;_-* &quot;-&quot;??_р_._-;_-@_-"/>
  </numFmts>
  <fonts count="3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43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</cellStyleXfs>
  <cellXfs count="310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8" fontId="6" fillId="4" borderId="1" xfId="2" applyNumberFormat="1" applyFont="1" applyFill="1" applyBorder="1" applyAlignment="1">
      <alignment vertical="center" wrapText="1"/>
    </xf>
    <xf numFmtId="172" fontId="20" fillId="4" borderId="0" xfId="2" applyNumberFormat="1" applyFont="1" applyFill="1" applyAlignment="1">
      <alignment vertical="center" wrapText="1"/>
    </xf>
    <xf numFmtId="168" fontId="6" fillId="4" borderId="0" xfId="2" applyNumberFormat="1" applyFont="1" applyFill="1" applyAlignment="1">
      <alignment vertical="center"/>
    </xf>
    <xf numFmtId="172" fontId="6" fillId="4" borderId="0" xfId="2" applyNumberFormat="1" applyFont="1" applyFill="1" applyAlignment="1">
      <alignment vertical="center"/>
    </xf>
    <xf numFmtId="168" fontId="6" fillId="4" borderId="7" xfId="2" applyNumberFormat="1" applyFont="1" applyFill="1" applyBorder="1" applyAlignment="1">
      <alignment horizontal="center" vertical="center"/>
    </xf>
    <xf numFmtId="168" fontId="6" fillId="4" borderId="0" xfId="2" applyNumberFormat="1" applyFont="1" applyFill="1" applyBorder="1" applyAlignment="1">
      <alignment horizontal="center" vertical="center"/>
    </xf>
    <xf numFmtId="170" fontId="3" fillId="4" borderId="0" xfId="0" applyNumberFormat="1" applyFont="1" applyFill="1" applyBorder="1" applyAlignment="1">
      <alignment vertical="center"/>
    </xf>
    <xf numFmtId="168" fontId="2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vertical="center"/>
    </xf>
    <xf numFmtId="168" fontId="21" fillId="4" borderId="1" xfId="2" applyNumberFormat="1" applyFont="1" applyFill="1" applyBorder="1" applyAlignment="1">
      <alignment horizontal="right" vertical="top" wrapText="1"/>
    </xf>
    <xf numFmtId="168" fontId="22" fillId="4" borderId="1" xfId="2" applyNumberFormat="1" applyFont="1" applyFill="1" applyBorder="1" applyAlignment="1">
      <alignment horizontal="left" vertical="center" wrapText="1"/>
    </xf>
    <xf numFmtId="168" fontId="10" fillId="4" borderId="0" xfId="2" applyNumberFormat="1" applyFont="1" applyFill="1" applyBorder="1" applyAlignment="1">
      <alignment vertical="center" wrapText="1"/>
    </xf>
    <xf numFmtId="168" fontId="18" fillId="4" borderId="0" xfId="2" applyNumberFormat="1" applyFont="1" applyFill="1" applyAlignment="1">
      <alignment vertical="center"/>
    </xf>
    <xf numFmtId="168" fontId="18" fillId="4" borderId="0" xfId="2" applyNumberFormat="1" applyFont="1" applyFill="1" applyAlignment="1">
      <alignment horizontal="left" vertical="center"/>
    </xf>
    <xf numFmtId="168" fontId="3" fillId="4" borderId="0" xfId="2" applyNumberFormat="1" applyFont="1" applyFill="1" applyAlignment="1">
      <alignment vertical="center"/>
    </xf>
    <xf numFmtId="168" fontId="10" fillId="4" borderId="0" xfId="2" applyNumberFormat="1" applyFont="1" applyFill="1" applyAlignment="1">
      <alignment vertical="center"/>
    </xf>
    <xf numFmtId="43" fontId="6" fillId="4" borderId="1" xfId="2" applyNumberFormat="1" applyFont="1" applyFill="1" applyBorder="1" applyAlignment="1">
      <alignment horizontal="right" vertical="center" wrapText="1"/>
    </xf>
    <xf numFmtId="171" fontId="21" fillId="4" borderId="1" xfId="3" applyNumberFormat="1" applyFont="1" applyFill="1" applyBorder="1" applyAlignment="1">
      <alignment horizontal="right" vertical="center" wrapText="1"/>
    </xf>
    <xf numFmtId="168" fontId="23" fillId="4" borderId="1" xfId="2" applyNumberFormat="1" applyFont="1" applyFill="1" applyBorder="1" applyAlignment="1">
      <alignment horizontal="center" vertical="center" wrapText="1"/>
    </xf>
    <xf numFmtId="174" fontId="3" fillId="4" borderId="0" xfId="0" applyNumberFormat="1" applyFont="1" applyFill="1" applyBorder="1" applyAlignment="1">
      <alignment vertical="center"/>
    </xf>
    <xf numFmtId="1" fontId="21" fillId="4" borderId="0" xfId="0" applyNumberFormat="1" applyFont="1" applyFill="1" applyBorder="1" applyAlignment="1">
      <alignment horizontal="left" vertical="center" wrapText="1"/>
    </xf>
    <xf numFmtId="168" fontId="6" fillId="4" borderId="11" xfId="2" applyNumberFormat="1" applyFont="1" applyFill="1" applyBorder="1" applyAlignment="1">
      <alignment horizontal="right" vertical="top" wrapText="1"/>
    </xf>
    <xf numFmtId="173" fontId="6" fillId="4" borderId="0" xfId="0" applyNumberFormat="1" applyFont="1" applyFill="1" applyBorder="1" applyAlignment="1">
      <alignment vertical="center" wrapText="1"/>
    </xf>
    <xf numFmtId="170" fontId="26" fillId="4" borderId="0" xfId="0" applyNumberFormat="1" applyFont="1" applyFill="1" applyBorder="1" applyAlignment="1">
      <alignment vertical="center"/>
    </xf>
    <xf numFmtId="168" fontId="6" fillId="4" borderId="12" xfId="2" applyNumberFormat="1" applyFont="1" applyFill="1" applyBorder="1" applyAlignment="1">
      <alignment horizontal="right" vertical="top" wrapText="1"/>
    </xf>
    <xf numFmtId="168" fontId="6" fillId="4" borderId="1" xfId="2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vertical="top" wrapText="1"/>
    </xf>
    <xf numFmtId="0" fontId="26" fillId="4" borderId="0" xfId="0" applyFont="1" applyFill="1" applyBorder="1" applyAlignment="1">
      <alignment vertical="center"/>
    </xf>
    <xf numFmtId="0" fontId="6" fillId="4" borderId="1" xfId="2" applyNumberFormat="1" applyFont="1" applyFill="1" applyBorder="1" applyAlignment="1">
      <alignment horizontal="right" vertical="top" wrapText="1"/>
    </xf>
    <xf numFmtId="0" fontId="6" fillId="4" borderId="1" xfId="2" applyNumberFormat="1" applyFont="1" applyFill="1" applyBorder="1" applyAlignment="1">
      <alignment horizontal="left" vertical="top" wrapText="1"/>
    </xf>
    <xf numFmtId="168" fontId="6" fillId="4" borderId="1" xfId="2" applyNumberFormat="1" applyFont="1" applyFill="1" applyBorder="1" applyAlignment="1">
      <alignment vertical="top" wrapText="1"/>
    </xf>
    <xf numFmtId="168" fontId="21" fillId="4" borderId="0" xfId="2" applyNumberFormat="1" applyFont="1" applyFill="1" applyBorder="1" applyAlignment="1">
      <alignment horizontal="center" vertical="center" wrapText="1"/>
    </xf>
    <xf numFmtId="168" fontId="22" fillId="4" borderId="0" xfId="2" applyNumberFormat="1" applyFont="1" applyFill="1" applyBorder="1" applyAlignment="1">
      <alignment horizontal="left" vertical="center" wrapText="1"/>
    </xf>
    <xf numFmtId="173" fontId="21" fillId="4" borderId="0" xfId="2" applyNumberFormat="1" applyFont="1" applyFill="1" applyBorder="1" applyAlignment="1">
      <alignment horizontal="right" vertical="center" wrapText="1"/>
    </xf>
    <xf numFmtId="171" fontId="21" fillId="4" borderId="0" xfId="3" applyNumberFormat="1" applyFont="1" applyFill="1" applyBorder="1" applyAlignment="1">
      <alignment horizontal="right" vertical="center" wrapText="1"/>
    </xf>
    <xf numFmtId="168" fontId="21" fillId="4" borderId="0" xfId="2" applyNumberFormat="1" applyFont="1" applyFill="1" applyBorder="1" applyAlignment="1">
      <alignment horizontal="right" vertical="top" wrapText="1"/>
    </xf>
    <xf numFmtId="168" fontId="19" fillId="4" borderId="0" xfId="2" applyNumberFormat="1" applyFont="1" applyFill="1" applyBorder="1" applyAlignment="1">
      <alignment vertical="center" wrapText="1"/>
    </xf>
    <xf numFmtId="168" fontId="19" fillId="4" borderId="0" xfId="2" applyNumberFormat="1" applyFont="1" applyFill="1" applyAlignment="1">
      <alignment vertical="center"/>
    </xf>
    <xf numFmtId="168" fontId="19" fillId="4" borderId="7" xfId="2" applyNumberFormat="1" applyFont="1" applyFill="1" applyBorder="1" applyAlignment="1">
      <alignment horizontal="left" vertical="center"/>
    </xf>
    <xf numFmtId="168" fontId="19" fillId="4" borderId="0" xfId="2" applyNumberFormat="1" applyFont="1" applyFill="1" applyAlignment="1">
      <alignment horizontal="left" vertical="center"/>
    </xf>
    <xf numFmtId="168" fontId="3" fillId="4" borderId="0" xfId="2" applyNumberFormat="1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168" fontId="19" fillId="4" borderId="0" xfId="2" applyNumberFormat="1" applyFont="1" applyFill="1" applyBorder="1" applyAlignment="1">
      <alignment vertical="center"/>
    </xf>
    <xf numFmtId="168" fontId="19" fillId="4" borderId="0" xfId="2" applyNumberFormat="1" applyFont="1" applyFill="1" applyBorder="1" applyAlignment="1">
      <alignment horizontal="right" vertical="center"/>
    </xf>
    <xf numFmtId="168" fontId="6" fillId="4" borderId="0" xfId="2" applyNumberFormat="1" applyFont="1" applyFill="1" applyBorder="1" applyAlignment="1">
      <alignment vertical="center" wrapText="1"/>
    </xf>
    <xf numFmtId="168" fontId="19" fillId="4" borderId="0" xfId="2" applyNumberFormat="1" applyFont="1" applyFill="1" applyAlignment="1">
      <alignment horizontal="right" vertical="center"/>
    </xf>
    <xf numFmtId="168" fontId="19" fillId="4" borderId="0" xfId="0" applyNumberFormat="1" applyFont="1" applyFill="1" applyBorder="1" applyAlignment="1">
      <alignment horizontal="left" vertical="center"/>
    </xf>
    <xf numFmtId="168" fontId="19" fillId="4" borderId="0" xfId="0" applyNumberFormat="1" applyFont="1" applyFill="1" applyBorder="1" applyAlignment="1">
      <alignment vertical="center"/>
    </xf>
    <xf numFmtId="168" fontId="6" fillId="4" borderId="0" xfId="2" applyNumberFormat="1" applyFont="1" applyFill="1" applyBorder="1" applyAlignment="1">
      <alignment vertical="center"/>
    </xf>
    <xf numFmtId="168" fontId="6" fillId="4" borderId="5" xfId="2" applyNumberFormat="1" applyFont="1" applyFill="1" applyBorder="1" applyAlignment="1">
      <alignment horizontal="left" vertical="center"/>
    </xf>
    <xf numFmtId="168" fontId="6" fillId="4" borderId="0" xfId="2" applyNumberFormat="1" applyFont="1" applyFill="1" applyAlignment="1">
      <alignment horizontal="right" vertical="center"/>
    </xf>
    <xf numFmtId="168" fontId="6" fillId="4" borderId="0" xfId="2" applyNumberFormat="1" applyFont="1" applyFill="1" applyAlignment="1">
      <alignment horizontal="left" vertical="center"/>
    </xf>
    <xf numFmtId="168" fontId="18" fillId="4" borderId="0" xfId="2" applyNumberFormat="1" applyFont="1" applyFill="1"/>
    <xf numFmtId="168" fontId="18" fillId="4" borderId="0" xfId="2" applyNumberFormat="1" applyFont="1" applyFill="1" applyAlignment="1">
      <alignment horizontal="left"/>
    </xf>
    <xf numFmtId="168" fontId="18" fillId="4" borderId="0" xfId="2" applyNumberFormat="1" applyFont="1" applyFill="1" applyAlignment="1">
      <alignment horizontal="right" vertical="center"/>
    </xf>
    <xf numFmtId="175" fontId="18" fillId="4" borderId="0" xfId="2" applyNumberFormat="1" applyFont="1" applyFill="1" applyAlignment="1">
      <alignment vertical="center"/>
    </xf>
    <xf numFmtId="176" fontId="6" fillId="4" borderId="0" xfId="2" applyNumberFormat="1" applyFont="1" applyFill="1" applyAlignment="1">
      <alignment horizontal="right" vertical="center"/>
    </xf>
    <xf numFmtId="168" fontId="20" fillId="4" borderId="0" xfId="2" applyNumberFormat="1" applyFont="1" applyFill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8" fontId="6" fillId="4" borderId="1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1" xfId="2" applyNumberFormat="1" applyFont="1" applyFill="1" applyBorder="1" applyAlignment="1">
      <alignment horizontal="left" vertical="center" wrapText="1"/>
    </xf>
    <xf numFmtId="168" fontId="6" fillId="4" borderId="1" xfId="2" applyNumberFormat="1" applyFont="1" applyFill="1" applyBorder="1" applyAlignment="1">
      <alignment horizontal="right" vertical="center" wrapText="1"/>
    </xf>
    <xf numFmtId="168" fontId="3" fillId="4" borderId="0" xfId="2" applyNumberFormat="1" applyFont="1" applyFill="1" applyAlignment="1">
      <alignment horizontal="right" vertical="center"/>
    </xf>
    <xf numFmtId="173" fontId="6" fillId="4" borderId="1" xfId="2" applyNumberFormat="1" applyFont="1" applyFill="1" applyBorder="1" applyAlignment="1">
      <alignment horizontal="right" vertical="center" wrapText="1"/>
    </xf>
    <xf numFmtId="173" fontId="21" fillId="4" borderId="1" xfId="2" applyNumberFormat="1" applyFont="1" applyFill="1" applyBorder="1" applyAlignment="1">
      <alignment horizontal="right" vertical="center" wrapText="1"/>
    </xf>
    <xf numFmtId="171" fontId="6" fillId="4" borderId="1" xfId="3" applyNumberFormat="1" applyFont="1" applyFill="1" applyBorder="1" applyAlignment="1">
      <alignment horizontal="right" vertical="center" wrapText="1"/>
    </xf>
    <xf numFmtId="173" fontId="6" fillId="4" borderId="1" xfId="2" applyNumberFormat="1" applyFont="1" applyFill="1" applyBorder="1" applyAlignment="1">
      <alignment vertical="center" wrapText="1"/>
    </xf>
    <xf numFmtId="164" fontId="21" fillId="4" borderId="0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top" wrapText="1"/>
    </xf>
    <xf numFmtId="168" fontId="6" fillId="4" borderId="1" xfId="2" applyNumberFormat="1" applyFont="1" applyFill="1" applyBorder="1" applyAlignment="1">
      <alignment horizontal="left" vertical="top" wrapText="1"/>
    </xf>
    <xf numFmtId="168" fontId="23" fillId="4" borderId="0" xfId="2" applyNumberFormat="1" applyFont="1" applyFill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171" fontId="27" fillId="4" borderId="0" xfId="3" applyNumberFormat="1" applyFont="1" applyFill="1" applyBorder="1" applyAlignment="1">
      <alignment vertical="center" wrapText="1"/>
    </xf>
    <xf numFmtId="176" fontId="3" fillId="4" borderId="0" xfId="2" applyNumberFormat="1" applyFont="1" applyFill="1" applyAlignment="1">
      <alignment horizontal="right" vertical="center"/>
    </xf>
    <xf numFmtId="175" fontId="3" fillId="4" borderId="0" xfId="2" applyNumberFormat="1" applyFont="1" applyFill="1" applyAlignment="1">
      <alignment horizontal="right" vertical="center"/>
    </xf>
    <xf numFmtId="173" fontId="3" fillId="4" borderId="0" xfId="2" applyNumberFormat="1" applyFont="1" applyFill="1" applyAlignment="1">
      <alignment vertical="center"/>
    </xf>
    <xf numFmtId="43" fontId="10" fillId="4" borderId="0" xfId="2" applyNumberFormat="1" applyFont="1" applyFill="1" applyAlignment="1">
      <alignment vertical="center"/>
    </xf>
    <xf numFmtId="177" fontId="3" fillId="4" borderId="0" xfId="0" applyNumberFormat="1" applyFont="1" applyFill="1" applyBorder="1" applyAlignment="1">
      <alignment vertical="center"/>
    </xf>
    <xf numFmtId="173" fontId="19" fillId="4" borderId="1" xfId="2" applyNumberFormat="1" applyFont="1" applyFill="1" applyBorder="1" applyAlignment="1">
      <alignment horizontal="right" vertical="center" wrapText="1"/>
    </xf>
    <xf numFmtId="173" fontId="28" fillId="4" borderId="1" xfId="2" applyNumberFormat="1" applyFont="1" applyFill="1" applyBorder="1" applyAlignment="1">
      <alignment vertical="center" wrapText="1"/>
    </xf>
    <xf numFmtId="173" fontId="28" fillId="4" borderId="1" xfId="2" applyNumberFormat="1" applyFont="1" applyFill="1" applyBorder="1" applyAlignment="1">
      <alignment horizontal="right" vertical="center" wrapText="1"/>
    </xf>
    <xf numFmtId="164" fontId="26" fillId="4" borderId="0" xfId="0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168" fontId="29" fillId="4" borderId="0" xfId="2" applyNumberFormat="1" applyFont="1" applyFill="1" applyBorder="1" applyAlignment="1">
      <alignment horizontal="right" vertical="center"/>
    </xf>
    <xf numFmtId="168" fontId="18" fillId="5" borderId="0" xfId="2" applyNumberFormat="1" applyFont="1" applyFill="1" applyAlignment="1">
      <alignment horizontal="right" vertical="center"/>
    </xf>
    <xf numFmtId="178" fontId="3" fillId="4" borderId="0" xfId="0" applyNumberFormat="1" applyFont="1" applyFill="1" applyBorder="1" applyAlignment="1">
      <alignment vertical="center"/>
    </xf>
    <xf numFmtId="173" fontId="6" fillId="0" borderId="1" xfId="2" applyNumberFormat="1" applyFont="1" applyFill="1" applyBorder="1" applyAlignment="1">
      <alignment vertical="center" wrapText="1"/>
    </xf>
    <xf numFmtId="171" fontId="6" fillId="0" borderId="1" xfId="3" applyNumberFormat="1" applyFont="1" applyFill="1" applyBorder="1" applyAlignment="1">
      <alignment horizontal="right" vertical="center" wrapText="1"/>
    </xf>
    <xf numFmtId="173" fontId="6" fillId="0" borderId="1" xfId="3" applyNumberFormat="1" applyFont="1" applyFill="1" applyBorder="1" applyAlignment="1">
      <alignment horizontal="right" vertical="center" wrapText="1"/>
    </xf>
    <xf numFmtId="177" fontId="19" fillId="4" borderId="0" xfId="0" applyNumberFormat="1" applyFont="1" applyFill="1" applyBorder="1" applyAlignment="1">
      <alignment vertical="center"/>
    </xf>
    <xf numFmtId="168" fontId="10" fillId="4" borderId="0" xfId="2" applyNumberFormat="1" applyFont="1" applyFill="1" applyAlignment="1">
      <alignment horizontal="right" vertical="center"/>
    </xf>
    <xf numFmtId="178" fontId="6" fillId="4" borderId="1" xfId="2" applyNumberFormat="1" applyFont="1" applyFill="1" applyBorder="1" applyAlignment="1">
      <alignment vertical="center" wrapText="1"/>
    </xf>
    <xf numFmtId="168" fontId="18" fillId="4" borderId="0" xfId="2" applyNumberFormat="1" applyFont="1" applyFill="1" applyBorder="1" applyAlignment="1">
      <alignment horizontal="left" vertical="center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5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5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8" fontId="21" fillId="4" borderId="0" xfId="2" applyNumberFormat="1" applyFont="1" applyFill="1" applyAlignment="1">
      <alignment horizontal="center" vertical="center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8" fontId="18" fillId="4" borderId="1" xfId="2" applyNumberFormat="1" applyFont="1" applyFill="1" applyBorder="1" applyAlignment="1">
      <alignment horizontal="center" vertical="center" wrapText="1"/>
    </xf>
    <xf numFmtId="168" fontId="3" fillId="4" borderId="1" xfId="2" applyNumberFormat="1" applyFont="1" applyFill="1" applyBorder="1" applyAlignment="1">
      <alignment horizontal="center" vertical="center" wrapText="1"/>
    </xf>
    <xf numFmtId="168" fontId="6" fillId="4" borderId="4" xfId="2" applyNumberFormat="1" applyFont="1" applyFill="1" applyBorder="1" applyAlignment="1">
      <alignment horizontal="center" vertical="center" wrapText="1"/>
    </xf>
    <xf numFmtId="168" fontId="6" fillId="4" borderId="5" xfId="2" applyNumberFormat="1" applyFont="1" applyFill="1" applyBorder="1" applyAlignment="1">
      <alignment horizontal="center" vertical="center" wrapText="1"/>
    </xf>
    <xf numFmtId="168" fontId="6" fillId="4" borderId="2" xfId="2" applyNumberFormat="1" applyFont="1" applyFill="1" applyBorder="1" applyAlignment="1">
      <alignment horizontal="center" vertical="center" wrapText="1"/>
    </xf>
    <xf numFmtId="168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18" fillId="4" borderId="1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49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49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49" fontId="18" fillId="4" borderId="10" xfId="2" applyNumberFormat="1" applyFont="1" applyFill="1" applyBorder="1" applyAlignment="1" applyProtection="1">
      <alignment horizontal="center" vertical="center"/>
      <protection locked="0"/>
    </xf>
    <xf numFmtId="49" fontId="18" fillId="4" borderId="8" xfId="2" applyNumberFormat="1" applyFont="1" applyFill="1" applyBorder="1" applyAlignment="1" applyProtection="1">
      <alignment horizontal="center" vertical="center"/>
      <protection locked="0"/>
    </xf>
    <xf numFmtId="49" fontId="18" fillId="4" borderId="6" xfId="2" applyNumberFormat="1" applyFont="1" applyFill="1" applyBorder="1" applyAlignment="1" applyProtection="1">
      <alignment horizontal="center" vertical="center"/>
      <protection locked="0"/>
    </xf>
    <xf numFmtId="164" fontId="21" fillId="4" borderId="4" xfId="0" applyNumberFormat="1" applyFont="1" applyFill="1" applyBorder="1" applyAlignment="1">
      <alignment horizontal="left" vertical="center" wrapText="1"/>
    </xf>
    <xf numFmtId="164" fontId="21" fillId="4" borderId="5" xfId="0" applyNumberFormat="1" applyFont="1" applyFill="1" applyBorder="1" applyAlignment="1">
      <alignment horizontal="left" vertical="center" wrapText="1"/>
    </xf>
    <xf numFmtId="164" fontId="21" fillId="4" borderId="2" xfId="0" applyNumberFormat="1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left" vertical="center" wrapText="1"/>
    </xf>
    <xf numFmtId="164" fontId="6" fillId="4" borderId="5" xfId="0" applyNumberFormat="1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left" vertical="center" wrapText="1"/>
    </xf>
    <xf numFmtId="169" fontId="18" fillId="4" borderId="1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168" fontId="18" fillId="4" borderId="10" xfId="2" applyNumberFormat="1" applyFont="1" applyFill="1" applyBorder="1" applyAlignment="1">
      <alignment horizontal="center" vertical="center" wrapText="1"/>
    </xf>
    <xf numFmtId="168" fontId="18" fillId="4" borderId="8" xfId="2" applyNumberFormat="1" applyFont="1" applyFill="1" applyBorder="1" applyAlignment="1">
      <alignment horizontal="center" vertical="center" wrapText="1"/>
    </xf>
    <xf numFmtId="168" fontId="18" fillId="4" borderId="6" xfId="2" applyNumberFormat="1" applyFont="1" applyFill="1" applyBorder="1" applyAlignment="1">
      <alignment horizontal="center" vertical="center" wrapText="1"/>
    </xf>
    <xf numFmtId="173" fontId="6" fillId="4" borderId="10" xfId="2" applyNumberFormat="1" applyFont="1" applyFill="1" applyBorder="1" applyAlignment="1">
      <alignment horizontal="center" vertical="center" wrapText="1"/>
    </xf>
    <xf numFmtId="173" fontId="6" fillId="4" borderId="8" xfId="2" applyNumberFormat="1" applyFont="1" applyFill="1" applyBorder="1" applyAlignment="1">
      <alignment horizontal="center" vertical="center" wrapText="1"/>
    </xf>
    <xf numFmtId="173" fontId="6" fillId="4" borderId="6" xfId="2" applyNumberFormat="1" applyFont="1" applyFill="1" applyBorder="1" applyAlignment="1">
      <alignment horizontal="center" vertical="center" wrapText="1"/>
    </xf>
    <xf numFmtId="171" fontId="6" fillId="4" borderId="10" xfId="3" applyNumberFormat="1" applyFont="1" applyFill="1" applyBorder="1" applyAlignment="1">
      <alignment horizontal="center" vertical="center" wrapText="1"/>
    </xf>
    <xf numFmtId="171" fontId="6" fillId="4" borderId="8" xfId="3" applyNumberFormat="1" applyFont="1" applyFill="1" applyBorder="1" applyAlignment="1">
      <alignment horizontal="center" vertical="center" wrapText="1"/>
    </xf>
    <xf numFmtId="171" fontId="6" fillId="4" borderId="6" xfId="3" applyNumberFormat="1" applyFont="1" applyFill="1" applyBorder="1" applyAlignment="1">
      <alignment horizontal="center" vertical="center" wrapText="1"/>
    </xf>
    <xf numFmtId="168" fontId="6" fillId="4" borderId="10" xfId="2" applyNumberFormat="1" applyFont="1" applyFill="1" applyBorder="1" applyAlignment="1">
      <alignment horizontal="center" vertical="center" wrapText="1"/>
    </xf>
    <xf numFmtId="168" fontId="6" fillId="4" borderId="8" xfId="2" applyNumberFormat="1" applyFont="1" applyFill="1" applyBorder="1" applyAlignment="1">
      <alignment horizontal="center" vertical="center" wrapText="1"/>
    </xf>
    <xf numFmtId="168" fontId="6" fillId="4" borderId="6" xfId="2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68" fontId="6" fillId="4" borderId="10" xfId="2" applyNumberFormat="1" applyFont="1" applyFill="1" applyBorder="1" applyAlignment="1">
      <alignment horizontal="left" vertical="center" wrapText="1"/>
    </xf>
    <xf numFmtId="168" fontId="6" fillId="4" borderId="8" xfId="2" applyNumberFormat="1" applyFont="1" applyFill="1" applyBorder="1" applyAlignment="1">
      <alignment horizontal="left" vertical="center" wrapText="1"/>
    </xf>
    <xf numFmtId="168" fontId="6" fillId="4" borderId="6" xfId="2" applyNumberFormat="1" applyFont="1" applyFill="1" applyBorder="1" applyAlignment="1">
      <alignment horizontal="left" vertical="center" wrapText="1"/>
    </xf>
    <xf numFmtId="164" fontId="18" fillId="4" borderId="10" xfId="0" applyNumberFormat="1" applyFont="1" applyFill="1" applyBorder="1" applyAlignment="1">
      <alignment horizontal="left" vertical="center" wrapText="1"/>
    </xf>
    <xf numFmtId="164" fontId="18" fillId="4" borderId="8" xfId="0" applyNumberFormat="1" applyFont="1" applyFill="1" applyBorder="1" applyAlignment="1">
      <alignment horizontal="left" vertical="center" wrapText="1"/>
    </xf>
    <xf numFmtId="164" fontId="18" fillId="4" borderId="6" xfId="0" applyNumberFormat="1" applyFont="1" applyFill="1" applyBorder="1" applyAlignment="1">
      <alignment horizontal="left" vertical="center" wrapText="1"/>
    </xf>
    <xf numFmtId="168" fontId="10" fillId="4" borderId="10" xfId="2" applyNumberFormat="1" applyFont="1" applyFill="1" applyBorder="1" applyAlignment="1">
      <alignment horizontal="center" vertical="center" wrapText="1"/>
    </xf>
    <xf numFmtId="168" fontId="10" fillId="4" borderId="8" xfId="2" applyNumberFormat="1" applyFont="1" applyFill="1" applyBorder="1" applyAlignment="1">
      <alignment horizontal="center" vertical="center" wrapText="1"/>
    </xf>
    <xf numFmtId="168" fontId="10" fillId="4" borderId="6" xfId="2" applyNumberFormat="1" applyFont="1" applyFill="1" applyBorder="1" applyAlignment="1">
      <alignment horizontal="center" vertical="center" wrapText="1"/>
    </xf>
    <xf numFmtId="0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0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0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169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169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169" fontId="18" fillId="4" borderId="10" xfId="2" applyNumberFormat="1" applyFont="1" applyFill="1" applyBorder="1" applyAlignment="1" applyProtection="1">
      <alignment vertical="center" wrapText="1"/>
      <protection locked="0"/>
    </xf>
    <xf numFmtId="169" fontId="18" fillId="4" borderId="8" xfId="2" applyNumberFormat="1" applyFont="1" applyFill="1" applyBorder="1" applyAlignment="1" applyProtection="1">
      <alignment vertical="center" wrapText="1"/>
      <protection locked="0"/>
    </xf>
    <xf numFmtId="169" fontId="18" fillId="4" borderId="6" xfId="2" applyNumberFormat="1" applyFont="1" applyFill="1" applyBorder="1" applyAlignment="1" applyProtection="1">
      <alignment vertical="center" wrapText="1"/>
      <protection locked="0"/>
    </xf>
    <xf numFmtId="168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1" fontId="21" fillId="4" borderId="4" xfId="0" applyNumberFormat="1" applyFont="1" applyFill="1" applyBorder="1" applyAlignment="1">
      <alignment horizontal="left" vertical="center" wrapText="1"/>
    </xf>
    <xf numFmtId="1" fontId="21" fillId="4" borderId="5" xfId="0" applyNumberFormat="1" applyFont="1" applyFill="1" applyBorder="1" applyAlignment="1">
      <alignment horizontal="left" vertical="center" wrapText="1"/>
    </xf>
    <xf numFmtId="1" fontId="21" fillId="4" borderId="2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168" fontId="6" fillId="4" borderId="10" xfId="2" applyNumberFormat="1" applyFont="1" applyFill="1" applyBorder="1" applyAlignment="1">
      <alignment horizontal="left" vertical="top" wrapText="1"/>
    </xf>
    <xf numFmtId="168" fontId="6" fillId="4" borderId="8" xfId="2" applyNumberFormat="1" applyFont="1" applyFill="1" applyBorder="1" applyAlignment="1">
      <alignment horizontal="left" vertical="top" wrapText="1"/>
    </xf>
    <xf numFmtId="168" fontId="6" fillId="4" borderId="6" xfId="2" applyNumberFormat="1" applyFont="1" applyFill="1" applyBorder="1" applyAlignment="1">
      <alignment horizontal="left" vertical="top" wrapText="1"/>
    </xf>
    <xf numFmtId="168" fontId="18" fillId="4" borderId="0" xfId="2" applyNumberFormat="1" applyFont="1" applyFill="1" applyBorder="1" applyAlignment="1">
      <alignment horizontal="left" vertical="center" wrapText="1"/>
    </xf>
    <xf numFmtId="168" fontId="10" fillId="4" borderId="1" xfId="2" applyNumberFormat="1" applyFont="1" applyFill="1" applyBorder="1" applyAlignment="1">
      <alignment horizontal="center" vertical="center"/>
    </xf>
    <xf numFmtId="168" fontId="18" fillId="4" borderId="10" xfId="2" applyNumberFormat="1" applyFont="1" applyFill="1" applyBorder="1" applyAlignment="1">
      <alignment horizontal="left" vertical="center" wrapText="1"/>
    </xf>
    <xf numFmtId="168" fontId="18" fillId="4" borderId="8" xfId="2" applyNumberFormat="1" applyFont="1" applyFill="1" applyBorder="1" applyAlignment="1">
      <alignment horizontal="left" vertical="center" wrapText="1"/>
    </xf>
    <xf numFmtId="168" fontId="18" fillId="4" borderId="6" xfId="2" applyNumberFormat="1" applyFont="1" applyFill="1" applyBorder="1" applyAlignment="1">
      <alignment horizontal="left" vertical="center" wrapText="1"/>
    </xf>
    <xf numFmtId="168" fontId="21" fillId="4" borderId="1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Процентный" xfId="3" builtinId="5"/>
    <cellStyle name="Финансовый" xfId="2" builtinId="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196" t="s">
        <v>40</v>
      </c>
      <c r="B1" s="197"/>
      <c r="C1" s="198" t="s">
        <v>41</v>
      </c>
      <c r="D1" s="190" t="s">
        <v>45</v>
      </c>
      <c r="E1" s="191"/>
      <c r="F1" s="192"/>
      <c r="G1" s="190" t="s">
        <v>18</v>
      </c>
      <c r="H1" s="191"/>
      <c r="I1" s="192"/>
      <c r="J1" s="190" t="s">
        <v>19</v>
      </c>
      <c r="K1" s="191"/>
      <c r="L1" s="192"/>
      <c r="M1" s="190" t="s">
        <v>23</v>
      </c>
      <c r="N1" s="191"/>
      <c r="O1" s="192"/>
      <c r="P1" s="193" t="s">
        <v>24</v>
      </c>
      <c r="Q1" s="194"/>
      <c r="R1" s="190" t="s">
        <v>25</v>
      </c>
      <c r="S1" s="191"/>
      <c r="T1" s="192"/>
      <c r="U1" s="190" t="s">
        <v>26</v>
      </c>
      <c r="V1" s="191"/>
      <c r="W1" s="192"/>
      <c r="X1" s="193" t="s">
        <v>27</v>
      </c>
      <c r="Y1" s="195"/>
      <c r="Z1" s="194"/>
      <c r="AA1" s="193" t="s">
        <v>28</v>
      </c>
      <c r="AB1" s="194"/>
      <c r="AC1" s="190" t="s">
        <v>29</v>
      </c>
      <c r="AD1" s="191"/>
      <c r="AE1" s="192"/>
      <c r="AF1" s="190" t="s">
        <v>30</v>
      </c>
      <c r="AG1" s="191"/>
      <c r="AH1" s="192"/>
      <c r="AI1" s="190" t="s">
        <v>31</v>
      </c>
      <c r="AJ1" s="191"/>
      <c r="AK1" s="192"/>
      <c r="AL1" s="193" t="s">
        <v>32</v>
      </c>
      <c r="AM1" s="194"/>
      <c r="AN1" s="190" t="s">
        <v>33</v>
      </c>
      <c r="AO1" s="191"/>
      <c r="AP1" s="192"/>
      <c r="AQ1" s="190" t="s">
        <v>34</v>
      </c>
      <c r="AR1" s="191"/>
      <c r="AS1" s="192"/>
      <c r="AT1" s="190" t="s">
        <v>35</v>
      </c>
      <c r="AU1" s="191"/>
      <c r="AV1" s="192"/>
    </row>
    <row r="2" spans="1:48" ht="39" customHeight="1">
      <c r="A2" s="197"/>
      <c r="B2" s="197"/>
      <c r="C2" s="198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198" t="s">
        <v>83</v>
      </c>
      <c r="B3" s="198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198"/>
      <c r="B4" s="198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98"/>
      <c r="B5" s="198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98"/>
      <c r="B6" s="198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98"/>
      <c r="B7" s="19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98"/>
      <c r="B8" s="198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98"/>
      <c r="B9" s="19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00" t="s">
        <v>58</v>
      </c>
      <c r="B1" s="200"/>
      <c r="C1" s="200"/>
      <c r="D1" s="200"/>
      <c r="E1" s="200"/>
    </row>
    <row r="2" spans="1:5">
      <c r="A2" s="12"/>
      <c r="B2" s="12"/>
      <c r="C2" s="12"/>
      <c r="D2" s="12"/>
      <c r="E2" s="12"/>
    </row>
    <row r="3" spans="1:5">
      <c r="A3" s="201" t="s">
        <v>130</v>
      </c>
      <c r="B3" s="201"/>
      <c r="C3" s="201"/>
      <c r="D3" s="201"/>
      <c r="E3" s="201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99" t="s">
        <v>79</v>
      </c>
      <c r="B26" s="199"/>
      <c r="C26" s="199"/>
      <c r="D26" s="199"/>
      <c r="E26" s="199"/>
    </row>
    <row r="27" spans="1:5">
      <c r="A27" s="28"/>
      <c r="B27" s="28"/>
      <c r="C27" s="28"/>
      <c r="D27" s="28"/>
      <c r="E27" s="28"/>
    </row>
    <row r="28" spans="1:5">
      <c r="A28" s="199" t="s">
        <v>80</v>
      </c>
      <c r="B28" s="199"/>
      <c r="C28" s="199"/>
      <c r="D28" s="199"/>
      <c r="E28" s="199"/>
    </row>
    <row r="29" spans="1:5">
      <c r="A29" s="199"/>
      <c r="B29" s="199"/>
      <c r="C29" s="199"/>
      <c r="D29" s="199"/>
      <c r="E29" s="199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51</v>
      </c>
    </row>
    <row r="2" spans="1:256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0</v>
      </c>
      <c r="B3" s="225" t="s">
        <v>46</v>
      </c>
      <c r="C3" s="225"/>
      <c r="D3" s="36" t="s">
        <v>18</v>
      </c>
      <c r="E3" s="47" t="s">
        <v>19</v>
      </c>
      <c r="F3" s="36" t="s">
        <v>23</v>
      </c>
      <c r="G3" s="47" t="s">
        <v>25</v>
      </c>
      <c r="H3" s="36" t="s">
        <v>26</v>
      </c>
      <c r="I3" s="47" t="s">
        <v>27</v>
      </c>
      <c r="J3" s="36" t="s">
        <v>29</v>
      </c>
      <c r="K3" s="47" t="s">
        <v>30</v>
      </c>
      <c r="L3" s="36" t="s">
        <v>31</v>
      </c>
      <c r="M3" s="47" t="s">
        <v>33</v>
      </c>
      <c r="N3" s="36" t="s">
        <v>34</v>
      </c>
      <c r="O3" s="47" t="s">
        <v>35</v>
      </c>
      <c r="P3" s="36" t="s">
        <v>81</v>
      </c>
      <c r="Q3" s="36" t="s">
        <v>50</v>
      </c>
      <c r="R3" s="35" t="s">
        <v>18</v>
      </c>
      <c r="S3" s="29" t="s">
        <v>19</v>
      </c>
      <c r="T3" s="35" t="s">
        <v>23</v>
      </c>
      <c r="U3" s="29" t="s">
        <v>25</v>
      </c>
      <c r="V3" s="35" t="s">
        <v>26</v>
      </c>
      <c r="W3" s="29" t="s">
        <v>27</v>
      </c>
      <c r="X3" s="35" t="s">
        <v>29</v>
      </c>
      <c r="Y3" s="29" t="s">
        <v>30</v>
      </c>
      <c r="Z3" s="35" t="s">
        <v>31</v>
      </c>
      <c r="AA3" s="29" t="s">
        <v>33</v>
      </c>
      <c r="AB3" s="35" t="s">
        <v>34</v>
      </c>
      <c r="AC3" s="29" t="s">
        <v>35</v>
      </c>
    </row>
    <row r="4" spans="1:256" ht="15" customHeight="1">
      <c r="A4" s="49" t="s">
        <v>84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219" t="s">
        <v>2</v>
      </c>
      <c r="B5" s="207" t="s">
        <v>85</v>
      </c>
      <c r="C5" s="52" t="s">
        <v>21</v>
      </c>
      <c r="D5" s="54" t="s">
        <v>217</v>
      </c>
      <c r="E5" s="54" t="s">
        <v>218</v>
      </c>
      <c r="F5" s="54" t="s">
        <v>219</v>
      </c>
      <c r="G5" s="54" t="s">
        <v>220</v>
      </c>
      <c r="H5" s="54" t="s">
        <v>219</v>
      </c>
      <c r="I5" s="54" t="s">
        <v>221</v>
      </c>
      <c r="J5" s="54" t="s">
        <v>220</v>
      </c>
      <c r="K5" s="54" t="s">
        <v>222</v>
      </c>
      <c r="L5" s="54" t="s">
        <v>223</v>
      </c>
      <c r="M5" s="54" t="s">
        <v>224</v>
      </c>
      <c r="N5" s="54" t="s">
        <v>223</v>
      </c>
      <c r="O5" s="54" t="s">
        <v>225</v>
      </c>
      <c r="P5" s="55"/>
      <c r="Q5" s="55"/>
    </row>
    <row r="6" spans="1:256" ht="105.75" customHeight="1">
      <c r="A6" s="219"/>
      <c r="B6" s="207"/>
      <c r="C6" s="52"/>
      <c r="D6" s="54"/>
      <c r="E6" s="54"/>
      <c r="F6" s="54"/>
      <c r="G6" s="54"/>
      <c r="H6" s="54"/>
      <c r="I6" s="54"/>
      <c r="J6" s="54"/>
      <c r="K6" s="56" t="s">
        <v>200</v>
      </c>
      <c r="L6" s="56" t="s">
        <v>201</v>
      </c>
      <c r="M6" s="56" t="s">
        <v>202</v>
      </c>
      <c r="N6" s="56" t="s">
        <v>203</v>
      </c>
      <c r="O6" s="54" t="s">
        <v>205</v>
      </c>
      <c r="P6" s="55"/>
      <c r="Q6" s="55"/>
    </row>
    <row r="7" spans="1:256" ht="74.25" customHeight="1">
      <c r="A7" s="219"/>
      <c r="B7" s="207"/>
      <c r="C7" s="52" t="s">
        <v>22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219" t="s">
        <v>4</v>
      </c>
      <c r="B8" s="207" t="s">
        <v>86</v>
      </c>
      <c r="C8" s="52" t="s">
        <v>21</v>
      </c>
      <c r="D8" s="54"/>
      <c r="E8" s="55"/>
      <c r="F8" s="55"/>
      <c r="G8" s="55"/>
      <c r="H8" s="55"/>
      <c r="I8" s="56" t="s">
        <v>200</v>
      </c>
      <c r="J8" s="56" t="s">
        <v>201</v>
      </c>
      <c r="K8" s="56" t="s">
        <v>202</v>
      </c>
      <c r="L8" s="56" t="s">
        <v>203</v>
      </c>
      <c r="M8" s="211" t="s">
        <v>205</v>
      </c>
      <c r="N8" s="212"/>
      <c r="O8" s="213"/>
      <c r="P8" s="55"/>
      <c r="Q8" s="55"/>
    </row>
    <row r="9" spans="1:256" ht="33.75" customHeight="1">
      <c r="A9" s="219"/>
      <c r="B9" s="207"/>
      <c r="C9" s="52" t="s">
        <v>22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219" t="s">
        <v>5</v>
      </c>
      <c r="B10" s="207" t="s">
        <v>87</v>
      </c>
      <c r="C10" s="52" t="s">
        <v>21</v>
      </c>
      <c r="D10" s="54" t="s">
        <v>206</v>
      </c>
      <c r="E10" s="54"/>
      <c r="F10" s="54" t="s">
        <v>207</v>
      </c>
      <c r="G10" s="54"/>
      <c r="H10" s="54" t="s">
        <v>208</v>
      </c>
      <c r="I10" s="54" t="s">
        <v>209</v>
      </c>
      <c r="J10" s="54" t="s">
        <v>210</v>
      </c>
      <c r="K10" s="54"/>
      <c r="L10" s="54"/>
      <c r="M10" s="54" t="s">
        <v>211</v>
      </c>
      <c r="N10" s="54"/>
      <c r="O10" s="54"/>
      <c r="P10" s="55"/>
      <c r="Q10" s="55"/>
    </row>
    <row r="11" spans="1:256" ht="40.5" customHeight="1">
      <c r="A11" s="219"/>
      <c r="B11" s="207"/>
      <c r="C11" s="52" t="s">
        <v>22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219" t="s">
        <v>6</v>
      </c>
      <c r="B12" s="207" t="s">
        <v>228</v>
      </c>
      <c r="C12" s="52" t="s">
        <v>21</v>
      </c>
      <c r="D12" s="54"/>
      <c r="E12" s="54" t="s">
        <v>149</v>
      </c>
      <c r="F12" s="54"/>
      <c r="G12" s="54" t="s">
        <v>150</v>
      </c>
      <c r="H12" s="54" t="s">
        <v>151</v>
      </c>
      <c r="I12" s="54" t="s">
        <v>152</v>
      </c>
      <c r="J12" s="54"/>
      <c r="K12" s="54"/>
      <c r="L12" s="54" t="s">
        <v>151</v>
      </c>
      <c r="M12" s="54"/>
      <c r="N12" s="54"/>
      <c r="O12" s="54" t="s">
        <v>153</v>
      </c>
      <c r="P12" s="55"/>
      <c r="Q12" s="55"/>
    </row>
    <row r="13" spans="1:256" ht="24" customHeight="1">
      <c r="A13" s="219"/>
      <c r="B13" s="207"/>
      <c r="C13" s="52" t="s">
        <v>22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219" t="s">
        <v>10</v>
      </c>
      <c r="B14" s="207" t="s">
        <v>88</v>
      </c>
      <c r="C14" s="52" t="s">
        <v>21</v>
      </c>
      <c r="D14" s="54"/>
      <c r="E14" s="55"/>
      <c r="F14" s="60" t="s">
        <v>240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219"/>
      <c r="B15" s="207"/>
      <c r="C15" s="52" t="s">
        <v>22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89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18"/>
      <c r="AJ16" s="218"/>
      <c r="AK16" s="218"/>
      <c r="AZ16" s="218"/>
      <c r="BA16" s="218"/>
      <c r="BB16" s="218"/>
      <c r="BQ16" s="218"/>
      <c r="BR16" s="218"/>
      <c r="BS16" s="218"/>
      <c r="CH16" s="218"/>
      <c r="CI16" s="218"/>
      <c r="CJ16" s="218"/>
      <c r="CY16" s="218"/>
      <c r="CZ16" s="218"/>
      <c r="DA16" s="218"/>
      <c r="DP16" s="218"/>
      <c r="DQ16" s="218"/>
      <c r="DR16" s="218"/>
      <c r="EG16" s="218"/>
      <c r="EH16" s="218"/>
      <c r="EI16" s="218"/>
      <c r="EX16" s="218"/>
      <c r="EY16" s="218"/>
      <c r="EZ16" s="218"/>
      <c r="FO16" s="218"/>
      <c r="FP16" s="218"/>
      <c r="FQ16" s="218"/>
      <c r="GF16" s="218"/>
      <c r="GG16" s="218"/>
      <c r="GH16" s="218"/>
      <c r="GW16" s="218"/>
      <c r="GX16" s="218"/>
      <c r="GY16" s="218"/>
      <c r="HN16" s="218"/>
      <c r="HO16" s="218"/>
      <c r="HP16" s="218"/>
      <c r="IE16" s="218"/>
      <c r="IF16" s="218"/>
      <c r="IG16" s="218"/>
      <c r="IV16" s="218"/>
    </row>
    <row r="17" spans="1:17" ht="320.25" customHeight="1">
      <c r="A17" s="219" t="s">
        <v>7</v>
      </c>
      <c r="B17" s="207" t="s">
        <v>90</v>
      </c>
      <c r="C17" s="52" t="s">
        <v>21</v>
      </c>
      <c r="D17" s="62" t="s">
        <v>158</v>
      </c>
      <c r="E17" s="62" t="s">
        <v>159</v>
      </c>
      <c r="F17" s="62" t="s">
        <v>160</v>
      </c>
      <c r="G17" s="62" t="s">
        <v>161</v>
      </c>
      <c r="H17" s="62" t="s">
        <v>162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219"/>
      <c r="B18" s="207"/>
      <c r="C18" s="52" t="s">
        <v>22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219" t="s">
        <v>8</v>
      </c>
      <c r="B19" s="207" t="s">
        <v>226</v>
      </c>
      <c r="C19" s="52" t="s">
        <v>21</v>
      </c>
      <c r="D19" s="56" t="s">
        <v>241</v>
      </c>
      <c r="E19" s="56" t="s">
        <v>242</v>
      </c>
      <c r="F19" s="63" t="s">
        <v>171</v>
      </c>
      <c r="G19" s="56" t="s">
        <v>172</v>
      </c>
      <c r="H19" s="64"/>
      <c r="I19" s="64"/>
      <c r="J19" s="64"/>
      <c r="K19" s="56"/>
      <c r="L19" s="56"/>
      <c r="M19" s="56"/>
      <c r="N19" s="56"/>
      <c r="O19" s="56"/>
      <c r="P19" s="56" t="s">
        <v>173</v>
      </c>
      <c r="Q19" s="55"/>
    </row>
    <row r="20" spans="1:17" ht="39.950000000000003" customHeight="1">
      <c r="A20" s="219"/>
      <c r="B20" s="207"/>
      <c r="C20" s="52" t="s">
        <v>22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219" t="s">
        <v>9</v>
      </c>
      <c r="B21" s="207" t="s">
        <v>229</v>
      </c>
      <c r="C21" s="52" t="s">
        <v>21</v>
      </c>
      <c r="D21" s="65" t="s">
        <v>243</v>
      </c>
      <c r="E21" s="65" t="s">
        <v>174</v>
      </c>
      <c r="F21" s="65" t="s">
        <v>171</v>
      </c>
      <c r="G21" s="66" t="s">
        <v>175</v>
      </c>
      <c r="H21" s="66" t="s">
        <v>175</v>
      </c>
      <c r="I21" s="65" t="s">
        <v>175</v>
      </c>
      <c r="J21" s="65" t="s">
        <v>175</v>
      </c>
      <c r="K21" s="65" t="s">
        <v>175</v>
      </c>
      <c r="L21" s="65" t="s">
        <v>175</v>
      </c>
      <c r="M21" s="65" t="s">
        <v>175</v>
      </c>
      <c r="N21" s="65" t="s">
        <v>176</v>
      </c>
      <c r="O21" s="65" t="s">
        <v>177</v>
      </c>
      <c r="P21" s="56" t="s">
        <v>178</v>
      </c>
      <c r="Q21" s="55"/>
    </row>
    <row r="22" spans="1:17" ht="31.5" customHeight="1">
      <c r="A22" s="219"/>
      <c r="B22" s="207"/>
      <c r="C22" s="52" t="s">
        <v>22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214" t="s">
        <v>15</v>
      </c>
      <c r="B23" s="217" t="s">
        <v>230</v>
      </c>
      <c r="C23" s="67" t="s">
        <v>21</v>
      </c>
      <c r="D23" s="56" t="str">
        <f>$D$19</f>
        <v>подготовка конкурсной документации</v>
      </c>
      <c r="E23" s="56" t="s">
        <v>244</v>
      </c>
      <c r="F23" s="63" t="s">
        <v>171</v>
      </c>
      <c r="G23" s="56" t="s">
        <v>179</v>
      </c>
      <c r="H23" s="56" t="s">
        <v>180</v>
      </c>
      <c r="I23" s="56" t="s">
        <v>135</v>
      </c>
      <c r="J23" s="56"/>
      <c r="K23" s="56" t="s">
        <v>181</v>
      </c>
      <c r="L23" s="56"/>
      <c r="M23" s="64"/>
      <c r="N23" s="64"/>
      <c r="O23" s="64"/>
      <c r="P23" s="56" t="s">
        <v>182</v>
      </c>
      <c r="Q23" s="64"/>
    </row>
    <row r="24" spans="1:17" s="68" customFormat="1" ht="39.950000000000003" customHeight="1">
      <c r="A24" s="216"/>
      <c r="B24" s="217"/>
      <c r="C24" s="67" t="s">
        <v>22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222" t="s">
        <v>16</v>
      </c>
      <c r="B25" s="217" t="s">
        <v>231</v>
      </c>
      <c r="C25" s="67" t="s">
        <v>21</v>
      </c>
      <c r="D25" s="69"/>
      <c r="E25" s="56" t="str">
        <f>$D$19</f>
        <v>подготовка конкурсной документации</v>
      </c>
      <c r="F25" s="63" t="s">
        <v>171</v>
      </c>
      <c r="G25" s="56" t="s">
        <v>183</v>
      </c>
      <c r="H25" s="56" t="str">
        <f>$D$19</f>
        <v>подготовка конкурсной документации</v>
      </c>
      <c r="I25" s="63" t="s">
        <v>171</v>
      </c>
      <c r="J25" s="56" t="s">
        <v>183</v>
      </c>
      <c r="K25" s="64"/>
      <c r="L25" s="64"/>
      <c r="M25" s="64"/>
      <c r="N25" s="64"/>
      <c r="O25" s="64"/>
      <c r="P25" s="65" t="s">
        <v>184</v>
      </c>
      <c r="Q25" s="64"/>
    </row>
    <row r="26" spans="1:17" s="68" customFormat="1" ht="39.950000000000003" customHeight="1">
      <c r="A26" s="222"/>
      <c r="B26" s="217"/>
      <c r="C26" s="67" t="s">
        <v>22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91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17</v>
      </c>
      <c r="B28" s="53" t="s">
        <v>232</v>
      </c>
      <c r="C28" s="52" t="s">
        <v>21</v>
      </c>
      <c r="D28" s="54" t="s">
        <v>139</v>
      </c>
      <c r="E28" s="54" t="s">
        <v>139</v>
      </c>
      <c r="F28" s="54" t="s">
        <v>139</v>
      </c>
      <c r="G28" s="54" t="s">
        <v>140</v>
      </c>
      <c r="H28" s="54" t="s">
        <v>140</v>
      </c>
      <c r="I28" s="54" t="s">
        <v>140</v>
      </c>
      <c r="J28" s="54" t="s">
        <v>141</v>
      </c>
      <c r="K28" s="54" t="s">
        <v>141</v>
      </c>
      <c r="L28" s="54" t="s">
        <v>141</v>
      </c>
      <c r="M28" s="54" t="s">
        <v>142</v>
      </c>
      <c r="N28" s="54" t="s">
        <v>142</v>
      </c>
      <c r="O28" s="55"/>
      <c r="P28" s="55"/>
      <c r="Q28" s="55"/>
    </row>
    <row r="29" spans="1:17" ht="39.950000000000003" customHeight="1">
      <c r="A29" s="52"/>
      <c r="B29" s="53"/>
      <c r="C29" s="52" t="s">
        <v>22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92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219" t="s">
        <v>94</v>
      </c>
      <c r="B31" s="207" t="s">
        <v>93</v>
      </c>
      <c r="C31" s="52" t="s">
        <v>21</v>
      </c>
      <c r="D31" s="54" t="s">
        <v>212</v>
      </c>
      <c r="E31" s="54" t="s">
        <v>213</v>
      </c>
      <c r="F31" s="54" t="s">
        <v>214</v>
      </c>
      <c r="G31" s="54" t="s">
        <v>214</v>
      </c>
      <c r="H31" s="54" t="s">
        <v>141</v>
      </c>
      <c r="I31" s="54" t="s">
        <v>142</v>
      </c>
      <c r="J31" s="54" t="s">
        <v>142</v>
      </c>
      <c r="K31" s="54" t="s">
        <v>142</v>
      </c>
      <c r="L31" s="54" t="s">
        <v>142</v>
      </c>
      <c r="M31" s="54" t="s">
        <v>215</v>
      </c>
      <c r="N31" s="54" t="s">
        <v>215</v>
      </c>
      <c r="O31" s="54" t="s">
        <v>215</v>
      </c>
      <c r="P31" s="55"/>
      <c r="Q31" s="55"/>
    </row>
    <row r="32" spans="1:17" ht="45.75" customHeight="1">
      <c r="A32" s="219"/>
      <c r="B32" s="207"/>
      <c r="C32" s="52" t="s">
        <v>22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95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219" t="s">
        <v>96</v>
      </c>
      <c r="B34" s="207" t="s">
        <v>97</v>
      </c>
      <c r="C34" s="52" t="s">
        <v>21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219"/>
      <c r="B35" s="207"/>
      <c r="C35" s="52" t="s">
        <v>22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220" t="s">
        <v>98</v>
      </c>
      <c r="B36" s="208" t="s">
        <v>129</v>
      </c>
      <c r="C36" s="52" t="s">
        <v>21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221"/>
      <c r="B37" s="209"/>
      <c r="C37" s="52" t="s">
        <v>22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99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219" t="s">
        <v>100</v>
      </c>
      <c r="B39" s="207" t="s">
        <v>227</v>
      </c>
      <c r="C39" s="52" t="s">
        <v>21</v>
      </c>
      <c r="D39" s="91"/>
      <c r="E39" s="91" t="s">
        <v>246</v>
      </c>
      <c r="F39" s="91" t="s">
        <v>245</v>
      </c>
      <c r="G39" s="91" t="s">
        <v>234</v>
      </c>
      <c r="H39" s="226" t="s">
        <v>247</v>
      </c>
      <c r="I39" s="227"/>
      <c r="J39" s="227"/>
      <c r="K39" s="227"/>
      <c r="L39" s="227"/>
      <c r="M39" s="227"/>
      <c r="N39" s="227"/>
      <c r="O39" s="228"/>
      <c r="P39" s="54" t="s">
        <v>189</v>
      </c>
      <c r="Q39" s="55"/>
    </row>
    <row r="40" spans="1:17" ht="39.950000000000003" customHeight="1">
      <c r="A40" s="219" t="s">
        <v>11</v>
      </c>
      <c r="B40" s="207" t="s">
        <v>12</v>
      </c>
      <c r="C40" s="52" t="s">
        <v>22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219" t="s">
        <v>101</v>
      </c>
      <c r="B41" s="207" t="s">
        <v>102</v>
      </c>
      <c r="C41" s="52" t="s">
        <v>21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154</v>
      </c>
      <c r="Q41" s="55"/>
    </row>
    <row r="42" spans="1:17" ht="39.950000000000003" customHeight="1">
      <c r="A42" s="219"/>
      <c r="B42" s="207"/>
      <c r="C42" s="52" t="s">
        <v>22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219" t="s">
        <v>103</v>
      </c>
      <c r="B43" s="207" t="s">
        <v>104</v>
      </c>
      <c r="C43" s="52" t="s">
        <v>21</v>
      </c>
      <c r="D43" s="56" t="s">
        <v>200</v>
      </c>
      <c r="E43" s="56" t="s">
        <v>201</v>
      </c>
      <c r="F43" s="56" t="s">
        <v>204</v>
      </c>
      <c r="G43" s="204" t="s">
        <v>192</v>
      </c>
      <c r="H43" s="205"/>
      <c r="I43" s="205"/>
      <c r="J43" s="205"/>
      <c r="K43" s="205"/>
      <c r="L43" s="205"/>
      <c r="M43" s="205"/>
      <c r="N43" s="205"/>
      <c r="O43" s="206"/>
      <c r="P43" s="55"/>
      <c r="Q43" s="55"/>
    </row>
    <row r="44" spans="1:17" ht="39.950000000000003" customHeight="1">
      <c r="A44" s="219"/>
      <c r="B44" s="207"/>
      <c r="C44" s="52" t="s">
        <v>22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219" t="s">
        <v>105</v>
      </c>
      <c r="B45" s="207" t="s">
        <v>106</v>
      </c>
      <c r="C45" s="52" t="s">
        <v>21</v>
      </c>
      <c r="D45" s="82" t="s">
        <v>190</v>
      </c>
      <c r="E45" s="82" t="s">
        <v>191</v>
      </c>
      <c r="F45" s="82" t="s">
        <v>192</v>
      </c>
      <c r="G45" s="82" t="s">
        <v>192</v>
      </c>
      <c r="H45" s="82" t="s">
        <v>193</v>
      </c>
      <c r="I45" s="82" t="s">
        <v>192</v>
      </c>
      <c r="J45" s="82" t="s">
        <v>192</v>
      </c>
      <c r="K45" s="82" t="s">
        <v>194</v>
      </c>
      <c r="L45" s="82" t="s">
        <v>192</v>
      </c>
      <c r="M45" s="82" t="s">
        <v>195</v>
      </c>
      <c r="N45" s="82" t="s">
        <v>196</v>
      </c>
      <c r="O45" s="82" t="s">
        <v>197</v>
      </c>
      <c r="P45" s="82" t="s">
        <v>198</v>
      </c>
      <c r="Q45" s="55"/>
    </row>
    <row r="46" spans="1:17" ht="39.950000000000003" customHeight="1">
      <c r="A46" s="219" t="s">
        <v>13</v>
      </c>
      <c r="B46" s="207" t="s">
        <v>14</v>
      </c>
      <c r="C46" s="52" t="s">
        <v>22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223" t="s">
        <v>108</v>
      </c>
      <c r="B47" s="208" t="s">
        <v>107</v>
      </c>
      <c r="C47" s="52" t="s">
        <v>21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224"/>
      <c r="B48" s="209"/>
      <c r="C48" s="52" t="s">
        <v>22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223" t="s">
        <v>109</v>
      </c>
      <c r="B49" s="208" t="s">
        <v>110</v>
      </c>
      <c r="C49" s="83" t="s">
        <v>21</v>
      </c>
      <c r="D49" s="30" t="s">
        <v>248</v>
      </c>
      <c r="E49" s="30" t="s">
        <v>248</v>
      </c>
      <c r="F49" s="30" t="s">
        <v>248</v>
      </c>
      <c r="G49" s="30" t="s">
        <v>249</v>
      </c>
      <c r="H49" s="30" t="s">
        <v>250</v>
      </c>
      <c r="I49" s="93" t="s">
        <v>251</v>
      </c>
      <c r="J49" s="30" t="s">
        <v>252</v>
      </c>
      <c r="K49" s="30" t="s">
        <v>248</v>
      </c>
      <c r="L49" s="30" t="s">
        <v>253</v>
      </c>
      <c r="M49" s="30" t="s">
        <v>248</v>
      </c>
      <c r="N49" s="93" t="s">
        <v>254</v>
      </c>
      <c r="O49" s="30" t="s">
        <v>248</v>
      </c>
      <c r="P49" s="84"/>
      <c r="Q49" s="84"/>
    </row>
    <row r="50" spans="1:17" ht="39.950000000000003" customHeight="1">
      <c r="A50" s="224"/>
      <c r="B50" s="209"/>
      <c r="C50" s="52" t="s">
        <v>22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219" t="s">
        <v>111</v>
      </c>
      <c r="B51" s="207" t="s">
        <v>112</v>
      </c>
      <c r="C51" s="67" t="s">
        <v>21</v>
      </c>
      <c r="D51" s="56" t="s">
        <v>131</v>
      </c>
      <c r="E51" s="56" t="s">
        <v>132</v>
      </c>
      <c r="F51" s="56" t="s">
        <v>133</v>
      </c>
      <c r="G51" s="56" t="s">
        <v>134</v>
      </c>
      <c r="H51" s="56" t="s">
        <v>135</v>
      </c>
      <c r="I51" s="56" t="s">
        <v>136</v>
      </c>
      <c r="J51" s="56" t="s">
        <v>136</v>
      </c>
      <c r="K51" s="56" t="s">
        <v>136</v>
      </c>
      <c r="L51" s="56" t="s">
        <v>137</v>
      </c>
      <c r="M51" s="64"/>
      <c r="N51" s="64"/>
      <c r="O51" s="64"/>
      <c r="P51" s="56" t="s">
        <v>138</v>
      </c>
      <c r="Q51" s="64"/>
    </row>
    <row r="52" spans="1:17" ht="39.950000000000003" customHeight="1">
      <c r="A52" s="219"/>
      <c r="B52" s="207"/>
      <c r="C52" s="52" t="s">
        <v>22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219" t="s">
        <v>114</v>
      </c>
      <c r="B53" s="207" t="s">
        <v>113</v>
      </c>
      <c r="C53" s="52" t="s">
        <v>21</v>
      </c>
      <c r="D53" s="82" t="s">
        <v>143</v>
      </c>
      <c r="E53" s="82" t="s">
        <v>143</v>
      </c>
      <c r="F53" s="82" t="s">
        <v>143</v>
      </c>
      <c r="G53" s="82" t="s">
        <v>148</v>
      </c>
      <c r="H53" s="82" t="s">
        <v>144</v>
      </c>
      <c r="I53" s="82" t="s">
        <v>202</v>
      </c>
      <c r="J53" s="82" t="s">
        <v>145</v>
      </c>
      <c r="K53" s="82" t="s">
        <v>146</v>
      </c>
      <c r="L53" s="82" t="s">
        <v>147</v>
      </c>
      <c r="M53" s="82"/>
      <c r="N53" s="80"/>
      <c r="O53" s="54"/>
      <c r="P53" s="54"/>
      <c r="Q53" s="54"/>
    </row>
    <row r="54" spans="1:17" ht="31.5" customHeight="1">
      <c r="A54" s="219"/>
      <c r="B54" s="207"/>
      <c r="C54" s="52" t="s">
        <v>22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219" t="s">
        <v>115</v>
      </c>
      <c r="B55" s="207" t="s">
        <v>116</v>
      </c>
      <c r="C55" s="52" t="s">
        <v>21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219"/>
      <c r="B56" s="207"/>
      <c r="C56" s="52" t="s">
        <v>22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219" t="s">
        <v>117</v>
      </c>
      <c r="B57" s="207" t="s">
        <v>118</v>
      </c>
      <c r="C57" s="52" t="s">
        <v>21</v>
      </c>
      <c r="D57" s="92" t="s">
        <v>235</v>
      </c>
      <c r="E57" s="91"/>
      <c r="F57" s="91" t="s">
        <v>236</v>
      </c>
      <c r="G57" s="210" t="s">
        <v>233</v>
      </c>
      <c r="H57" s="210"/>
      <c r="I57" s="91" t="s">
        <v>237</v>
      </c>
      <c r="J57" s="91" t="s">
        <v>238</v>
      </c>
      <c r="K57" s="211" t="s">
        <v>239</v>
      </c>
      <c r="L57" s="212"/>
      <c r="M57" s="212"/>
      <c r="N57" s="212"/>
      <c r="O57" s="213"/>
      <c r="P57" s="87" t="s">
        <v>199</v>
      </c>
      <c r="Q57" s="55"/>
    </row>
    <row r="58" spans="1:17" ht="39.950000000000003" customHeight="1">
      <c r="A58" s="219"/>
      <c r="B58" s="207"/>
      <c r="C58" s="52" t="s">
        <v>22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214" t="s">
        <v>120</v>
      </c>
      <c r="B59" s="214" t="s">
        <v>119</v>
      </c>
      <c r="C59" s="214" t="s">
        <v>21</v>
      </c>
      <c r="D59" s="56"/>
      <c r="E59" s="56" t="s">
        <v>167</v>
      </c>
      <c r="F59" s="56" t="s">
        <v>168</v>
      </c>
      <c r="G59" s="88" t="s">
        <v>169</v>
      </c>
      <c r="H59" s="88" t="s">
        <v>169</v>
      </c>
      <c r="I59" s="88" t="s">
        <v>169</v>
      </c>
      <c r="J59" s="88" t="s">
        <v>169</v>
      </c>
      <c r="K59" s="88" t="s">
        <v>169</v>
      </c>
      <c r="L59" s="88" t="s">
        <v>169</v>
      </c>
      <c r="M59" s="88" t="s">
        <v>169</v>
      </c>
      <c r="N59" s="88" t="s">
        <v>169</v>
      </c>
      <c r="O59" s="88" t="s">
        <v>170</v>
      </c>
      <c r="P59" s="64"/>
      <c r="Q59" s="64"/>
    </row>
    <row r="60" spans="1:17" s="68" customFormat="1" ht="150" customHeight="1">
      <c r="A60" s="215"/>
      <c r="B60" s="215"/>
      <c r="C60" s="215"/>
      <c r="D60" s="56" t="s">
        <v>163</v>
      </c>
      <c r="E60" s="56" t="s">
        <v>163</v>
      </c>
      <c r="F60" s="56" t="s">
        <v>163</v>
      </c>
      <c r="G60" s="56" t="s">
        <v>163</v>
      </c>
      <c r="H60" s="56" t="s">
        <v>163</v>
      </c>
      <c r="I60" s="56" t="s">
        <v>163</v>
      </c>
      <c r="J60" s="56" t="s">
        <v>163</v>
      </c>
      <c r="K60" s="56" t="s">
        <v>163</v>
      </c>
      <c r="L60" s="56" t="s">
        <v>163</v>
      </c>
      <c r="M60" s="56" t="s">
        <v>163</v>
      </c>
      <c r="N60" s="56" t="s">
        <v>163</v>
      </c>
      <c r="O60" s="56" t="s">
        <v>163</v>
      </c>
      <c r="P60" s="64"/>
      <c r="Q60" s="64"/>
    </row>
    <row r="61" spans="1:17" s="68" customFormat="1" ht="316.5" customHeight="1">
      <c r="A61" s="215"/>
      <c r="B61" s="215"/>
      <c r="C61" s="216"/>
      <c r="D61" s="56" t="s">
        <v>164</v>
      </c>
      <c r="E61" s="56" t="s">
        <v>165</v>
      </c>
      <c r="F61" s="56" t="s">
        <v>166</v>
      </c>
      <c r="G61" s="56" t="s">
        <v>166</v>
      </c>
      <c r="H61" s="56" t="s">
        <v>166</v>
      </c>
      <c r="I61" s="56" t="s">
        <v>166</v>
      </c>
      <c r="J61" s="56" t="s">
        <v>166</v>
      </c>
      <c r="K61" s="56" t="s">
        <v>166</v>
      </c>
      <c r="L61" s="56" t="s">
        <v>166</v>
      </c>
      <c r="M61" s="56" t="s">
        <v>166</v>
      </c>
      <c r="N61" s="56" t="s">
        <v>166</v>
      </c>
      <c r="O61" s="56" t="s">
        <v>166</v>
      </c>
      <c r="P61" s="64"/>
      <c r="Q61" s="64"/>
    </row>
    <row r="62" spans="1:17" s="68" customFormat="1" ht="39.950000000000003" customHeight="1">
      <c r="A62" s="216"/>
      <c r="B62" s="216"/>
      <c r="C62" s="67" t="s">
        <v>22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219" t="s">
        <v>121</v>
      </c>
      <c r="B63" s="207" t="s">
        <v>122</v>
      </c>
      <c r="C63" s="52" t="s">
        <v>21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219"/>
      <c r="B64" s="207"/>
      <c r="C64" s="52" t="s">
        <v>22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222" t="s">
        <v>123</v>
      </c>
      <c r="B65" s="217" t="s">
        <v>124</v>
      </c>
      <c r="C65" s="67" t="s">
        <v>21</v>
      </c>
      <c r="D65" s="65"/>
      <c r="E65" s="65"/>
      <c r="F65" s="65" t="s">
        <v>185</v>
      </c>
      <c r="G65" s="65" t="s">
        <v>171</v>
      </c>
      <c r="H65" s="65" t="s">
        <v>186</v>
      </c>
      <c r="I65" s="65"/>
      <c r="J65" s="65" t="s">
        <v>186</v>
      </c>
      <c r="K65" s="65"/>
      <c r="L65" s="65"/>
      <c r="M65" s="65" t="s">
        <v>186</v>
      </c>
      <c r="N65" s="65"/>
      <c r="O65" s="65" t="s">
        <v>187</v>
      </c>
      <c r="P65" s="65" t="s">
        <v>188</v>
      </c>
      <c r="Q65" s="64"/>
    </row>
    <row r="66" spans="1:20" s="68" customFormat="1" ht="39.950000000000003" customHeight="1">
      <c r="A66" s="222"/>
      <c r="B66" s="217"/>
      <c r="C66" s="67" t="s">
        <v>22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219" t="s">
        <v>125</v>
      </c>
      <c r="B67" s="207" t="s">
        <v>126</v>
      </c>
      <c r="C67" s="52" t="s">
        <v>21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219"/>
      <c r="B68" s="207"/>
      <c r="C68" s="52" t="s">
        <v>22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223" t="s">
        <v>127</v>
      </c>
      <c r="B69" s="208" t="s">
        <v>128</v>
      </c>
      <c r="C69" s="52" t="s">
        <v>21</v>
      </c>
      <c r="D69" s="54"/>
      <c r="E69" s="89" t="s">
        <v>155</v>
      </c>
      <c r="F69" s="89" t="s">
        <v>156</v>
      </c>
      <c r="G69" s="55"/>
      <c r="H69" s="55"/>
      <c r="I69" s="55"/>
      <c r="J69" s="55"/>
      <c r="K69" s="55"/>
      <c r="L69" s="55"/>
      <c r="M69" s="55"/>
      <c r="N69" s="55"/>
      <c r="O69" s="89" t="s">
        <v>157</v>
      </c>
      <c r="P69" s="55"/>
      <c r="Q69" s="55"/>
    </row>
    <row r="70" spans="1:20" ht="39.950000000000003" customHeight="1">
      <c r="A70" s="224"/>
      <c r="B70" s="209"/>
      <c r="C70" s="52" t="s">
        <v>22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202" t="s">
        <v>255</v>
      </c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47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203" t="s">
        <v>216</v>
      </c>
      <c r="C79" s="203"/>
      <c r="D79" s="203"/>
      <c r="E79" s="203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IV16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</mergeCells>
  <phoneticPr fontId="16" type="noConversion"/>
  <conditionalFormatting sqref="R5:AN6 R7:AC70">
    <cfRule type="expression" dxfId="6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71"/>
  <sheetViews>
    <sheetView tabSelected="1" view="pageBreakPreview" zoomScale="80" zoomScaleNormal="100" zoomScaleSheetLayoutView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C8" sqref="C8:C10"/>
    </sheetView>
  </sheetViews>
  <sheetFormatPr defaultRowHeight="12.75"/>
  <cols>
    <col min="1" max="1" width="6.5703125" style="109" customWidth="1"/>
    <col min="2" max="2" width="37.42578125" style="106" customWidth="1"/>
    <col min="3" max="3" width="35.28515625" style="106" customWidth="1"/>
    <col min="4" max="4" width="10" style="106" customWidth="1"/>
    <col min="5" max="5" width="23.28515625" style="107" customWidth="1"/>
    <col min="6" max="6" width="13.28515625" style="157" customWidth="1"/>
    <col min="7" max="7" width="11.5703125" style="157" customWidth="1"/>
    <col min="8" max="8" width="12.140625" style="108" customWidth="1"/>
    <col min="9" max="10" width="11" style="108" customWidth="1"/>
    <col min="11" max="11" width="12.140625" style="108" customWidth="1"/>
    <col min="12" max="12" width="11.7109375" style="108" customWidth="1"/>
    <col min="13" max="13" width="12.140625" style="108" customWidth="1"/>
    <col min="14" max="14" width="12.42578125" style="108" customWidth="1"/>
    <col min="15" max="15" width="12" style="108" customWidth="1"/>
    <col min="16" max="16" width="11.85546875" style="108" customWidth="1"/>
    <col min="17" max="17" width="12.28515625" style="108" customWidth="1"/>
    <col min="18" max="18" width="11.5703125" style="108" customWidth="1"/>
    <col min="19" max="19" width="12.28515625" style="108" customWidth="1"/>
    <col min="20" max="20" width="12.42578125" style="108" customWidth="1"/>
    <col min="21" max="21" width="11.85546875" style="108" customWidth="1"/>
    <col min="22" max="23" width="12.140625" style="108" customWidth="1"/>
    <col min="24" max="24" width="12" style="108" customWidth="1"/>
    <col min="25" max="25" width="11.85546875" style="108" customWidth="1"/>
    <col min="26" max="26" width="12.140625" style="108" customWidth="1"/>
    <col min="27" max="28" width="11.7109375" style="108" customWidth="1"/>
    <col min="29" max="29" width="12.140625" style="108" customWidth="1"/>
    <col min="30" max="30" width="11.28515625" style="108" customWidth="1"/>
    <col min="31" max="31" width="11" style="108" customWidth="1"/>
    <col min="32" max="32" width="12.5703125" style="108" customWidth="1"/>
    <col min="33" max="33" width="10.5703125" style="108" customWidth="1"/>
    <col min="34" max="34" width="10.7109375" style="108" customWidth="1"/>
    <col min="35" max="35" width="12.140625" style="108" customWidth="1"/>
    <col min="36" max="36" width="12" style="108" customWidth="1"/>
    <col min="37" max="38" width="14" style="108" hidden="1" customWidth="1"/>
    <col min="39" max="39" width="12.140625" style="108" customWidth="1"/>
    <col min="40" max="40" width="14" style="108" hidden="1" customWidth="1"/>
    <col min="41" max="41" width="13.28515625" style="108" hidden="1" customWidth="1"/>
    <col min="42" max="42" width="12.7109375" style="108" customWidth="1"/>
    <col min="43" max="44" width="14.42578125" style="108" hidden="1" customWidth="1"/>
    <col min="45" max="45" width="44.7109375" style="108" customWidth="1"/>
    <col min="46" max="46" width="48.42578125" style="152" customWidth="1"/>
    <col min="47" max="48" width="17.28515625" style="152" hidden="1" customWidth="1"/>
    <col min="49" max="49" width="13.5703125" style="152" customWidth="1"/>
    <col min="50" max="50" width="19" style="152" customWidth="1"/>
    <col min="51" max="51" width="19.28515625" style="152" customWidth="1"/>
    <col min="52" max="52" width="18.42578125" style="152" customWidth="1"/>
    <col min="53" max="53" width="18.85546875" style="152" customWidth="1"/>
    <col min="54" max="54" width="17.140625" style="152" customWidth="1"/>
    <col min="55" max="16384" width="9.140625" style="152"/>
  </cols>
  <sheetData>
    <row r="1" spans="1:55" ht="33.75" customHeight="1">
      <c r="A1" s="229" t="s">
        <v>468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151"/>
      <c r="AB1" s="95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81">
        <f>AU13-AV13</f>
        <v>0</v>
      </c>
      <c r="AW1" s="151"/>
    </row>
    <row r="2" spans="1:55" ht="24.75" customHeight="1">
      <c r="A2" s="229" t="s">
        <v>412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96"/>
      <c r="AB2" s="97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8"/>
      <c r="AQ2" s="99"/>
      <c r="AR2" s="99"/>
      <c r="AS2" s="99"/>
      <c r="AT2" s="153"/>
      <c r="AU2" s="113"/>
      <c r="AW2" s="153"/>
    </row>
    <row r="3" spans="1:55" ht="26.25" customHeight="1">
      <c r="A3" s="230" t="s">
        <v>263</v>
      </c>
      <c r="B3" s="231" t="s">
        <v>262</v>
      </c>
      <c r="C3" s="231" t="s">
        <v>47</v>
      </c>
      <c r="D3" s="231" t="s">
        <v>280</v>
      </c>
      <c r="E3" s="231" t="s">
        <v>1</v>
      </c>
      <c r="F3" s="232" t="s">
        <v>264</v>
      </c>
      <c r="G3" s="232"/>
      <c r="H3" s="232"/>
      <c r="I3" s="233" t="s">
        <v>18</v>
      </c>
      <c r="J3" s="234"/>
      <c r="K3" s="235"/>
      <c r="L3" s="233" t="s">
        <v>19</v>
      </c>
      <c r="M3" s="234"/>
      <c r="N3" s="235"/>
      <c r="O3" s="233" t="s">
        <v>23</v>
      </c>
      <c r="P3" s="234"/>
      <c r="Q3" s="235"/>
      <c r="R3" s="233" t="s">
        <v>25</v>
      </c>
      <c r="S3" s="234"/>
      <c r="T3" s="235"/>
      <c r="U3" s="233" t="s">
        <v>26</v>
      </c>
      <c r="V3" s="234"/>
      <c r="W3" s="235"/>
      <c r="X3" s="233" t="s">
        <v>27</v>
      </c>
      <c r="Y3" s="234"/>
      <c r="Z3" s="235"/>
      <c r="AA3" s="233" t="s">
        <v>29</v>
      </c>
      <c r="AB3" s="234"/>
      <c r="AC3" s="235"/>
      <c r="AD3" s="233" t="s">
        <v>30</v>
      </c>
      <c r="AE3" s="234"/>
      <c r="AF3" s="235"/>
      <c r="AG3" s="233" t="s">
        <v>31</v>
      </c>
      <c r="AH3" s="234"/>
      <c r="AI3" s="235"/>
      <c r="AJ3" s="233" t="s">
        <v>33</v>
      </c>
      <c r="AK3" s="234"/>
      <c r="AL3" s="235"/>
      <c r="AM3" s="233" t="s">
        <v>34</v>
      </c>
      <c r="AN3" s="234"/>
      <c r="AO3" s="235"/>
      <c r="AP3" s="236" t="s">
        <v>35</v>
      </c>
      <c r="AQ3" s="236"/>
      <c r="AR3" s="236"/>
      <c r="AS3" s="237" t="s">
        <v>266</v>
      </c>
      <c r="AT3" s="237" t="s">
        <v>267</v>
      </c>
      <c r="AU3" s="113">
        <f>AU58+AU61+AU64+AU67+AU70</f>
        <v>454.8</v>
      </c>
      <c r="AV3" s="113">
        <f t="shared" ref="AV3" si="0">AV58+AV61+AV64+AV67+AV70</f>
        <v>307.3</v>
      </c>
      <c r="AW3" s="167"/>
      <c r="AX3" s="113"/>
    </row>
    <row r="4" spans="1:55" ht="33" customHeight="1">
      <c r="A4" s="230"/>
      <c r="B4" s="231"/>
      <c r="C4" s="231"/>
      <c r="D4" s="231"/>
      <c r="E4" s="231"/>
      <c r="F4" s="154" t="s">
        <v>256</v>
      </c>
      <c r="G4" s="154" t="s">
        <v>22</v>
      </c>
      <c r="H4" s="154" t="s">
        <v>265</v>
      </c>
      <c r="I4" s="154" t="s">
        <v>256</v>
      </c>
      <c r="J4" s="154" t="s">
        <v>22</v>
      </c>
      <c r="K4" s="154" t="s">
        <v>265</v>
      </c>
      <c r="L4" s="154" t="s">
        <v>256</v>
      </c>
      <c r="M4" s="154" t="s">
        <v>22</v>
      </c>
      <c r="N4" s="154" t="s">
        <v>265</v>
      </c>
      <c r="O4" s="154" t="s">
        <v>256</v>
      </c>
      <c r="P4" s="154" t="s">
        <v>22</v>
      </c>
      <c r="Q4" s="154" t="s">
        <v>265</v>
      </c>
      <c r="R4" s="154" t="s">
        <v>256</v>
      </c>
      <c r="S4" s="154" t="s">
        <v>22</v>
      </c>
      <c r="T4" s="154" t="s">
        <v>265</v>
      </c>
      <c r="U4" s="154" t="s">
        <v>256</v>
      </c>
      <c r="V4" s="154" t="s">
        <v>22</v>
      </c>
      <c r="W4" s="154" t="s">
        <v>265</v>
      </c>
      <c r="X4" s="154" t="s">
        <v>256</v>
      </c>
      <c r="Y4" s="154" t="s">
        <v>22</v>
      </c>
      <c r="Z4" s="154" t="s">
        <v>265</v>
      </c>
      <c r="AA4" s="154" t="s">
        <v>256</v>
      </c>
      <c r="AB4" s="154" t="s">
        <v>22</v>
      </c>
      <c r="AC4" s="154" t="s">
        <v>265</v>
      </c>
      <c r="AD4" s="154" t="s">
        <v>256</v>
      </c>
      <c r="AE4" s="154" t="s">
        <v>22</v>
      </c>
      <c r="AF4" s="154" t="s">
        <v>265</v>
      </c>
      <c r="AG4" s="154" t="s">
        <v>256</v>
      </c>
      <c r="AH4" s="154" t="s">
        <v>22</v>
      </c>
      <c r="AI4" s="154" t="s">
        <v>265</v>
      </c>
      <c r="AJ4" s="154" t="s">
        <v>256</v>
      </c>
      <c r="AK4" s="154" t="s">
        <v>22</v>
      </c>
      <c r="AL4" s="154" t="s">
        <v>265</v>
      </c>
      <c r="AM4" s="154" t="s">
        <v>256</v>
      </c>
      <c r="AN4" s="154" t="s">
        <v>22</v>
      </c>
      <c r="AO4" s="154" t="s">
        <v>265</v>
      </c>
      <c r="AP4" s="154" t="s">
        <v>256</v>
      </c>
      <c r="AQ4" s="154" t="s">
        <v>22</v>
      </c>
      <c r="AR4" s="154" t="s">
        <v>265</v>
      </c>
      <c r="AS4" s="237"/>
      <c r="AT4" s="237"/>
      <c r="AU4" s="100"/>
      <c r="AV4" s="100"/>
      <c r="AW4" s="167"/>
      <c r="AX4" s="100"/>
      <c r="AY4" s="173">
        <f>AY49+AY24</f>
        <v>583.17200000000003</v>
      </c>
    </row>
    <row r="5" spans="1:55" ht="19.5" customHeight="1">
      <c r="A5" s="112" t="s">
        <v>257</v>
      </c>
      <c r="B5" s="248" t="s">
        <v>291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50"/>
      <c r="AU5" s="114"/>
      <c r="AV5" s="162"/>
      <c r="AW5" s="162"/>
      <c r="AX5" s="100"/>
      <c r="AY5" s="100"/>
      <c r="AZ5" s="100"/>
      <c r="BA5" s="100"/>
    </row>
    <row r="6" spans="1:55" ht="21" customHeight="1">
      <c r="A6" s="112" t="s">
        <v>2</v>
      </c>
      <c r="B6" s="248" t="s">
        <v>292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50"/>
      <c r="AU6" s="162"/>
      <c r="AV6" s="162"/>
      <c r="AW6" s="163"/>
      <c r="AX6" s="100"/>
      <c r="AY6" s="100"/>
      <c r="AZ6" s="100"/>
      <c r="BA6" s="100"/>
    </row>
    <row r="7" spans="1:55" ht="21" customHeight="1">
      <c r="A7" s="189" t="s">
        <v>259</v>
      </c>
      <c r="B7" s="251" t="s">
        <v>293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3"/>
      <c r="AU7" s="163"/>
      <c r="AV7" s="163"/>
      <c r="AW7" s="163"/>
    </row>
    <row r="8" spans="1:55" ht="39.75" customHeight="1">
      <c r="A8" s="230" t="s">
        <v>349</v>
      </c>
      <c r="B8" s="254" t="s">
        <v>294</v>
      </c>
      <c r="C8" s="255" t="s">
        <v>268</v>
      </c>
      <c r="D8" s="242" t="s">
        <v>385</v>
      </c>
      <c r="E8" s="155" t="s">
        <v>42</v>
      </c>
      <c r="F8" s="158">
        <f>I8+L8+O8+R8+U8+X8+AA8+AD8+AG8+AJ8+AM8+AP8</f>
        <v>0</v>
      </c>
      <c r="G8" s="158">
        <f t="shared" ref="G8:G40" si="1">J8+M8+P8+S8+V8+Y8+AB8+AE8+AH8+AK8+AN8+AQ8</f>
        <v>0</v>
      </c>
      <c r="H8" s="160"/>
      <c r="I8" s="156">
        <f>SUM(I9:I10)</f>
        <v>0</v>
      </c>
      <c r="J8" s="156">
        <f>SUM(J9:J10)</f>
        <v>0</v>
      </c>
      <c r="K8" s="156"/>
      <c r="L8" s="156">
        <f>SUM(L9:L10)</f>
        <v>0</v>
      </c>
      <c r="M8" s="156">
        <f>SUM(M9:M10)</f>
        <v>0</v>
      </c>
      <c r="N8" s="156"/>
      <c r="O8" s="156">
        <f>SUM(O9:O10)</f>
        <v>0</v>
      </c>
      <c r="P8" s="156">
        <f>SUM(P9:P10)</f>
        <v>0</v>
      </c>
      <c r="Q8" s="156"/>
      <c r="R8" s="156">
        <f>SUM(R9:R10)</f>
        <v>0</v>
      </c>
      <c r="S8" s="156">
        <f>SUM(S9:S10)</f>
        <v>0</v>
      </c>
      <c r="T8" s="156"/>
      <c r="U8" s="156">
        <f t="shared" ref="U8:AR8" si="2">SUM(U9:U10)</f>
        <v>0</v>
      </c>
      <c r="V8" s="156">
        <f t="shared" si="2"/>
        <v>0</v>
      </c>
      <c r="W8" s="156">
        <f t="shared" si="2"/>
        <v>0</v>
      </c>
      <c r="X8" s="156">
        <f t="shared" si="2"/>
        <v>0</v>
      </c>
      <c r="Y8" s="156">
        <f t="shared" si="2"/>
        <v>0</v>
      </c>
      <c r="Z8" s="156"/>
      <c r="AA8" s="156">
        <f t="shared" si="2"/>
        <v>0</v>
      </c>
      <c r="AB8" s="156">
        <f t="shared" si="2"/>
        <v>0</v>
      </c>
      <c r="AC8" s="160"/>
      <c r="AD8" s="156">
        <f t="shared" si="2"/>
        <v>0</v>
      </c>
      <c r="AE8" s="156">
        <f t="shared" si="2"/>
        <v>0</v>
      </c>
      <c r="AF8" s="156">
        <f t="shared" si="2"/>
        <v>0</v>
      </c>
      <c r="AG8" s="156">
        <f t="shared" si="2"/>
        <v>0</v>
      </c>
      <c r="AH8" s="156">
        <f t="shared" si="2"/>
        <v>0</v>
      </c>
      <c r="AI8" s="156">
        <f t="shared" si="2"/>
        <v>0</v>
      </c>
      <c r="AJ8" s="156">
        <f t="shared" si="2"/>
        <v>0</v>
      </c>
      <c r="AK8" s="156">
        <f t="shared" si="2"/>
        <v>0</v>
      </c>
      <c r="AL8" s="156">
        <f t="shared" si="2"/>
        <v>0</v>
      </c>
      <c r="AM8" s="156">
        <f t="shared" si="2"/>
        <v>0</v>
      </c>
      <c r="AN8" s="156">
        <f t="shared" si="2"/>
        <v>0</v>
      </c>
      <c r="AO8" s="156">
        <f t="shared" si="2"/>
        <v>0</v>
      </c>
      <c r="AP8" s="156">
        <f t="shared" si="2"/>
        <v>0</v>
      </c>
      <c r="AQ8" s="156">
        <f t="shared" si="2"/>
        <v>0</v>
      </c>
      <c r="AR8" s="156">
        <f t="shared" si="2"/>
        <v>0</v>
      </c>
      <c r="AS8" s="115"/>
      <c r="AT8" s="258"/>
      <c r="AU8" s="116">
        <f t="shared" ref="AU8:AV23" si="3">I8+L8+O8+R8+U8+X8+AA8+AD8+AG8</f>
        <v>0</v>
      </c>
      <c r="AV8" s="116">
        <f t="shared" si="3"/>
        <v>0</v>
      </c>
      <c r="AW8" s="168"/>
      <c r="AX8" s="117">
        <f t="shared" ref="AX8:AX70" si="4">I8+L8+O8</f>
        <v>0</v>
      </c>
      <c r="AY8" s="117">
        <f t="shared" ref="AY8:AY70" si="5">R8+U8+X8</f>
        <v>0</v>
      </c>
      <c r="AZ8" s="117">
        <f t="shared" ref="AZ8:AZ11" si="6">AA8+AD8+AG8</f>
        <v>0</v>
      </c>
      <c r="BA8" s="117">
        <f t="shared" ref="BA8:BA11" si="7">AJ8+AM8+AP8</f>
        <v>0</v>
      </c>
    </row>
    <row r="9" spans="1:55" ht="39.75" customHeight="1">
      <c r="A9" s="230"/>
      <c r="B9" s="254"/>
      <c r="C9" s="256"/>
      <c r="D9" s="243"/>
      <c r="E9" s="155" t="s">
        <v>3</v>
      </c>
      <c r="F9" s="158">
        <f t="shared" ref="F9:F10" si="8">I9+L9+O9+R9+U9+X9+AA9+AD9+AG9+AJ9+AM9+AP9</f>
        <v>0</v>
      </c>
      <c r="G9" s="158">
        <f t="shared" si="1"/>
        <v>0</v>
      </c>
      <c r="H9" s="160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94"/>
      <c r="V9" s="94"/>
      <c r="W9" s="94"/>
      <c r="X9" s="94"/>
      <c r="Y9" s="94"/>
      <c r="Z9" s="94"/>
      <c r="AA9" s="94"/>
      <c r="AB9" s="94"/>
      <c r="AC9" s="160"/>
      <c r="AD9" s="94"/>
      <c r="AE9" s="94"/>
      <c r="AF9" s="94"/>
      <c r="AG9" s="94"/>
      <c r="AH9" s="94"/>
      <c r="AI9" s="94"/>
      <c r="AJ9" s="156"/>
      <c r="AK9" s="156"/>
      <c r="AL9" s="156"/>
      <c r="AM9" s="94"/>
      <c r="AN9" s="94"/>
      <c r="AO9" s="94"/>
      <c r="AP9" s="156"/>
      <c r="AQ9" s="156"/>
      <c r="AR9" s="156"/>
      <c r="AS9" s="118"/>
      <c r="AT9" s="259"/>
      <c r="AU9" s="116">
        <f t="shared" si="3"/>
        <v>0</v>
      </c>
      <c r="AV9" s="116">
        <f t="shared" si="3"/>
        <v>0</v>
      </c>
      <c r="AW9" s="168"/>
      <c r="AX9" s="117">
        <f t="shared" si="4"/>
        <v>0</v>
      </c>
      <c r="AY9" s="117">
        <f t="shared" si="5"/>
        <v>0</v>
      </c>
      <c r="AZ9" s="117">
        <f t="shared" si="6"/>
        <v>0</v>
      </c>
      <c r="BA9" s="117">
        <f t="shared" si="7"/>
        <v>0</v>
      </c>
    </row>
    <row r="10" spans="1:55" ht="39.75" customHeight="1">
      <c r="A10" s="230"/>
      <c r="B10" s="254"/>
      <c r="C10" s="257"/>
      <c r="D10" s="244"/>
      <c r="E10" s="155" t="s">
        <v>44</v>
      </c>
      <c r="F10" s="158">
        <f t="shared" si="8"/>
        <v>0</v>
      </c>
      <c r="G10" s="158">
        <f t="shared" si="1"/>
        <v>0</v>
      </c>
      <c r="H10" s="160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94"/>
      <c r="V10" s="94"/>
      <c r="W10" s="94"/>
      <c r="X10" s="94"/>
      <c r="Y10" s="94"/>
      <c r="Z10" s="94"/>
      <c r="AA10" s="94"/>
      <c r="AB10" s="94"/>
      <c r="AC10" s="160"/>
      <c r="AD10" s="94"/>
      <c r="AE10" s="94"/>
      <c r="AF10" s="94"/>
      <c r="AG10" s="94"/>
      <c r="AH10" s="94"/>
      <c r="AI10" s="94"/>
      <c r="AJ10" s="156"/>
      <c r="AK10" s="156"/>
      <c r="AL10" s="156"/>
      <c r="AM10" s="94"/>
      <c r="AN10" s="94"/>
      <c r="AO10" s="94"/>
      <c r="AP10" s="156"/>
      <c r="AQ10" s="156"/>
      <c r="AR10" s="156"/>
      <c r="AS10" s="118"/>
      <c r="AT10" s="259"/>
      <c r="AU10" s="116">
        <f t="shared" si="3"/>
        <v>0</v>
      </c>
      <c r="AV10" s="116">
        <f t="shared" si="3"/>
        <v>0</v>
      </c>
      <c r="AW10" s="168"/>
      <c r="AX10" s="117">
        <f t="shared" si="4"/>
        <v>0</v>
      </c>
      <c r="AY10" s="117">
        <f t="shared" si="5"/>
        <v>0</v>
      </c>
      <c r="AZ10" s="117">
        <f t="shared" si="6"/>
        <v>0</v>
      </c>
      <c r="BA10" s="117">
        <f t="shared" si="7"/>
        <v>0</v>
      </c>
    </row>
    <row r="11" spans="1:55" ht="17.25" customHeight="1">
      <c r="A11" s="230" t="s">
        <v>350</v>
      </c>
      <c r="B11" s="238" t="s">
        <v>295</v>
      </c>
      <c r="C11" s="239" t="s">
        <v>268</v>
      </c>
      <c r="D11" s="242">
        <v>1.2</v>
      </c>
      <c r="E11" s="155" t="s">
        <v>42</v>
      </c>
      <c r="F11" s="158">
        <f>I11+L11+O11+R11+U11+X11+AA11+AD11+AG11+AJ11+AM11+AP11</f>
        <v>590706.01158000005</v>
      </c>
      <c r="G11" s="158">
        <f t="shared" si="1"/>
        <v>427755.41454000003</v>
      </c>
      <c r="H11" s="160">
        <f>G11/F11</f>
        <v>0.72414264651862037</v>
      </c>
      <c r="I11" s="158">
        <f>SUM(I12:I13)</f>
        <v>15790.204</v>
      </c>
      <c r="J11" s="158">
        <f>SUM(J12:J13)</f>
        <v>15790.204</v>
      </c>
      <c r="K11" s="160">
        <f>J11/I11</f>
        <v>1</v>
      </c>
      <c r="L11" s="158">
        <f>SUM(L12:L13)</f>
        <v>44556.169000000002</v>
      </c>
      <c r="M11" s="158">
        <f>SUM(M12:M13)</f>
        <v>41788.087</v>
      </c>
      <c r="N11" s="160">
        <f>M11/L11</f>
        <v>0.9378743266729237</v>
      </c>
      <c r="O11" s="158">
        <f>SUM(O12:O13)</f>
        <v>50098.706000000006</v>
      </c>
      <c r="P11" s="158">
        <f>SUM(P12:P13)</f>
        <v>52021.788</v>
      </c>
      <c r="Q11" s="160">
        <f>P11/O11</f>
        <v>1.0383858617026953</v>
      </c>
      <c r="R11" s="158">
        <f>SUM(R12:R13)</f>
        <v>52361.699000000001</v>
      </c>
      <c r="S11" s="158">
        <f>SUM(S12:S13)</f>
        <v>49706.699000000001</v>
      </c>
      <c r="T11" s="160">
        <f>S11/R11</f>
        <v>0.94929499900299263</v>
      </c>
      <c r="U11" s="158">
        <f t="shared" ref="U11:AR11" si="9">SUM(U12:U13)</f>
        <v>57930.618000000002</v>
      </c>
      <c r="V11" s="158">
        <f t="shared" si="9"/>
        <v>61430.618000000002</v>
      </c>
      <c r="W11" s="160">
        <f>V11/U11</f>
        <v>1.0604171010224679</v>
      </c>
      <c r="X11" s="158">
        <f t="shared" si="9"/>
        <v>69756.126999999993</v>
      </c>
      <c r="Y11" s="158">
        <f t="shared" si="9"/>
        <v>69756.126999999993</v>
      </c>
      <c r="Z11" s="160">
        <f>Y11/X11</f>
        <v>1</v>
      </c>
      <c r="AA11" s="158">
        <f t="shared" si="9"/>
        <v>60063.937999999995</v>
      </c>
      <c r="AB11" s="158">
        <f t="shared" si="9"/>
        <v>61103.637220000019</v>
      </c>
      <c r="AC11" s="160">
        <f t="shared" ref="AC11:AC13" si="10">AB11/AA11</f>
        <v>1.0173098743542262</v>
      </c>
      <c r="AD11" s="158">
        <f t="shared" si="9"/>
        <v>40834.983100000005</v>
      </c>
      <c r="AE11" s="158">
        <f t="shared" si="9"/>
        <v>39789.283879999995</v>
      </c>
      <c r="AF11" s="160">
        <f t="shared" ref="AF11:AF24" si="11">AE11/AD11</f>
        <v>0.97439207413312212</v>
      </c>
      <c r="AG11" s="158">
        <f t="shared" si="9"/>
        <v>36362.970439999997</v>
      </c>
      <c r="AH11" s="158">
        <f t="shared" si="9"/>
        <v>36368.970439999997</v>
      </c>
      <c r="AI11" s="160">
        <f t="shared" ref="AI11:AI40" si="12">AH11/AG11</f>
        <v>1.0001650030216838</v>
      </c>
      <c r="AJ11" s="158">
        <f t="shared" si="9"/>
        <v>42131.339830000004</v>
      </c>
      <c r="AK11" s="158">
        <f t="shared" si="9"/>
        <v>0</v>
      </c>
      <c r="AL11" s="160">
        <f t="shared" ref="AL11:AL14" si="13">AK11/AJ11</f>
        <v>0</v>
      </c>
      <c r="AM11" s="158">
        <f t="shared" si="9"/>
        <v>48596.987509999999</v>
      </c>
      <c r="AN11" s="158">
        <f t="shared" si="9"/>
        <v>0</v>
      </c>
      <c r="AO11" s="160">
        <f t="shared" ref="AO11:AO14" si="14">AN11/AM11</f>
        <v>0</v>
      </c>
      <c r="AP11" s="158">
        <f t="shared" si="9"/>
        <v>72222.269700000004</v>
      </c>
      <c r="AQ11" s="156">
        <f t="shared" si="9"/>
        <v>0</v>
      </c>
      <c r="AR11" s="156">
        <f t="shared" si="9"/>
        <v>0</v>
      </c>
      <c r="AS11" s="119"/>
      <c r="AT11" s="120"/>
      <c r="AU11" s="116">
        <f t="shared" si="3"/>
        <v>427755.41454000003</v>
      </c>
      <c r="AV11" s="116">
        <f t="shared" si="3"/>
        <v>427755.41454000003</v>
      </c>
      <c r="AW11" s="168">
        <f>(J11+M11+P11+S11+V11+Y11+AB11+AE11+AH11)/(I11+L11+O11+R11+U11+X11+AA11+AD11+AG11)*100%</f>
        <v>1</v>
      </c>
      <c r="AX11" s="117">
        <f t="shared" si="4"/>
        <v>110445.079</v>
      </c>
      <c r="AY11" s="117">
        <f t="shared" si="5"/>
        <v>180048.44400000002</v>
      </c>
      <c r="AZ11" s="117">
        <f t="shared" si="6"/>
        <v>137261.89154000001</v>
      </c>
      <c r="BA11" s="117">
        <f t="shared" si="7"/>
        <v>162950.59704000002</v>
      </c>
      <c r="BB11" s="121"/>
      <c r="BC11" s="121"/>
    </row>
    <row r="12" spans="1:55" ht="65.25" customHeight="1">
      <c r="A12" s="230"/>
      <c r="B12" s="238"/>
      <c r="C12" s="240"/>
      <c r="D12" s="243"/>
      <c r="E12" s="155" t="s">
        <v>3</v>
      </c>
      <c r="F12" s="158">
        <f t="shared" ref="F12:F13" si="15">I12+L12+O12+R12+U12+X12+AA12+AD12+AG12+AJ12+AM12+AP12</f>
        <v>491883.71357999998</v>
      </c>
      <c r="G12" s="158">
        <f t="shared" si="1"/>
        <v>356941.68232000002</v>
      </c>
      <c r="H12" s="160">
        <f t="shared" ref="H12:H13" si="16">G12/F12</f>
        <v>0.72566273789007452</v>
      </c>
      <c r="I12" s="158">
        <v>12649.772999999999</v>
      </c>
      <c r="J12" s="158">
        <v>12649.772999999999</v>
      </c>
      <c r="K12" s="160">
        <f t="shared" ref="K12:K13" si="17">J12/I12</f>
        <v>1</v>
      </c>
      <c r="L12" s="158">
        <v>36713.300000000003</v>
      </c>
      <c r="M12" s="158">
        <v>33945.218000000001</v>
      </c>
      <c r="N12" s="160">
        <f>M12/L12</f>
        <v>0.92460274614376803</v>
      </c>
      <c r="O12" s="158">
        <v>40212.300000000003</v>
      </c>
      <c r="P12" s="158">
        <v>42980.381999999998</v>
      </c>
      <c r="Q12" s="160">
        <f t="shared" ref="Q12:Q13" si="18">P12/O12</f>
        <v>1.0688366992188956</v>
      </c>
      <c r="R12" s="158">
        <f>40284.3+3500</f>
        <v>43784.3</v>
      </c>
      <c r="S12" s="158">
        <v>40284.300000000003</v>
      </c>
      <c r="T12" s="160">
        <v>0</v>
      </c>
      <c r="U12" s="161">
        <v>49201.3</v>
      </c>
      <c r="V12" s="161">
        <v>52701.3</v>
      </c>
      <c r="W12" s="160">
        <f>V12/U12</f>
        <v>1.0711363317635916</v>
      </c>
      <c r="X12" s="161">
        <f>59292.2+1606</f>
        <v>60898.2</v>
      </c>
      <c r="Y12" s="161">
        <v>60898.2</v>
      </c>
      <c r="Z12" s="160">
        <f t="shared" ref="Z12:Z13" si="19">Y12/X12</f>
        <v>1</v>
      </c>
      <c r="AA12" s="161">
        <f>49994.2</f>
        <v>49994.2</v>
      </c>
      <c r="AB12" s="161">
        <v>50488.200000000012</v>
      </c>
      <c r="AC12" s="160">
        <f t="shared" si="10"/>
        <v>1.0098811462129611</v>
      </c>
      <c r="AD12" s="161">
        <f>32763.4+824.105</f>
        <v>33587.505000000005</v>
      </c>
      <c r="AE12" s="161">
        <v>33087.504999999997</v>
      </c>
      <c r="AF12" s="160">
        <f t="shared" si="11"/>
        <v>0.9851135117062132</v>
      </c>
      <c r="AG12" s="161">
        <f>29132.8-790+1497.895+60.10932</f>
        <v>29900.804319999999</v>
      </c>
      <c r="AH12" s="161">
        <v>29906.804319999999</v>
      </c>
      <c r="AI12" s="160">
        <f t="shared" si="12"/>
        <v>1.0002006634984058</v>
      </c>
      <c r="AJ12" s="161">
        <f>33588.87059-239.80976</f>
        <v>33349.060830000002</v>
      </c>
      <c r="AK12" s="161"/>
      <c r="AL12" s="160">
        <v>0</v>
      </c>
      <c r="AM12" s="161">
        <f>35056.04851+6515.828</f>
        <v>41571.876510000002</v>
      </c>
      <c r="AN12" s="161"/>
      <c r="AO12" s="160">
        <v>0</v>
      </c>
      <c r="AP12" s="161">
        <f>39082.11216+20938.98176</f>
        <v>60021.093919999999</v>
      </c>
      <c r="AQ12" s="156"/>
      <c r="AR12" s="156"/>
      <c r="AS12" s="164" t="s">
        <v>439</v>
      </c>
      <c r="AT12" s="164"/>
      <c r="AU12" s="116">
        <f t="shared" si="3"/>
        <v>356941.68232000002</v>
      </c>
      <c r="AV12" s="116">
        <f t="shared" si="3"/>
        <v>356941.68232000002</v>
      </c>
      <c r="AW12" s="168">
        <f t="shared" ref="AW12:AW64" si="20">(J12+M12+P12+S12+V12+Y12+AB12+AE12+AH12)/(I12+L12+O12+R12+U12+X12+AA12+AD12+AG12)*100%</f>
        <v>1</v>
      </c>
      <c r="AX12" s="117">
        <f t="shared" si="4"/>
        <v>89575.373000000007</v>
      </c>
      <c r="AY12" s="117">
        <f t="shared" si="5"/>
        <v>153883.79999999999</v>
      </c>
      <c r="AZ12" s="117">
        <f>AA12+AD12+AG12</f>
        <v>113482.50932</v>
      </c>
      <c r="BA12" s="117">
        <f>AJ12+AM12+AP12</f>
        <v>134942.03126000002</v>
      </c>
      <c r="BB12" s="177">
        <v>464438.2</v>
      </c>
      <c r="BC12" s="121"/>
    </row>
    <row r="13" spans="1:55" ht="62.25" customHeight="1">
      <c r="A13" s="230"/>
      <c r="B13" s="238"/>
      <c r="C13" s="241"/>
      <c r="D13" s="244"/>
      <c r="E13" s="155" t="s">
        <v>44</v>
      </c>
      <c r="F13" s="158">
        <f t="shared" si="15"/>
        <v>98822.297999999995</v>
      </c>
      <c r="G13" s="158">
        <f t="shared" si="1"/>
        <v>70813.732219999991</v>
      </c>
      <c r="H13" s="160">
        <f t="shared" si="16"/>
        <v>0.71657645747116705</v>
      </c>
      <c r="I13" s="158">
        <v>3140.431</v>
      </c>
      <c r="J13" s="158">
        <v>3140.431</v>
      </c>
      <c r="K13" s="160">
        <f t="shared" si="17"/>
        <v>1</v>
      </c>
      <c r="L13" s="158">
        <v>7842.8689999999997</v>
      </c>
      <c r="M13" s="158">
        <v>7842.8689999999997</v>
      </c>
      <c r="N13" s="160">
        <f t="shared" ref="N13" si="21">M13/L13</f>
        <v>1</v>
      </c>
      <c r="O13" s="158">
        <v>9886.4060000000009</v>
      </c>
      <c r="P13" s="158">
        <v>9041.4060000000009</v>
      </c>
      <c r="Q13" s="160">
        <f t="shared" si="18"/>
        <v>0.91452910187989445</v>
      </c>
      <c r="R13" s="158">
        <v>8577.3989999999994</v>
      </c>
      <c r="S13" s="158">
        <v>9422.3989999999994</v>
      </c>
      <c r="T13" s="160">
        <f t="shared" ref="T13" si="22">S13/R13</f>
        <v>1.0985147129100559</v>
      </c>
      <c r="U13" s="161">
        <v>8729.3179999999993</v>
      </c>
      <c r="V13" s="161">
        <v>8729.3179999999993</v>
      </c>
      <c r="W13" s="160">
        <f>V13/U13</f>
        <v>1</v>
      </c>
      <c r="X13" s="161">
        <v>8857.9269999999997</v>
      </c>
      <c r="Y13" s="161">
        <v>8857.9269999999997</v>
      </c>
      <c r="Z13" s="160">
        <f t="shared" si="19"/>
        <v>1</v>
      </c>
      <c r="AA13" s="161">
        <v>10069.737999999999</v>
      </c>
      <c r="AB13" s="161">
        <v>10615.437220000007</v>
      </c>
      <c r="AC13" s="160">
        <f t="shared" si="10"/>
        <v>1.0541919978454264</v>
      </c>
      <c r="AD13" s="182">
        <f>7438.577-191.0989</f>
        <v>7247.4781000000003</v>
      </c>
      <c r="AE13" s="182">
        <v>6701.7788799999998</v>
      </c>
      <c r="AF13" s="183">
        <f t="shared" si="11"/>
        <v>0.92470495081592585</v>
      </c>
      <c r="AG13" s="182">
        <f>5980.368+191.0989+290.69922</f>
        <v>6462.1661200000008</v>
      </c>
      <c r="AH13" s="182">
        <v>6462.1661199999999</v>
      </c>
      <c r="AI13" s="183">
        <f t="shared" si="12"/>
        <v>0.99999999999999989</v>
      </c>
      <c r="AJ13" s="182">
        <v>8782.2790000000005</v>
      </c>
      <c r="AK13" s="182"/>
      <c r="AL13" s="184">
        <f t="shared" si="13"/>
        <v>0</v>
      </c>
      <c r="AM13" s="182">
        <v>7025.1109999999999</v>
      </c>
      <c r="AN13" s="182"/>
      <c r="AO13" s="184">
        <f t="shared" si="14"/>
        <v>0</v>
      </c>
      <c r="AP13" s="182">
        <f>12491.875-290.69922</f>
        <v>12201.17578</v>
      </c>
      <c r="AQ13" s="156"/>
      <c r="AR13" s="156"/>
      <c r="AS13" s="164" t="s">
        <v>440</v>
      </c>
      <c r="AT13" s="164"/>
      <c r="AU13" s="116">
        <f t="shared" si="3"/>
        <v>70813.732219999991</v>
      </c>
      <c r="AV13" s="116">
        <f t="shared" si="3"/>
        <v>70813.732219999991</v>
      </c>
      <c r="AW13" s="168">
        <f t="shared" si="20"/>
        <v>1</v>
      </c>
      <c r="AX13" s="117">
        <f t="shared" si="4"/>
        <v>20869.705999999998</v>
      </c>
      <c r="AY13" s="117">
        <f t="shared" si="5"/>
        <v>26164.643999999997</v>
      </c>
      <c r="AZ13" s="117">
        <f t="shared" ref="AZ13:AZ77" si="23">AA13+AD13+AG13</f>
        <v>23779.38222</v>
      </c>
      <c r="BA13" s="117">
        <f t="shared" ref="BA13:BA77" si="24">AJ13+AM13+AP13</f>
        <v>28008.565779999997</v>
      </c>
      <c r="BB13" s="121"/>
      <c r="BC13" s="121"/>
    </row>
    <row r="14" spans="1:55" ht="26.25" customHeight="1">
      <c r="A14" s="230" t="s">
        <v>351</v>
      </c>
      <c r="B14" s="238" t="s">
        <v>296</v>
      </c>
      <c r="C14" s="239" t="s">
        <v>270</v>
      </c>
      <c r="D14" s="245" t="s">
        <v>283</v>
      </c>
      <c r="E14" s="155" t="s">
        <v>42</v>
      </c>
      <c r="F14" s="158">
        <f>I14+L14+O14+R14+U14+X14+AA14+AD14+AG14+AJ14+AM14+AP14</f>
        <v>45</v>
      </c>
      <c r="G14" s="158">
        <f t="shared" si="1"/>
        <v>20.385660000000001</v>
      </c>
      <c r="H14" s="160">
        <f>G14/F14</f>
        <v>0.45301466666666668</v>
      </c>
      <c r="I14" s="158">
        <f>SUM(I15:I16)</f>
        <v>0</v>
      </c>
      <c r="J14" s="158">
        <f>SUM(J15:J16)</f>
        <v>0</v>
      </c>
      <c r="K14" s="160"/>
      <c r="L14" s="158">
        <f>SUM(L15:L16)</f>
        <v>0</v>
      </c>
      <c r="M14" s="158">
        <f>SUM(M15:M16)</f>
        <v>0</v>
      </c>
      <c r="N14" s="160"/>
      <c r="O14" s="158">
        <f>SUM(O15:O16)</f>
        <v>17</v>
      </c>
      <c r="P14" s="158">
        <f>SUM(P15:P16)</f>
        <v>3.67638</v>
      </c>
      <c r="Q14" s="160">
        <f>P14/O14</f>
        <v>0.21625764705882353</v>
      </c>
      <c r="R14" s="158">
        <f>SUM(R15:R16)</f>
        <v>0</v>
      </c>
      <c r="S14" s="158">
        <f>SUM(S15:S16)</f>
        <v>0</v>
      </c>
      <c r="T14" s="160"/>
      <c r="U14" s="158">
        <f t="shared" ref="U14:AR14" si="25">SUM(U15:U16)</f>
        <v>17</v>
      </c>
      <c r="V14" s="158">
        <f t="shared" si="25"/>
        <v>16.70928</v>
      </c>
      <c r="W14" s="160">
        <f t="shared" ref="W14" si="26">V14/U14</f>
        <v>0.98289882352941171</v>
      </c>
      <c r="X14" s="158">
        <f t="shared" si="25"/>
        <v>0</v>
      </c>
      <c r="Y14" s="158">
        <f t="shared" si="25"/>
        <v>0</v>
      </c>
      <c r="Z14" s="160"/>
      <c r="AA14" s="158">
        <f t="shared" si="25"/>
        <v>0</v>
      </c>
      <c r="AB14" s="158">
        <f t="shared" si="25"/>
        <v>0</v>
      </c>
      <c r="AC14" s="160"/>
      <c r="AD14" s="158">
        <f t="shared" si="25"/>
        <v>0</v>
      </c>
      <c r="AE14" s="158">
        <f t="shared" si="25"/>
        <v>0</v>
      </c>
      <c r="AF14" s="160"/>
      <c r="AG14" s="158">
        <f t="shared" si="25"/>
        <v>0</v>
      </c>
      <c r="AH14" s="158">
        <f t="shared" si="25"/>
        <v>0</v>
      </c>
      <c r="AI14" s="160"/>
      <c r="AJ14" s="158">
        <f t="shared" si="25"/>
        <v>0</v>
      </c>
      <c r="AK14" s="158">
        <f t="shared" si="25"/>
        <v>0</v>
      </c>
      <c r="AL14" s="160" t="e">
        <f t="shared" si="13"/>
        <v>#DIV/0!</v>
      </c>
      <c r="AM14" s="158">
        <f t="shared" si="25"/>
        <v>11</v>
      </c>
      <c r="AN14" s="158">
        <f t="shared" si="25"/>
        <v>0</v>
      </c>
      <c r="AO14" s="160">
        <f t="shared" si="14"/>
        <v>0</v>
      </c>
      <c r="AP14" s="158">
        <f t="shared" si="25"/>
        <v>0</v>
      </c>
      <c r="AQ14" s="156">
        <f t="shared" si="25"/>
        <v>0</v>
      </c>
      <c r="AR14" s="156">
        <f t="shared" si="25"/>
        <v>0</v>
      </c>
      <c r="AS14" s="122"/>
      <c r="AT14" s="120"/>
      <c r="AU14" s="116">
        <f t="shared" si="3"/>
        <v>34</v>
      </c>
      <c r="AV14" s="116">
        <f t="shared" si="3"/>
        <v>20.385660000000001</v>
      </c>
      <c r="AW14" s="168">
        <f t="shared" si="20"/>
        <v>0.59957823529411769</v>
      </c>
      <c r="AX14" s="117">
        <f t="shared" si="4"/>
        <v>17</v>
      </c>
      <c r="AY14" s="117">
        <f t="shared" si="5"/>
        <v>17</v>
      </c>
      <c r="AZ14" s="117">
        <f t="shared" si="23"/>
        <v>0</v>
      </c>
      <c r="BA14" s="117">
        <f t="shared" si="24"/>
        <v>11</v>
      </c>
      <c r="BB14" s="121"/>
      <c r="BC14" s="121"/>
    </row>
    <row r="15" spans="1:55" ht="26.25" customHeight="1">
      <c r="A15" s="230"/>
      <c r="B15" s="238"/>
      <c r="C15" s="240"/>
      <c r="D15" s="246"/>
      <c r="E15" s="155" t="s">
        <v>3</v>
      </c>
      <c r="F15" s="158">
        <f t="shared" ref="F15:F40" si="27">I15+L15+O15+R15+U15+X15+AA15+AD15+AG15+AJ15+AM15+AP15</f>
        <v>0</v>
      </c>
      <c r="G15" s="158">
        <f t="shared" si="1"/>
        <v>0</v>
      </c>
      <c r="H15" s="160"/>
      <c r="I15" s="158"/>
      <c r="J15" s="158"/>
      <c r="K15" s="160"/>
      <c r="L15" s="158"/>
      <c r="M15" s="158"/>
      <c r="N15" s="160"/>
      <c r="O15" s="158"/>
      <c r="P15" s="158"/>
      <c r="Q15" s="160"/>
      <c r="R15" s="158"/>
      <c r="S15" s="158"/>
      <c r="T15" s="160"/>
      <c r="U15" s="161"/>
      <c r="V15" s="161"/>
      <c r="W15" s="161"/>
      <c r="X15" s="161"/>
      <c r="Y15" s="161"/>
      <c r="Z15" s="160"/>
      <c r="AA15" s="161"/>
      <c r="AB15" s="161"/>
      <c r="AC15" s="160"/>
      <c r="AD15" s="161"/>
      <c r="AE15" s="161"/>
      <c r="AF15" s="160"/>
      <c r="AG15" s="161"/>
      <c r="AH15" s="161"/>
      <c r="AI15" s="160"/>
      <c r="AJ15" s="158"/>
      <c r="AK15" s="158"/>
      <c r="AL15" s="158"/>
      <c r="AM15" s="161"/>
      <c r="AN15" s="161"/>
      <c r="AO15" s="158"/>
      <c r="AP15" s="158"/>
      <c r="AQ15" s="156"/>
      <c r="AR15" s="156"/>
      <c r="AS15" s="122"/>
      <c r="AT15" s="120"/>
      <c r="AU15" s="116">
        <f t="shared" si="3"/>
        <v>0</v>
      </c>
      <c r="AV15" s="116">
        <f t="shared" si="3"/>
        <v>0</v>
      </c>
      <c r="AW15" s="168"/>
      <c r="AX15" s="117">
        <f t="shared" si="4"/>
        <v>0</v>
      </c>
      <c r="AY15" s="117">
        <f t="shared" si="5"/>
        <v>0</v>
      </c>
      <c r="AZ15" s="117">
        <f t="shared" si="23"/>
        <v>0</v>
      </c>
      <c r="BA15" s="117">
        <f t="shared" si="24"/>
        <v>0</v>
      </c>
      <c r="BB15" s="121"/>
      <c r="BC15" s="121"/>
    </row>
    <row r="16" spans="1:55" ht="64.5" customHeight="1">
      <c r="A16" s="230"/>
      <c r="B16" s="238"/>
      <c r="C16" s="241"/>
      <c r="D16" s="247"/>
      <c r="E16" s="155" t="s">
        <v>44</v>
      </c>
      <c r="F16" s="158">
        <f t="shared" si="27"/>
        <v>45</v>
      </c>
      <c r="G16" s="158">
        <f t="shared" si="1"/>
        <v>20.385660000000001</v>
      </c>
      <c r="H16" s="160">
        <f t="shared" ref="H16:H50" si="28">G16/F16</f>
        <v>0.45301466666666668</v>
      </c>
      <c r="I16" s="158"/>
      <c r="J16" s="158"/>
      <c r="K16" s="160"/>
      <c r="L16" s="158"/>
      <c r="M16" s="158"/>
      <c r="N16" s="160"/>
      <c r="O16" s="158">
        <v>17</v>
      </c>
      <c r="P16" s="158">
        <v>3.67638</v>
      </c>
      <c r="Q16" s="160">
        <f t="shared" ref="Q16:Q40" si="29">P16/O16</f>
        <v>0.21625764705882353</v>
      </c>
      <c r="R16" s="158"/>
      <c r="S16" s="158"/>
      <c r="T16" s="160"/>
      <c r="U16" s="161">
        <v>17</v>
      </c>
      <c r="V16" s="161">
        <v>16.70928</v>
      </c>
      <c r="W16" s="160">
        <f>V16/U16</f>
        <v>0.98289882352941171</v>
      </c>
      <c r="X16" s="161"/>
      <c r="Y16" s="161"/>
      <c r="Z16" s="160"/>
      <c r="AA16" s="161"/>
      <c r="AB16" s="161"/>
      <c r="AC16" s="160"/>
      <c r="AD16" s="161"/>
      <c r="AE16" s="161"/>
      <c r="AF16" s="160"/>
      <c r="AG16" s="161"/>
      <c r="AH16" s="161"/>
      <c r="AI16" s="160"/>
      <c r="AJ16" s="158"/>
      <c r="AK16" s="158"/>
      <c r="AL16" s="160" t="e">
        <f t="shared" ref="AL16" si="30">AK16/AJ16</f>
        <v>#DIV/0!</v>
      </c>
      <c r="AM16" s="161">
        <v>11</v>
      </c>
      <c r="AN16" s="161"/>
      <c r="AO16" s="160">
        <f t="shared" ref="AO16" si="31">AN16/AM16</f>
        <v>0</v>
      </c>
      <c r="AP16" s="158"/>
      <c r="AQ16" s="156"/>
      <c r="AR16" s="156"/>
      <c r="AS16" s="123" t="s">
        <v>413</v>
      </c>
      <c r="AT16" s="164" t="s">
        <v>469</v>
      </c>
      <c r="AU16" s="116">
        <f t="shared" si="3"/>
        <v>34</v>
      </c>
      <c r="AV16" s="116">
        <f t="shared" si="3"/>
        <v>20.385660000000001</v>
      </c>
      <c r="AW16" s="168">
        <f t="shared" si="20"/>
        <v>0.59957823529411769</v>
      </c>
      <c r="AX16" s="117">
        <f t="shared" si="4"/>
        <v>17</v>
      </c>
      <c r="AY16" s="117">
        <f t="shared" si="5"/>
        <v>17</v>
      </c>
      <c r="AZ16" s="117">
        <f t="shared" si="23"/>
        <v>0</v>
      </c>
      <c r="BA16" s="117">
        <f t="shared" si="24"/>
        <v>11</v>
      </c>
    </row>
    <row r="17" spans="1:53" ht="18.75" customHeight="1">
      <c r="A17" s="230" t="s">
        <v>352</v>
      </c>
      <c r="B17" s="254" t="s">
        <v>297</v>
      </c>
      <c r="C17" s="239" t="s">
        <v>271</v>
      </c>
      <c r="D17" s="245" t="s">
        <v>284</v>
      </c>
      <c r="E17" s="155" t="s">
        <v>42</v>
      </c>
      <c r="F17" s="158">
        <f t="shared" si="27"/>
        <v>582.21</v>
      </c>
      <c r="G17" s="158">
        <f t="shared" si="1"/>
        <v>403.32220000000001</v>
      </c>
      <c r="H17" s="160">
        <f t="shared" si="28"/>
        <v>0.69274351179127802</v>
      </c>
      <c r="I17" s="158">
        <f>SUM(I18:I19)</f>
        <v>238.96</v>
      </c>
      <c r="J17" s="158">
        <f>SUM(J18:J19)</f>
        <v>238.96</v>
      </c>
      <c r="K17" s="160">
        <f t="shared" ref="K17:K40" si="32">J17/I17</f>
        <v>1</v>
      </c>
      <c r="L17" s="158">
        <f>SUM(L18:L19)</f>
        <v>0</v>
      </c>
      <c r="M17" s="158">
        <f>SUM(M18:M19)</f>
        <v>0</v>
      </c>
      <c r="N17" s="160"/>
      <c r="O17" s="158">
        <f>SUM(O18:O19)</f>
        <v>32.5</v>
      </c>
      <c r="P17" s="158">
        <f>SUM(P18:P19)</f>
        <v>-24.207799999999999</v>
      </c>
      <c r="Q17" s="160">
        <f t="shared" si="29"/>
        <v>-0.74485538461538459</v>
      </c>
      <c r="R17" s="158">
        <f>SUM(R18:R19)</f>
        <v>21.8</v>
      </c>
      <c r="S17" s="158">
        <f>SUM(S18:S19)</f>
        <v>0</v>
      </c>
      <c r="T17" s="160">
        <f t="shared" ref="T17:T40" si="33">S17/R17</f>
        <v>0</v>
      </c>
      <c r="U17" s="158">
        <f t="shared" ref="U17:AR17" si="34">SUM(U18:U19)</f>
        <v>0</v>
      </c>
      <c r="V17" s="158">
        <f t="shared" si="34"/>
        <v>0</v>
      </c>
      <c r="W17" s="160"/>
      <c r="X17" s="158">
        <f t="shared" si="34"/>
        <v>117.45</v>
      </c>
      <c r="Y17" s="158">
        <f t="shared" si="34"/>
        <v>115.07</v>
      </c>
      <c r="Z17" s="160">
        <f t="shared" ref="Z17:Z40" si="35">Y17/X17</f>
        <v>0.97973605789697737</v>
      </c>
      <c r="AA17" s="158">
        <f t="shared" si="34"/>
        <v>0</v>
      </c>
      <c r="AB17" s="158">
        <f t="shared" si="34"/>
        <v>0</v>
      </c>
      <c r="AC17" s="158"/>
      <c r="AD17" s="158">
        <f t="shared" si="34"/>
        <v>73.5</v>
      </c>
      <c r="AE17" s="158">
        <f t="shared" si="34"/>
        <v>73.5</v>
      </c>
      <c r="AF17" s="160">
        <f t="shared" si="11"/>
        <v>1</v>
      </c>
      <c r="AG17" s="158">
        <f t="shared" si="34"/>
        <v>0</v>
      </c>
      <c r="AH17" s="158">
        <f t="shared" si="34"/>
        <v>0</v>
      </c>
      <c r="AI17" s="160"/>
      <c r="AJ17" s="158">
        <f t="shared" si="34"/>
        <v>20.8</v>
      </c>
      <c r="AK17" s="158">
        <f t="shared" si="34"/>
        <v>0</v>
      </c>
      <c r="AL17" s="160"/>
      <c r="AM17" s="158">
        <f t="shared" si="34"/>
        <v>57.2</v>
      </c>
      <c r="AN17" s="158">
        <f t="shared" si="34"/>
        <v>0</v>
      </c>
      <c r="AO17" s="158">
        <f t="shared" si="34"/>
        <v>0</v>
      </c>
      <c r="AP17" s="158">
        <f t="shared" si="34"/>
        <v>20</v>
      </c>
      <c r="AQ17" s="156">
        <f t="shared" si="34"/>
        <v>0</v>
      </c>
      <c r="AR17" s="156">
        <f t="shared" si="34"/>
        <v>0</v>
      </c>
      <c r="AS17" s="124"/>
      <c r="AT17" s="120"/>
      <c r="AU17" s="116">
        <f t="shared" si="3"/>
        <v>484.21000000000004</v>
      </c>
      <c r="AV17" s="116">
        <f t="shared" si="3"/>
        <v>403.32220000000001</v>
      </c>
      <c r="AW17" s="168">
        <f t="shared" si="20"/>
        <v>0.83294892711839896</v>
      </c>
      <c r="AX17" s="117">
        <f t="shared" si="4"/>
        <v>271.46000000000004</v>
      </c>
      <c r="AY17" s="117">
        <f t="shared" si="5"/>
        <v>139.25</v>
      </c>
      <c r="AZ17" s="117">
        <f t="shared" si="23"/>
        <v>73.5</v>
      </c>
      <c r="BA17" s="117">
        <f t="shared" si="24"/>
        <v>98</v>
      </c>
    </row>
    <row r="18" spans="1:53" ht="18.75">
      <c r="A18" s="230"/>
      <c r="B18" s="254"/>
      <c r="C18" s="240"/>
      <c r="D18" s="246"/>
      <c r="E18" s="155" t="s">
        <v>3</v>
      </c>
      <c r="F18" s="158">
        <f t="shared" si="27"/>
        <v>0</v>
      </c>
      <c r="G18" s="158">
        <f t="shared" si="1"/>
        <v>0</v>
      </c>
      <c r="H18" s="160"/>
      <c r="I18" s="158"/>
      <c r="J18" s="158"/>
      <c r="K18" s="160"/>
      <c r="L18" s="158"/>
      <c r="M18" s="158"/>
      <c r="N18" s="160"/>
      <c r="O18" s="158"/>
      <c r="P18" s="158"/>
      <c r="Q18" s="160"/>
      <c r="R18" s="158"/>
      <c r="S18" s="158"/>
      <c r="T18" s="160"/>
      <c r="U18" s="161"/>
      <c r="V18" s="161"/>
      <c r="W18" s="161"/>
      <c r="X18" s="161"/>
      <c r="Y18" s="161"/>
      <c r="Z18" s="160"/>
      <c r="AA18" s="161"/>
      <c r="AB18" s="161"/>
      <c r="AC18" s="161"/>
      <c r="AD18" s="161"/>
      <c r="AE18" s="161"/>
      <c r="AF18" s="160"/>
      <c r="AG18" s="161"/>
      <c r="AH18" s="161"/>
      <c r="AI18" s="160"/>
      <c r="AJ18" s="158"/>
      <c r="AK18" s="158"/>
      <c r="AL18" s="158"/>
      <c r="AM18" s="161"/>
      <c r="AN18" s="161"/>
      <c r="AO18" s="161"/>
      <c r="AP18" s="158"/>
      <c r="AQ18" s="156"/>
      <c r="AR18" s="156"/>
      <c r="AS18" s="124"/>
      <c r="AT18" s="120"/>
      <c r="AU18" s="116">
        <f t="shared" si="3"/>
        <v>0</v>
      </c>
      <c r="AV18" s="116">
        <f t="shared" si="3"/>
        <v>0</v>
      </c>
      <c r="AW18" s="168"/>
      <c r="AX18" s="117">
        <f t="shared" si="4"/>
        <v>0</v>
      </c>
      <c r="AY18" s="117">
        <f t="shared" si="5"/>
        <v>0</v>
      </c>
      <c r="AZ18" s="117">
        <f t="shared" si="23"/>
        <v>0</v>
      </c>
      <c r="BA18" s="117">
        <f t="shared" si="24"/>
        <v>0</v>
      </c>
    </row>
    <row r="19" spans="1:53" ht="135.75" customHeight="1">
      <c r="A19" s="230"/>
      <c r="B19" s="254"/>
      <c r="C19" s="241"/>
      <c r="D19" s="247"/>
      <c r="E19" s="155" t="s">
        <v>44</v>
      </c>
      <c r="F19" s="158">
        <f t="shared" si="27"/>
        <v>582.21</v>
      </c>
      <c r="G19" s="158">
        <f t="shared" si="1"/>
        <v>403.32220000000001</v>
      </c>
      <c r="H19" s="160">
        <f t="shared" si="28"/>
        <v>0.69274351179127802</v>
      </c>
      <c r="I19" s="158">
        <v>238.96</v>
      </c>
      <c r="J19" s="158">
        <v>238.96</v>
      </c>
      <c r="K19" s="160">
        <f t="shared" si="32"/>
        <v>1</v>
      </c>
      <c r="L19" s="158"/>
      <c r="M19" s="158"/>
      <c r="N19" s="160"/>
      <c r="O19" s="158">
        <v>32.5</v>
      </c>
      <c r="P19" s="158">
        <v>-24.207799999999999</v>
      </c>
      <c r="Q19" s="160">
        <f t="shared" si="29"/>
        <v>-0.74485538461538459</v>
      </c>
      <c r="R19" s="158">
        <v>21.8</v>
      </c>
      <c r="S19" s="158">
        <v>0</v>
      </c>
      <c r="T19" s="160">
        <f t="shared" si="33"/>
        <v>0</v>
      </c>
      <c r="U19" s="161"/>
      <c r="V19" s="161"/>
      <c r="W19" s="160"/>
      <c r="X19" s="161">
        <f>101.75+15.7</f>
        <v>117.45</v>
      </c>
      <c r="Y19" s="161">
        <v>115.07</v>
      </c>
      <c r="Z19" s="160">
        <f t="shared" si="35"/>
        <v>0.97973605789697737</v>
      </c>
      <c r="AA19" s="161"/>
      <c r="AB19" s="161"/>
      <c r="AC19" s="160"/>
      <c r="AD19" s="161">
        <v>73.5</v>
      </c>
      <c r="AE19" s="161">
        <v>73.5</v>
      </c>
      <c r="AF19" s="160">
        <f t="shared" si="11"/>
        <v>1</v>
      </c>
      <c r="AG19" s="161"/>
      <c r="AH19" s="161"/>
      <c r="AI19" s="160"/>
      <c r="AJ19" s="158">
        <v>20.8</v>
      </c>
      <c r="AK19" s="158"/>
      <c r="AL19" s="158"/>
      <c r="AM19" s="161">
        <f>12.2+45</f>
        <v>57.2</v>
      </c>
      <c r="AN19" s="161"/>
      <c r="AO19" s="161"/>
      <c r="AP19" s="158">
        <v>20</v>
      </c>
      <c r="AQ19" s="156"/>
      <c r="AR19" s="156"/>
      <c r="AS19" s="123" t="s">
        <v>420</v>
      </c>
      <c r="AT19" s="164" t="s">
        <v>434</v>
      </c>
      <c r="AU19" s="116">
        <f t="shared" si="3"/>
        <v>484.21000000000004</v>
      </c>
      <c r="AV19" s="116">
        <f t="shared" si="3"/>
        <v>403.32220000000001</v>
      </c>
      <c r="AW19" s="168">
        <f t="shared" si="20"/>
        <v>0.83294892711839896</v>
      </c>
      <c r="AX19" s="117">
        <f t="shared" si="4"/>
        <v>271.46000000000004</v>
      </c>
      <c r="AY19" s="117">
        <f t="shared" si="5"/>
        <v>139.25</v>
      </c>
      <c r="AZ19" s="117">
        <f t="shared" si="23"/>
        <v>73.5</v>
      </c>
      <c r="BA19" s="117">
        <f t="shared" si="24"/>
        <v>98</v>
      </c>
    </row>
    <row r="20" spans="1:53" ht="22.5" customHeight="1">
      <c r="A20" s="230" t="s">
        <v>353</v>
      </c>
      <c r="B20" s="254" t="s">
        <v>298</v>
      </c>
      <c r="C20" s="239" t="s">
        <v>270</v>
      </c>
      <c r="D20" s="245" t="s">
        <v>284</v>
      </c>
      <c r="E20" s="155" t="s">
        <v>42</v>
      </c>
      <c r="F20" s="158">
        <f t="shared" si="27"/>
        <v>130</v>
      </c>
      <c r="G20" s="158">
        <f t="shared" si="1"/>
        <v>60.8</v>
      </c>
      <c r="H20" s="160">
        <f t="shared" si="28"/>
        <v>0.46769230769230768</v>
      </c>
      <c r="I20" s="158">
        <f>SUM(I21:I22)</f>
        <v>0</v>
      </c>
      <c r="J20" s="158">
        <f>SUM(J21:J22)</f>
        <v>0</v>
      </c>
      <c r="K20" s="160"/>
      <c r="L20" s="158">
        <f>SUM(L21:L22)</f>
        <v>0</v>
      </c>
      <c r="M20" s="158">
        <f>SUM(M21:M22)</f>
        <v>0</v>
      </c>
      <c r="N20" s="160"/>
      <c r="O20" s="158">
        <f>SUM(O21:O22)</f>
        <v>0</v>
      </c>
      <c r="P20" s="158">
        <f>SUM(P21:P22)</f>
        <v>0</v>
      </c>
      <c r="Q20" s="160"/>
      <c r="R20" s="158">
        <f>SUM(R21:R22)</f>
        <v>83.2</v>
      </c>
      <c r="S20" s="158">
        <f>SUM(S21:S22)</f>
        <v>45</v>
      </c>
      <c r="T20" s="160">
        <f t="shared" si="33"/>
        <v>0.54086538461538458</v>
      </c>
      <c r="U20" s="158">
        <f t="shared" ref="U20:AR20" si="36">SUM(U21:U22)</f>
        <v>9.3000000000000007</v>
      </c>
      <c r="V20" s="158">
        <f t="shared" si="36"/>
        <v>9.3000000000000007</v>
      </c>
      <c r="W20" s="160">
        <f t="shared" ref="W20:W22" si="37">V20/U20</f>
        <v>1</v>
      </c>
      <c r="X20" s="158">
        <f t="shared" si="36"/>
        <v>0</v>
      </c>
      <c r="Y20" s="158">
        <f t="shared" si="36"/>
        <v>6.5</v>
      </c>
      <c r="Z20" s="160"/>
      <c r="AA20" s="158">
        <f t="shared" si="36"/>
        <v>0</v>
      </c>
      <c r="AB20" s="158">
        <f t="shared" si="36"/>
        <v>0</v>
      </c>
      <c r="AC20" s="160"/>
      <c r="AD20" s="158">
        <f t="shared" si="36"/>
        <v>0</v>
      </c>
      <c r="AE20" s="158">
        <f t="shared" si="36"/>
        <v>0</v>
      </c>
      <c r="AF20" s="160"/>
      <c r="AG20" s="158">
        <f t="shared" si="36"/>
        <v>0</v>
      </c>
      <c r="AH20" s="158">
        <f t="shared" si="36"/>
        <v>0</v>
      </c>
      <c r="AI20" s="160"/>
      <c r="AJ20" s="158">
        <f t="shared" si="36"/>
        <v>0</v>
      </c>
      <c r="AK20" s="158">
        <f t="shared" si="36"/>
        <v>0</v>
      </c>
      <c r="AL20" s="158">
        <f t="shared" si="36"/>
        <v>0</v>
      </c>
      <c r="AM20" s="158">
        <f t="shared" si="36"/>
        <v>37.5</v>
      </c>
      <c r="AN20" s="158">
        <f t="shared" si="36"/>
        <v>0</v>
      </c>
      <c r="AO20" s="160">
        <f t="shared" ref="AO20" si="38">AN20/AM20</f>
        <v>0</v>
      </c>
      <c r="AP20" s="158">
        <f t="shared" si="36"/>
        <v>0</v>
      </c>
      <c r="AQ20" s="156">
        <f t="shared" si="36"/>
        <v>0</v>
      </c>
      <c r="AR20" s="156">
        <f t="shared" si="36"/>
        <v>0</v>
      </c>
      <c r="AS20" s="119"/>
      <c r="AT20" s="120"/>
      <c r="AU20" s="116">
        <f t="shared" si="3"/>
        <v>92.5</v>
      </c>
      <c r="AV20" s="116">
        <f t="shared" si="3"/>
        <v>60.8</v>
      </c>
      <c r="AW20" s="168">
        <f t="shared" si="20"/>
        <v>0.65729729729729724</v>
      </c>
      <c r="AX20" s="117">
        <f t="shared" si="4"/>
        <v>0</v>
      </c>
      <c r="AY20" s="117">
        <f t="shared" si="5"/>
        <v>92.5</v>
      </c>
      <c r="AZ20" s="117">
        <f t="shared" si="23"/>
        <v>0</v>
      </c>
      <c r="BA20" s="117">
        <f t="shared" si="24"/>
        <v>37.5</v>
      </c>
    </row>
    <row r="21" spans="1:53" ht="22.5" customHeight="1">
      <c r="A21" s="230"/>
      <c r="B21" s="254"/>
      <c r="C21" s="240"/>
      <c r="D21" s="246"/>
      <c r="E21" s="155" t="s">
        <v>3</v>
      </c>
      <c r="F21" s="158">
        <f t="shared" si="27"/>
        <v>0</v>
      </c>
      <c r="G21" s="158">
        <f t="shared" si="1"/>
        <v>0</v>
      </c>
      <c r="H21" s="160"/>
      <c r="I21" s="158"/>
      <c r="J21" s="158"/>
      <c r="K21" s="160"/>
      <c r="L21" s="158"/>
      <c r="M21" s="158"/>
      <c r="N21" s="160"/>
      <c r="O21" s="158"/>
      <c r="P21" s="158"/>
      <c r="Q21" s="160"/>
      <c r="R21" s="158"/>
      <c r="S21" s="158"/>
      <c r="T21" s="160"/>
      <c r="U21" s="161"/>
      <c r="V21" s="161"/>
      <c r="W21" s="161"/>
      <c r="X21" s="161"/>
      <c r="Y21" s="161"/>
      <c r="Z21" s="160"/>
      <c r="AA21" s="161"/>
      <c r="AB21" s="161"/>
      <c r="AC21" s="160"/>
      <c r="AD21" s="161"/>
      <c r="AE21" s="161"/>
      <c r="AF21" s="160"/>
      <c r="AG21" s="161"/>
      <c r="AH21" s="161"/>
      <c r="AI21" s="160"/>
      <c r="AJ21" s="158"/>
      <c r="AK21" s="158"/>
      <c r="AL21" s="158"/>
      <c r="AM21" s="161"/>
      <c r="AN21" s="161"/>
      <c r="AO21" s="161"/>
      <c r="AP21" s="158"/>
      <c r="AQ21" s="156"/>
      <c r="AR21" s="156"/>
      <c r="AS21" s="119"/>
      <c r="AT21" s="120"/>
      <c r="AU21" s="116">
        <f t="shared" si="3"/>
        <v>0</v>
      </c>
      <c r="AV21" s="116">
        <f t="shared" si="3"/>
        <v>0</v>
      </c>
      <c r="AW21" s="168"/>
      <c r="AX21" s="117">
        <f t="shared" si="4"/>
        <v>0</v>
      </c>
      <c r="AY21" s="117">
        <f t="shared" si="5"/>
        <v>0</v>
      </c>
      <c r="AZ21" s="117">
        <f t="shared" si="23"/>
        <v>0</v>
      </c>
      <c r="BA21" s="117">
        <f t="shared" si="24"/>
        <v>0</v>
      </c>
    </row>
    <row r="22" spans="1:53" ht="90.75" customHeight="1">
      <c r="A22" s="230"/>
      <c r="B22" s="254"/>
      <c r="C22" s="241"/>
      <c r="D22" s="247"/>
      <c r="E22" s="155" t="s">
        <v>44</v>
      </c>
      <c r="F22" s="158">
        <f t="shared" si="27"/>
        <v>130</v>
      </c>
      <c r="G22" s="158">
        <f t="shared" si="1"/>
        <v>60.8</v>
      </c>
      <c r="H22" s="160">
        <f t="shared" si="28"/>
        <v>0.46769230769230768</v>
      </c>
      <c r="I22" s="158"/>
      <c r="J22" s="158"/>
      <c r="K22" s="160"/>
      <c r="L22" s="158"/>
      <c r="M22" s="158"/>
      <c r="N22" s="160"/>
      <c r="O22" s="158"/>
      <c r="P22" s="158"/>
      <c r="Q22" s="160"/>
      <c r="R22" s="158">
        <f>38.2+45</f>
        <v>83.2</v>
      </c>
      <c r="S22" s="158">
        <v>45</v>
      </c>
      <c r="T22" s="160">
        <f t="shared" si="33"/>
        <v>0.54086538461538458</v>
      </c>
      <c r="U22" s="161">
        <v>9.3000000000000007</v>
      </c>
      <c r="V22" s="161">
        <v>9.3000000000000007</v>
      </c>
      <c r="W22" s="160">
        <f t="shared" si="37"/>
        <v>1</v>
      </c>
      <c r="X22" s="161"/>
      <c r="Y22" s="161">
        <v>6.5</v>
      </c>
      <c r="Z22" s="160"/>
      <c r="AA22" s="161"/>
      <c r="AB22" s="161"/>
      <c r="AC22" s="160"/>
      <c r="AD22" s="161"/>
      <c r="AE22" s="161"/>
      <c r="AF22" s="160"/>
      <c r="AG22" s="161"/>
      <c r="AH22" s="161"/>
      <c r="AI22" s="160"/>
      <c r="AJ22" s="158"/>
      <c r="AK22" s="158"/>
      <c r="AL22" s="158"/>
      <c r="AM22" s="161">
        <v>37.5</v>
      </c>
      <c r="AN22" s="161"/>
      <c r="AO22" s="161"/>
      <c r="AP22" s="158"/>
      <c r="AQ22" s="156"/>
      <c r="AR22" s="156"/>
      <c r="AS22" s="164" t="s">
        <v>421</v>
      </c>
      <c r="AT22" s="164" t="s">
        <v>433</v>
      </c>
      <c r="AU22" s="116">
        <f t="shared" si="3"/>
        <v>92.5</v>
      </c>
      <c r="AV22" s="116">
        <f t="shared" si="3"/>
        <v>60.8</v>
      </c>
      <c r="AW22" s="168">
        <f t="shared" si="20"/>
        <v>0.65729729729729724</v>
      </c>
      <c r="AX22" s="117">
        <f t="shared" si="4"/>
        <v>0</v>
      </c>
      <c r="AY22" s="117">
        <f t="shared" si="5"/>
        <v>92.5</v>
      </c>
      <c r="AZ22" s="117">
        <f t="shared" si="23"/>
        <v>0</v>
      </c>
      <c r="BA22" s="117">
        <f t="shared" si="24"/>
        <v>37.5</v>
      </c>
    </row>
    <row r="23" spans="1:53" ht="42.75" customHeight="1">
      <c r="A23" s="230" t="s">
        <v>354</v>
      </c>
      <c r="B23" s="254" t="s">
        <v>320</v>
      </c>
      <c r="C23" s="239" t="s">
        <v>272</v>
      </c>
      <c r="D23" s="245" t="s">
        <v>392</v>
      </c>
      <c r="E23" s="155" t="s">
        <v>42</v>
      </c>
      <c r="F23" s="158">
        <f t="shared" si="27"/>
        <v>675</v>
      </c>
      <c r="G23" s="158">
        <f t="shared" si="1"/>
        <v>675</v>
      </c>
      <c r="H23" s="160">
        <f t="shared" si="28"/>
        <v>1</v>
      </c>
      <c r="I23" s="158">
        <f>SUM(I24:I25)</f>
        <v>0</v>
      </c>
      <c r="J23" s="158">
        <f>SUM(J24:J25)</f>
        <v>0</v>
      </c>
      <c r="K23" s="160"/>
      <c r="L23" s="158">
        <f>SUM(L24:L25)</f>
        <v>0</v>
      </c>
      <c r="M23" s="158">
        <f>SUM(M24:M25)</f>
        <v>0</v>
      </c>
      <c r="N23" s="160"/>
      <c r="O23" s="158">
        <f>SUM(O24:O25)</f>
        <v>0</v>
      </c>
      <c r="P23" s="158">
        <f>SUM(P24:P25)</f>
        <v>0</v>
      </c>
      <c r="Q23" s="160"/>
      <c r="R23" s="158">
        <f>SUM(R24:R25)</f>
        <v>175</v>
      </c>
      <c r="S23" s="158">
        <f>SUM(S24:S25)</f>
        <v>175</v>
      </c>
      <c r="T23" s="160">
        <f t="shared" si="33"/>
        <v>1</v>
      </c>
      <c r="U23" s="158">
        <f t="shared" ref="U23:AR23" si="39">SUM(U24:U25)</f>
        <v>0</v>
      </c>
      <c r="V23" s="158">
        <f t="shared" si="39"/>
        <v>0</v>
      </c>
      <c r="W23" s="160"/>
      <c r="X23" s="158">
        <f t="shared" si="39"/>
        <v>0</v>
      </c>
      <c r="Y23" s="158">
        <f t="shared" si="39"/>
        <v>0</v>
      </c>
      <c r="Z23" s="160"/>
      <c r="AA23" s="158">
        <f t="shared" si="39"/>
        <v>0</v>
      </c>
      <c r="AB23" s="158">
        <f t="shared" si="39"/>
        <v>0</v>
      </c>
      <c r="AC23" s="158"/>
      <c r="AD23" s="158">
        <f t="shared" si="39"/>
        <v>132</v>
      </c>
      <c r="AE23" s="158">
        <f t="shared" si="39"/>
        <v>132</v>
      </c>
      <c r="AF23" s="160">
        <f t="shared" si="11"/>
        <v>1</v>
      </c>
      <c r="AG23" s="158">
        <f t="shared" si="39"/>
        <v>368</v>
      </c>
      <c r="AH23" s="158">
        <f t="shared" si="39"/>
        <v>368</v>
      </c>
      <c r="AI23" s="160">
        <f t="shared" ref="AI23:AI24" si="40">AH23/AG23</f>
        <v>1</v>
      </c>
      <c r="AJ23" s="158">
        <f t="shared" si="39"/>
        <v>0</v>
      </c>
      <c r="AK23" s="158">
        <f t="shared" si="39"/>
        <v>0</v>
      </c>
      <c r="AL23" s="158">
        <f t="shared" si="39"/>
        <v>0</v>
      </c>
      <c r="AM23" s="158">
        <f t="shared" si="39"/>
        <v>0</v>
      </c>
      <c r="AN23" s="158">
        <f t="shared" si="39"/>
        <v>0</v>
      </c>
      <c r="AO23" s="158">
        <f t="shared" si="39"/>
        <v>0</v>
      </c>
      <c r="AP23" s="158">
        <f t="shared" si="39"/>
        <v>0</v>
      </c>
      <c r="AQ23" s="156">
        <f t="shared" si="39"/>
        <v>0</v>
      </c>
      <c r="AR23" s="156">
        <f t="shared" si="39"/>
        <v>0</v>
      </c>
      <c r="AS23" s="165"/>
      <c r="AT23" s="164"/>
      <c r="AU23" s="116">
        <f t="shared" si="3"/>
        <v>675</v>
      </c>
      <c r="AV23" s="116">
        <f t="shared" si="3"/>
        <v>675</v>
      </c>
      <c r="AW23" s="168">
        <f t="shared" si="20"/>
        <v>1</v>
      </c>
      <c r="AX23" s="117">
        <f t="shared" si="4"/>
        <v>0</v>
      </c>
      <c r="AY23" s="117">
        <f t="shared" si="5"/>
        <v>175</v>
      </c>
      <c r="AZ23" s="117">
        <f t="shared" si="23"/>
        <v>500</v>
      </c>
      <c r="BA23" s="117">
        <f t="shared" si="24"/>
        <v>0</v>
      </c>
    </row>
    <row r="24" spans="1:53" ht="63" customHeight="1">
      <c r="A24" s="230"/>
      <c r="B24" s="254"/>
      <c r="C24" s="240"/>
      <c r="D24" s="246"/>
      <c r="E24" s="155" t="s">
        <v>3</v>
      </c>
      <c r="F24" s="158">
        <f t="shared" si="27"/>
        <v>675</v>
      </c>
      <c r="G24" s="158">
        <f t="shared" si="1"/>
        <v>675</v>
      </c>
      <c r="H24" s="160">
        <f t="shared" si="28"/>
        <v>1</v>
      </c>
      <c r="I24" s="158"/>
      <c r="J24" s="158"/>
      <c r="K24" s="160"/>
      <c r="L24" s="158"/>
      <c r="M24" s="158"/>
      <c r="N24" s="160"/>
      <c r="O24" s="158"/>
      <c r="P24" s="158"/>
      <c r="Q24" s="160"/>
      <c r="R24" s="158">
        <v>175</v>
      </c>
      <c r="S24" s="158">
        <v>175</v>
      </c>
      <c r="T24" s="160">
        <f t="shared" si="33"/>
        <v>1</v>
      </c>
      <c r="U24" s="161"/>
      <c r="V24" s="161"/>
      <c r="W24" s="161"/>
      <c r="X24" s="161"/>
      <c r="Y24" s="161"/>
      <c r="Z24" s="160"/>
      <c r="AA24" s="161"/>
      <c r="AB24" s="161"/>
      <c r="AC24" s="161"/>
      <c r="AD24" s="161">
        <v>132</v>
      </c>
      <c r="AE24" s="161">
        <v>132</v>
      </c>
      <c r="AF24" s="160">
        <f t="shared" si="11"/>
        <v>1</v>
      </c>
      <c r="AG24" s="161">
        <v>368</v>
      </c>
      <c r="AH24" s="161">
        <v>368</v>
      </c>
      <c r="AI24" s="160">
        <f t="shared" si="40"/>
        <v>1</v>
      </c>
      <c r="AJ24" s="158"/>
      <c r="AK24" s="158"/>
      <c r="AL24" s="158"/>
      <c r="AM24" s="161"/>
      <c r="AN24" s="161"/>
      <c r="AO24" s="161"/>
      <c r="AP24" s="158"/>
      <c r="AQ24" s="156"/>
      <c r="AR24" s="156"/>
      <c r="AS24" s="165" t="s">
        <v>448</v>
      </c>
      <c r="AT24" s="164"/>
      <c r="AU24" s="116">
        <f t="shared" ref="AU24:AV87" si="41">I24+L24+O24+R24+U24+X24+AA24+AD24+AG24</f>
        <v>675</v>
      </c>
      <c r="AV24" s="116">
        <f t="shared" si="41"/>
        <v>675</v>
      </c>
      <c r="AW24" s="168">
        <f t="shared" si="20"/>
        <v>1</v>
      </c>
      <c r="AX24" s="117">
        <f t="shared" si="4"/>
        <v>0</v>
      </c>
      <c r="AY24" s="117">
        <f t="shared" si="5"/>
        <v>175</v>
      </c>
      <c r="AZ24" s="117">
        <f t="shared" si="23"/>
        <v>500</v>
      </c>
      <c r="BA24" s="117">
        <f t="shared" si="24"/>
        <v>0</v>
      </c>
    </row>
    <row r="25" spans="1:53" ht="20.25" customHeight="1">
      <c r="A25" s="230"/>
      <c r="B25" s="254"/>
      <c r="C25" s="241"/>
      <c r="D25" s="247"/>
      <c r="E25" s="155" t="s">
        <v>44</v>
      </c>
      <c r="F25" s="158">
        <f t="shared" si="27"/>
        <v>0</v>
      </c>
      <c r="G25" s="158">
        <f t="shared" si="1"/>
        <v>0</v>
      </c>
      <c r="H25" s="160"/>
      <c r="I25" s="158"/>
      <c r="J25" s="158"/>
      <c r="K25" s="160"/>
      <c r="L25" s="158"/>
      <c r="M25" s="158"/>
      <c r="N25" s="160"/>
      <c r="O25" s="158"/>
      <c r="P25" s="158"/>
      <c r="Q25" s="160"/>
      <c r="R25" s="158"/>
      <c r="S25" s="158"/>
      <c r="T25" s="160"/>
      <c r="U25" s="161"/>
      <c r="V25" s="161"/>
      <c r="W25" s="161"/>
      <c r="X25" s="161"/>
      <c r="Y25" s="161"/>
      <c r="Z25" s="160"/>
      <c r="AA25" s="161"/>
      <c r="AB25" s="161"/>
      <c r="AC25" s="161"/>
      <c r="AD25" s="161"/>
      <c r="AE25" s="161"/>
      <c r="AF25" s="160"/>
      <c r="AG25" s="161"/>
      <c r="AH25" s="161"/>
      <c r="AI25" s="160"/>
      <c r="AJ25" s="158"/>
      <c r="AK25" s="158"/>
      <c r="AL25" s="158"/>
      <c r="AM25" s="161"/>
      <c r="AN25" s="161"/>
      <c r="AO25" s="161"/>
      <c r="AP25" s="158"/>
      <c r="AQ25" s="156"/>
      <c r="AR25" s="156"/>
      <c r="AS25" s="165"/>
      <c r="AT25" s="164"/>
      <c r="AU25" s="116">
        <f t="shared" si="41"/>
        <v>0</v>
      </c>
      <c r="AV25" s="116">
        <f t="shared" si="41"/>
        <v>0</v>
      </c>
      <c r="AW25" s="168"/>
      <c r="AX25" s="117">
        <f t="shared" si="4"/>
        <v>0</v>
      </c>
      <c r="AY25" s="117">
        <f t="shared" si="5"/>
        <v>0</v>
      </c>
      <c r="AZ25" s="117">
        <f t="shared" si="23"/>
        <v>0</v>
      </c>
      <c r="BA25" s="117">
        <f t="shared" si="24"/>
        <v>0</v>
      </c>
    </row>
    <row r="26" spans="1:53" ht="23.25" customHeight="1">
      <c r="A26" s="230" t="s">
        <v>355</v>
      </c>
      <c r="B26" s="254" t="s">
        <v>321</v>
      </c>
      <c r="C26" s="239" t="s">
        <v>271</v>
      </c>
      <c r="D26" s="242" t="s">
        <v>391</v>
      </c>
      <c r="E26" s="155" t="s">
        <v>42</v>
      </c>
      <c r="F26" s="158">
        <f t="shared" si="27"/>
        <v>0</v>
      </c>
      <c r="G26" s="158">
        <f t="shared" si="1"/>
        <v>0</v>
      </c>
      <c r="H26" s="160"/>
      <c r="I26" s="158">
        <f>SUM(I27:I28)</f>
        <v>0</v>
      </c>
      <c r="J26" s="158">
        <f>SUM(J27:J28)</f>
        <v>0</v>
      </c>
      <c r="K26" s="160"/>
      <c r="L26" s="158">
        <f>SUM(L27:L28)</f>
        <v>0</v>
      </c>
      <c r="M26" s="158">
        <f>SUM(M27:M28)</f>
        <v>0</v>
      </c>
      <c r="N26" s="160"/>
      <c r="O26" s="158">
        <f>SUM(O27:O28)</f>
        <v>0</v>
      </c>
      <c r="P26" s="158">
        <f>SUM(P27:P28)</f>
        <v>0</v>
      </c>
      <c r="Q26" s="160"/>
      <c r="R26" s="158">
        <f>SUM(R27:R28)</f>
        <v>0</v>
      </c>
      <c r="S26" s="158">
        <f>SUM(S27:S28)</f>
        <v>0</v>
      </c>
      <c r="T26" s="160"/>
      <c r="U26" s="158">
        <f t="shared" ref="U26:AR26" si="42">SUM(U27:U28)</f>
        <v>0</v>
      </c>
      <c r="V26" s="158">
        <f t="shared" si="42"/>
        <v>0</v>
      </c>
      <c r="W26" s="160"/>
      <c r="X26" s="158">
        <f t="shared" si="42"/>
        <v>0</v>
      </c>
      <c r="Y26" s="158">
        <f t="shared" si="42"/>
        <v>0</v>
      </c>
      <c r="Z26" s="160"/>
      <c r="AA26" s="158">
        <f t="shared" si="42"/>
        <v>0</v>
      </c>
      <c r="AB26" s="158">
        <f t="shared" si="42"/>
        <v>0</v>
      </c>
      <c r="AC26" s="160"/>
      <c r="AD26" s="158">
        <f t="shared" si="42"/>
        <v>0</v>
      </c>
      <c r="AE26" s="158">
        <f t="shared" si="42"/>
        <v>0</v>
      </c>
      <c r="AF26" s="158">
        <f t="shared" si="42"/>
        <v>0</v>
      </c>
      <c r="AG26" s="158">
        <f t="shared" si="42"/>
        <v>0</v>
      </c>
      <c r="AH26" s="158">
        <f t="shared" si="42"/>
        <v>0</v>
      </c>
      <c r="AI26" s="160"/>
      <c r="AJ26" s="158">
        <f t="shared" si="42"/>
        <v>0</v>
      </c>
      <c r="AK26" s="158">
        <f t="shared" si="42"/>
        <v>0</v>
      </c>
      <c r="AL26" s="158">
        <f t="shared" si="42"/>
        <v>0</v>
      </c>
      <c r="AM26" s="158">
        <f t="shared" si="42"/>
        <v>0</v>
      </c>
      <c r="AN26" s="158">
        <f t="shared" si="42"/>
        <v>0</v>
      </c>
      <c r="AO26" s="158">
        <f t="shared" si="42"/>
        <v>0</v>
      </c>
      <c r="AP26" s="158">
        <f t="shared" si="42"/>
        <v>0</v>
      </c>
      <c r="AQ26" s="156">
        <f t="shared" si="42"/>
        <v>0</v>
      </c>
      <c r="AR26" s="156">
        <f t="shared" si="42"/>
        <v>0</v>
      </c>
      <c r="AS26" s="165"/>
      <c r="AT26" s="164"/>
      <c r="AU26" s="116">
        <f t="shared" si="41"/>
        <v>0</v>
      </c>
      <c r="AV26" s="116">
        <f t="shared" si="41"/>
        <v>0</v>
      </c>
      <c r="AW26" s="168"/>
      <c r="AX26" s="117">
        <f t="shared" si="4"/>
        <v>0</v>
      </c>
      <c r="AY26" s="117">
        <f t="shared" si="5"/>
        <v>0</v>
      </c>
      <c r="AZ26" s="117">
        <f t="shared" si="23"/>
        <v>0</v>
      </c>
      <c r="BA26" s="117">
        <f t="shared" si="24"/>
        <v>0</v>
      </c>
    </row>
    <row r="27" spans="1:53" ht="23.25" customHeight="1">
      <c r="A27" s="230"/>
      <c r="B27" s="254"/>
      <c r="C27" s="240"/>
      <c r="D27" s="243"/>
      <c r="E27" s="155" t="s">
        <v>3</v>
      </c>
      <c r="F27" s="158">
        <f t="shared" si="27"/>
        <v>0</v>
      </c>
      <c r="G27" s="158">
        <f t="shared" si="1"/>
        <v>0</v>
      </c>
      <c r="H27" s="160"/>
      <c r="I27" s="158"/>
      <c r="J27" s="158"/>
      <c r="K27" s="160"/>
      <c r="L27" s="158"/>
      <c r="M27" s="158"/>
      <c r="N27" s="160"/>
      <c r="O27" s="158"/>
      <c r="P27" s="158"/>
      <c r="Q27" s="160"/>
      <c r="R27" s="158"/>
      <c r="S27" s="158"/>
      <c r="T27" s="160"/>
      <c r="U27" s="161"/>
      <c r="V27" s="161"/>
      <c r="W27" s="160"/>
      <c r="X27" s="161"/>
      <c r="Y27" s="161"/>
      <c r="Z27" s="160"/>
      <c r="AA27" s="161"/>
      <c r="AB27" s="161"/>
      <c r="AC27" s="160"/>
      <c r="AD27" s="161"/>
      <c r="AE27" s="161"/>
      <c r="AF27" s="161"/>
      <c r="AG27" s="161"/>
      <c r="AH27" s="161"/>
      <c r="AI27" s="160"/>
      <c r="AJ27" s="158"/>
      <c r="AK27" s="158"/>
      <c r="AL27" s="158"/>
      <c r="AM27" s="161"/>
      <c r="AN27" s="161"/>
      <c r="AO27" s="161"/>
      <c r="AP27" s="158"/>
      <c r="AQ27" s="156"/>
      <c r="AR27" s="156"/>
      <c r="AS27" s="165"/>
      <c r="AT27" s="164"/>
      <c r="AU27" s="116">
        <f t="shared" si="41"/>
        <v>0</v>
      </c>
      <c r="AV27" s="116">
        <f t="shared" si="41"/>
        <v>0</v>
      </c>
      <c r="AW27" s="168"/>
      <c r="AX27" s="117">
        <f t="shared" si="4"/>
        <v>0</v>
      </c>
      <c r="AY27" s="117">
        <f t="shared" si="5"/>
        <v>0</v>
      </c>
      <c r="AZ27" s="117">
        <f t="shared" si="23"/>
        <v>0</v>
      </c>
      <c r="BA27" s="117">
        <f t="shared" si="24"/>
        <v>0</v>
      </c>
    </row>
    <row r="28" spans="1:53" ht="23.25" customHeight="1">
      <c r="A28" s="230"/>
      <c r="B28" s="254"/>
      <c r="C28" s="241"/>
      <c r="D28" s="244"/>
      <c r="E28" s="155" t="s">
        <v>44</v>
      </c>
      <c r="F28" s="158">
        <f t="shared" si="27"/>
        <v>0</v>
      </c>
      <c r="G28" s="158">
        <f t="shared" si="1"/>
        <v>0</v>
      </c>
      <c r="H28" s="160"/>
      <c r="I28" s="158"/>
      <c r="J28" s="158"/>
      <c r="K28" s="160"/>
      <c r="L28" s="158"/>
      <c r="M28" s="158"/>
      <c r="N28" s="160"/>
      <c r="O28" s="158"/>
      <c r="P28" s="158"/>
      <c r="Q28" s="160"/>
      <c r="R28" s="158"/>
      <c r="S28" s="158"/>
      <c r="T28" s="160"/>
      <c r="U28" s="161"/>
      <c r="V28" s="161"/>
      <c r="W28" s="161"/>
      <c r="X28" s="161"/>
      <c r="Y28" s="161"/>
      <c r="Z28" s="160"/>
      <c r="AA28" s="161"/>
      <c r="AB28" s="161"/>
      <c r="AC28" s="160"/>
      <c r="AD28" s="161"/>
      <c r="AE28" s="161"/>
      <c r="AF28" s="161"/>
      <c r="AG28" s="161"/>
      <c r="AH28" s="161"/>
      <c r="AI28" s="160"/>
      <c r="AJ28" s="158"/>
      <c r="AK28" s="158"/>
      <c r="AL28" s="158"/>
      <c r="AM28" s="161"/>
      <c r="AN28" s="161"/>
      <c r="AO28" s="161"/>
      <c r="AP28" s="158"/>
      <c r="AQ28" s="156"/>
      <c r="AR28" s="156"/>
      <c r="AS28" s="164"/>
      <c r="AT28" s="164"/>
      <c r="AU28" s="116">
        <f t="shared" si="41"/>
        <v>0</v>
      </c>
      <c r="AV28" s="116">
        <f t="shared" si="41"/>
        <v>0</v>
      </c>
      <c r="AW28" s="168"/>
      <c r="AX28" s="117">
        <f t="shared" si="4"/>
        <v>0</v>
      </c>
      <c r="AY28" s="117">
        <f t="shared" si="5"/>
        <v>0</v>
      </c>
      <c r="AZ28" s="117">
        <f t="shared" si="23"/>
        <v>0</v>
      </c>
      <c r="BA28" s="117">
        <f t="shared" si="24"/>
        <v>0</v>
      </c>
    </row>
    <row r="29" spans="1:53" ht="25.5" customHeight="1">
      <c r="A29" s="230" t="s">
        <v>356</v>
      </c>
      <c r="B29" s="254" t="s">
        <v>322</v>
      </c>
      <c r="C29" s="239" t="s">
        <v>272</v>
      </c>
      <c r="D29" s="245" t="s">
        <v>286</v>
      </c>
      <c r="E29" s="155" t="s">
        <v>42</v>
      </c>
      <c r="F29" s="158">
        <f t="shared" si="27"/>
        <v>40</v>
      </c>
      <c r="G29" s="158">
        <f t="shared" si="1"/>
        <v>40</v>
      </c>
      <c r="H29" s="160">
        <f t="shared" si="28"/>
        <v>1</v>
      </c>
      <c r="I29" s="158">
        <f>SUM(I30:I31)</f>
        <v>0</v>
      </c>
      <c r="J29" s="158">
        <f>SUM(J30:J31)</f>
        <v>0</v>
      </c>
      <c r="K29" s="160"/>
      <c r="L29" s="158">
        <f>SUM(L30:L31)</f>
        <v>0</v>
      </c>
      <c r="M29" s="158">
        <f>SUM(M30:M31)</f>
        <v>0</v>
      </c>
      <c r="N29" s="160"/>
      <c r="O29" s="158">
        <f>SUM(O30:O31)</f>
        <v>0</v>
      </c>
      <c r="P29" s="158">
        <f>SUM(P30:P31)</f>
        <v>0</v>
      </c>
      <c r="Q29" s="160"/>
      <c r="R29" s="158">
        <f>SUM(R30:R31)</f>
        <v>40</v>
      </c>
      <c r="S29" s="158">
        <f>SUM(S30:S31)</f>
        <v>29.66</v>
      </c>
      <c r="T29" s="160">
        <f t="shared" si="33"/>
        <v>0.74150000000000005</v>
      </c>
      <c r="U29" s="158">
        <f t="shared" ref="U29:AR29" si="43">SUM(U30:U31)</f>
        <v>0</v>
      </c>
      <c r="V29" s="158">
        <f t="shared" si="43"/>
        <v>0</v>
      </c>
      <c r="W29" s="160"/>
      <c r="X29" s="158">
        <f t="shared" si="43"/>
        <v>0</v>
      </c>
      <c r="Y29" s="158">
        <f t="shared" si="43"/>
        <v>0</v>
      </c>
      <c r="Z29" s="160"/>
      <c r="AA29" s="158">
        <f t="shared" si="43"/>
        <v>0</v>
      </c>
      <c r="AB29" s="158">
        <f t="shared" si="43"/>
        <v>0</v>
      </c>
      <c r="AC29" s="160"/>
      <c r="AD29" s="158">
        <f t="shared" si="43"/>
        <v>0</v>
      </c>
      <c r="AE29" s="158">
        <f t="shared" si="43"/>
        <v>10.34</v>
      </c>
      <c r="AF29" s="160"/>
      <c r="AG29" s="158">
        <f t="shared" si="43"/>
        <v>0</v>
      </c>
      <c r="AH29" s="158">
        <f t="shared" si="43"/>
        <v>0</v>
      </c>
      <c r="AI29" s="160" t="e">
        <f t="shared" si="12"/>
        <v>#DIV/0!</v>
      </c>
      <c r="AJ29" s="158">
        <f t="shared" si="43"/>
        <v>0</v>
      </c>
      <c r="AK29" s="158">
        <f t="shared" si="43"/>
        <v>0</v>
      </c>
      <c r="AL29" s="160" t="e">
        <f t="shared" ref="AL29" si="44">AK29/AJ29</f>
        <v>#DIV/0!</v>
      </c>
      <c r="AM29" s="158">
        <f t="shared" si="43"/>
        <v>0</v>
      </c>
      <c r="AN29" s="158">
        <f t="shared" si="43"/>
        <v>0</v>
      </c>
      <c r="AO29" s="160" t="e">
        <f t="shared" ref="AO29" si="45">AN29/AM29</f>
        <v>#DIV/0!</v>
      </c>
      <c r="AP29" s="158">
        <f t="shared" si="43"/>
        <v>0</v>
      </c>
      <c r="AQ29" s="156">
        <f t="shared" si="43"/>
        <v>0</v>
      </c>
      <c r="AR29" s="156">
        <f t="shared" si="43"/>
        <v>0</v>
      </c>
      <c r="AS29" s="119"/>
      <c r="AT29" s="120"/>
      <c r="AU29" s="116">
        <f t="shared" si="41"/>
        <v>40</v>
      </c>
      <c r="AV29" s="116">
        <f t="shared" si="41"/>
        <v>40</v>
      </c>
      <c r="AW29" s="168">
        <f t="shared" si="20"/>
        <v>1</v>
      </c>
      <c r="AX29" s="117">
        <f t="shared" si="4"/>
        <v>0</v>
      </c>
      <c r="AY29" s="117">
        <f t="shared" si="5"/>
        <v>40</v>
      </c>
      <c r="AZ29" s="117">
        <f t="shared" si="23"/>
        <v>0</v>
      </c>
      <c r="BA29" s="117">
        <f t="shared" si="24"/>
        <v>0</v>
      </c>
    </row>
    <row r="30" spans="1:53" ht="30" customHeight="1">
      <c r="A30" s="230"/>
      <c r="B30" s="254"/>
      <c r="C30" s="240"/>
      <c r="D30" s="246"/>
      <c r="E30" s="155" t="s">
        <v>3</v>
      </c>
      <c r="F30" s="158">
        <f t="shared" si="27"/>
        <v>0</v>
      </c>
      <c r="G30" s="158">
        <f t="shared" si="1"/>
        <v>0</v>
      </c>
      <c r="H30" s="160"/>
      <c r="I30" s="158"/>
      <c r="J30" s="158"/>
      <c r="K30" s="160"/>
      <c r="L30" s="158"/>
      <c r="M30" s="158"/>
      <c r="N30" s="160"/>
      <c r="O30" s="158"/>
      <c r="P30" s="158"/>
      <c r="Q30" s="160"/>
      <c r="R30" s="158"/>
      <c r="S30" s="158"/>
      <c r="T30" s="160"/>
      <c r="U30" s="161"/>
      <c r="V30" s="161"/>
      <c r="W30" s="160"/>
      <c r="X30" s="161"/>
      <c r="Y30" s="161"/>
      <c r="Z30" s="160"/>
      <c r="AA30" s="161"/>
      <c r="AB30" s="161"/>
      <c r="AC30" s="160"/>
      <c r="AD30" s="161"/>
      <c r="AE30" s="161"/>
      <c r="AF30" s="160"/>
      <c r="AG30" s="161"/>
      <c r="AH30" s="161"/>
      <c r="AI30" s="160"/>
      <c r="AJ30" s="158"/>
      <c r="AK30" s="158"/>
      <c r="AL30" s="158"/>
      <c r="AM30" s="161"/>
      <c r="AN30" s="161"/>
      <c r="AO30" s="158"/>
      <c r="AP30" s="158"/>
      <c r="AQ30" s="156"/>
      <c r="AR30" s="156"/>
      <c r="AS30" s="119"/>
      <c r="AT30" s="120"/>
      <c r="AU30" s="116">
        <f t="shared" si="41"/>
        <v>0</v>
      </c>
      <c r="AV30" s="116">
        <f t="shared" si="41"/>
        <v>0</v>
      </c>
      <c r="AW30" s="168"/>
      <c r="AX30" s="117">
        <f t="shared" si="4"/>
        <v>0</v>
      </c>
      <c r="AY30" s="117">
        <f t="shared" si="5"/>
        <v>0</v>
      </c>
      <c r="AZ30" s="117">
        <f t="shared" si="23"/>
        <v>0</v>
      </c>
      <c r="BA30" s="117">
        <f t="shared" si="24"/>
        <v>0</v>
      </c>
    </row>
    <row r="31" spans="1:53" ht="46.5" customHeight="1">
      <c r="A31" s="230"/>
      <c r="B31" s="254"/>
      <c r="C31" s="241"/>
      <c r="D31" s="247"/>
      <c r="E31" s="155" t="s">
        <v>44</v>
      </c>
      <c r="F31" s="110">
        <f t="shared" si="27"/>
        <v>40</v>
      </c>
      <c r="G31" s="110">
        <f t="shared" si="1"/>
        <v>40</v>
      </c>
      <c r="H31" s="160">
        <f t="shared" si="28"/>
        <v>1</v>
      </c>
      <c r="I31" s="158"/>
      <c r="J31" s="158"/>
      <c r="K31" s="160"/>
      <c r="L31" s="158"/>
      <c r="M31" s="158"/>
      <c r="N31" s="160"/>
      <c r="O31" s="158"/>
      <c r="P31" s="158"/>
      <c r="Q31" s="160"/>
      <c r="R31" s="158">
        <v>40</v>
      </c>
      <c r="S31" s="158">
        <v>29.66</v>
      </c>
      <c r="T31" s="160">
        <f t="shared" si="33"/>
        <v>0.74150000000000005</v>
      </c>
      <c r="U31" s="161"/>
      <c r="V31" s="161"/>
      <c r="W31" s="160"/>
      <c r="X31" s="161"/>
      <c r="Y31" s="161"/>
      <c r="Z31" s="160"/>
      <c r="AA31" s="161"/>
      <c r="AB31" s="161"/>
      <c r="AC31" s="160"/>
      <c r="AD31" s="161"/>
      <c r="AE31" s="161">
        <v>10.34</v>
      </c>
      <c r="AF31" s="160"/>
      <c r="AG31" s="161"/>
      <c r="AH31" s="161"/>
      <c r="AI31" s="160" t="e">
        <f t="shared" si="12"/>
        <v>#DIV/0!</v>
      </c>
      <c r="AJ31" s="158"/>
      <c r="AK31" s="158"/>
      <c r="AL31" s="160" t="e">
        <f t="shared" ref="AL31" si="46">AK31/AJ31</f>
        <v>#DIV/0!</v>
      </c>
      <c r="AM31" s="161"/>
      <c r="AN31" s="161"/>
      <c r="AO31" s="160" t="e">
        <f t="shared" ref="AO31" si="47">AN31/AM31</f>
        <v>#DIV/0!</v>
      </c>
      <c r="AP31" s="158"/>
      <c r="AQ31" s="156"/>
      <c r="AR31" s="156"/>
      <c r="AS31" s="164" t="s">
        <v>449</v>
      </c>
      <c r="AT31" s="164"/>
      <c r="AU31" s="116">
        <f t="shared" si="41"/>
        <v>40</v>
      </c>
      <c r="AV31" s="116">
        <f t="shared" si="41"/>
        <v>40</v>
      </c>
      <c r="AW31" s="168">
        <f t="shared" si="20"/>
        <v>1</v>
      </c>
      <c r="AX31" s="117">
        <f t="shared" si="4"/>
        <v>0</v>
      </c>
      <c r="AY31" s="117">
        <f t="shared" si="5"/>
        <v>40</v>
      </c>
      <c r="AZ31" s="117">
        <f t="shared" si="23"/>
        <v>0</v>
      </c>
      <c r="BA31" s="117">
        <f t="shared" si="24"/>
        <v>0</v>
      </c>
    </row>
    <row r="32" spans="1:53" ht="18" customHeight="1">
      <c r="A32" s="230" t="s">
        <v>357</v>
      </c>
      <c r="B32" s="254" t="s">
        <v>323</v>
      </c>
      <c r="C32" s="239" t="s">
        <v>271</v>
      </c>
      <c r="D32" s="242" t="s">
        <v>284</v>
      </c>
      <c r="E32" s="155" t="s">
        <v>42</v>
      </c>
      <c r="F32" s="158">
        <f t="shared" si="27"/>
        <v>0</v>
      </c>
      <c r="G32" s="158">
        <f t="shared" si="1"/>
        <v>0</v>
      </c>
      <c r="H32" s="160"/>
      <c r="I32" s="156">
        <f>SUM(I33:I34)</f>
        <v>0</v>
      </c>
      <c r="J32" s="156">
        <f>SUM(J33:J34)</f>
        <v>0</v>
      </c>
      <c r="K32" s="160"/>
      <c r="L32" s="158">
        <f>SUM(L33:L34)</f>
        <v>0</v>
      </c>
      <c r="M32" s="158">
        <f>SUM(M33:M34)</f>
        <v>0</v>
      </c>
      <c r="N32" s="160"/>
      <c r="O32" s="158">
        <f>SUM(O33:O34)</f>
        <v>0</v>
      </c>
      <c r="P32" s="158">
        <f>SUM(P33:P34)</f>
        <v>0</v>
      </c>
      <c r="Q32" s="160"/>
      <c r="R32" s="158">
        <f>SUM(R33:R34)</f>
        <v>0</v>
      </c>
      <c r="S32" s="158">
        <f>SUM(S33:S34)</f>
        <v>0</v>
      </c>
      <c r="T32" s="160"/>
      <c r="U32" s="158">
        <f t="shared" ref="U32:AR32" si="48">SUM(U33:U34)</f>
        <v>0</v>
      </c>
      <c r="V32" s="158">
        <f t="shared" si="48"/>
        <v>0</v>
      </c>
      <c r="W32" s="160"/>
      <c r="X32" s="158">
        <f t="shared" si="48"/>
        <v>0</v>
      </c>
      <c r="Y32" s="158">
        <f t="shared" si="48"/>
        <v>0</v>
      </c>
      <c r="Z32" s="160"/>
      <c r="AA32" s="158">
        <f t="shared" si="48"/>
        <v>0</v>
      </c>
      <c r="AB32" s="158">
        <f t="shared" si="48"/>
        <v>0</v>
      </c>
      <c r="AC32" s="158">
        <f t="shared" si="48"/>
        <v>0</v>
      </c>
      <c r="AD32" s="158">
        <f t="shared" si="48"/>
        <v>0</v>
      </c>
      <c r="AE32" s="158">
        <f t="shared" si="48"/>
        <v>0</v>
      </c>
      <c r="AF32" s="158">
        <f t="shared" si="48"/>
        <v>0</v>
      </c>
      <c r="AG32" s="158">
        <f t="shared" si="48"/>
        <v>0</v>
      </c>
      <c r="AH32" s="158">
        <f t="shared" si="48"/>
        <v>0</v>
      </c>
      <c r="AI32" s="160"/>
      <c r="AJ32" s="158">
        <f t="shared" si="48"/>
        <v>0</v>
      </c>
      <c r="AK32" s="158">
        <f t="shared" si="48"/>
        <v>0</v>
      </c>
      <c r="AL32" s="158">
        <f t="shared" si="48"/>
        <v>0</v>
      </c>
      <c r="AM32" s="158">
        <f t="shared" si="48"/>
        <v>0</v>
      </c>
      <c r="AN32" s="158">
        <f t="shared" si="48"/>
        <v>0</v>
      </c>
      <c r="AO32" s="158">
        <f t="shared" si="48"/>
        <v>0</v>
      </c>
      <c r="AP32" s="158">
        <f t="shared" si="48"/>
        <v>0</v>
      </c>
      <c r="AQ32" s="156">
        <f t="shared" si="48"/>
        <v>0</v>
      </c>
      <c r="AR32" s="156">
        <f t="shared" si="48"/>
        <v>0</v>
      </c>
      <c r="AS32" s="165"/>
      <c r="AT32" s="164"/>
      <c r="AU32" s="116">
        <f t="shared" si="41"/>
        <v>0</v>
      </c>
      <c r="AV32" s="116">
        <f t="shared" si="41"/>
        <v>0</v>
      </c>
      <c r="AW32" s="168"/>
      <c r="AX32" s="117">
        <f t="shared" si="4"/>
        <v>0</v>
      </c>
      <c r="AY32" s="117">
        <f t="shared" si="5"/>
        <v>0</v>
      </c>
      <c r="AZ32" s="117">
        <f t="shared" si="23"/>
        <v>0</v>
      </c>
      <c r="BA32" s="117">
        <f t="shared" si="24"/>
        <v>0</v>
      </c>
    </row>
    <row r="33" spans="1:54" ht="18" customHeight="1">
      <c r="A33" s="230"/>
      <c r="B33" s="254"/>
      <c r="C33" s="240"/>
      <c r="D33" s="243"/>
      <c r="E33" s="155" t="s">
        <v>3</v>
      </c>
      <c r="F33" s="158">
        <f t="shared" si="27"/>
        <v>0</v>
      </c>
      <c r="G33" s="158">
        <f t="shared" si="1"/>
        <v>0</v>
      </c>
      <c r="H33" s="160"/>
      <c r="I33" s="156"/>
      <c r="J33" s="156"/>
      <c r="K33" s="160"/>
      <c r="L33" s="158"/>
      <c r="M33" s="158"/>
      <c r="N33" s="160"/>
      <c r="O33" s="158"/>
      <c r="P33" s="158"/>
      <c r="Q33" s="160"/>
      <c r="R33" s="158"/>
      <c r="S33" s="158"/>
      <c r="T33" s="160"/>
      <c r="U33" s="161"/>
      <c r="V33" s="161"/>
      <c r="W33" s="161"/>
      <c r="X33" s="161"/>
      <c r="Y33" s="161"/>
      <c r="Z33" s="160"/>
      <c r="AA33" s="161"/>
      <c r="AB33" s="161"/>
      <c r="AC33" s="161"/>
      <c r="AD33" s="161"/>
      <c r="AE33" s="161"/>
      <c r="AF33" s="161"/>
      <c r="AG33" s="161"/>
      <c r="AH33" s="161"/>
      <c r="AI33" s="160"/>
      <c r="AJ33" s="158"/>
      <c r="AK33" s="158"/>
      <c r="AL33" s="158"/>
      <c r="AM33" s="161"/>
      <c r="AN33" s="161"/>
      <c r="AO33" s="158"/>
      <c r="AP33" s="158"/>
      <c r="AQ33" s="156"/>
      <c r="AR33" s="156"/>
      <c r="AS33" s="165"/>
      <c r="AT33" s="164"/>
      <c r="AU33" s="116">
        <f t="shared" si="41"/>
        <v>0</v>
      </c>
      <c r="AV33" s="116">
        <f t="shared" si="41"/>
        <v>0</v>
      </c>
      <c r="AW33" s="168"/>
      <c r="AX33" s="117">
        <f t="shared" si="4"/>
        <v>0</v>
      </c>
      <c r="AY33" s="117">
        <f t="shared" si="5"/>
        <v>0</v>
      </c>
      <c r="AZ33" s="117">
        <f t="shared" si="23"/>
        <v>0</v>
      </c>
      <c r="BA33" s="117">
        <f t="shared" si="24"/>
        <v>0</v>
      </c>
    </row>
    <row r="34" spans="1:54" ht="18" customHeight="1">
      <c r="A34" s="230"/>
      <c r="B34" s="254"/>
      <c r="C34" s="241"/>
      <c r="D34" s="244"/>
      <c r="E34" s="155" t="s">
        <v>44</v>
      </c>
      <c r="F34" s="158">
        <f t="shared" si="27"/>
        <v>0</v>
      </c>
      <c r="G34" s="158">
        <f t="shared" si="1"/>
        <v>0</v>
      </c>
      <c r="H34" s="160"/>
      <c r="I34" s="156"/>
      <c r="J34" s="156"/>
      <c r="K34" s="160"/>
      <c r="L34" s="158"/>
      <c r="M34" s="158"/>
      <c r="N34" s="160"/>
      <c r="O34" s="158"/>
      <c r="P34" s="158"/>
      <c r="Q34" s="160"/>
      <c r="R34" s="158"/>
      <c r="S34" s="158"/>
      <c r="T34" s="160"/>
      <c r="U34" s="161"/>
      <c r="V34" s="161"/>
      <c r="W34" s="161"/>
      <c r="X34" s="161"/>
      <c r="Y34" s="161"/>
      <c r="Z34" s="160"/>
      <c r="AA34" s="161"/>
      <c r="AB34" s="161"/>
      <c r="AC34" s="161"/>
      <c r="AD34" s="161"/>
      <c r="AE34" s="161"/>
      <c r="AF34" s="161"/>
      <c r="AG34" s="161"/>
      <c r="AH34" s="161"/>
      <c r="AI34" s="160"/>
      <c r="AJ34" s="158"/>
      <c r="AK34" s="158"/>
      <c r="AL34" s="158"/>
      <c r="AM34" s="161"/>
      <c r="AN34" s="161"/>
      <c r="AO34" s="158"/>
      <c r="AP34" s="158"/>
      <c r="AQ34" s="156"/>
      <c r="AR34" s="156"/>
      <c r="AS34" s="165"/>
      <c r="AT34" s="164"/>
      <c r="AU34" s="116">
        <f t="shared" si="41"/>
        <v>0</v>
      </c>
      <c r="AV34" s="116">
        <f t="shared" si="41"/>
        <v>0</v>
      </c>
      <c r="AW34" s="168"/>
      <c r="AX34" s="117">
        <f t="shared" si="4"/>
        <v>0</v>
      </c>
      <c r="AY34" s="117">
        <f t="shared" si="5"/>
        <v>0</v>
      </c>
      <c r="AZ34" s="117">
        <f t="shared" si="23"/>
        <v>0</v>
      </c>
      <c r="BA34" s="117">
        <f t="shared" si="24"/>
        <v>0</v>
      </c>
    </row>
    <row r="35" spans="1:54" ht="21" customHeight="1">
      <c r="A35" s="230" t="s">
        <v>358</v>
      </c>
      <c r="B35" s="238" t="s">
        <v>324</v>
      </c>
      <c r="C35" s="239" t="s">
        <v>272</v>
      </c>
      <c r="D35" s="245">
        <v>8</v>
      </c>
      <c r="E35" s="155" t="s">
        <v>42</v>
      </c>
      <c r="F35" s="158">
        <f t="shared" si="27"/>
        <v>596451.11199999996</v>
      </c>
      <c r="G35" s="158">
        <f t="shared" si="1"/>
        <v>424151.37306000007</v>
      </c>
      <c r="H35" s="160">
        <f t="shared" si="28"/>
        <v>0.7111251274857211</v>
      </c>
      <c r="I35" s="158">
        <f>SUM(I36:I37)</f>
        <v>10960</v>
      </c>
      <c r="J35" s="158">
        <f>SUM(J36:J37)</f>
        <v>10960</v>
      </c>
      <c r="K35" s="160">
        <f t="shared" si="32"/>
        <v>1</v>
      </c>
      <c r="L35" s="158">
        <f>SUM(L36:L37)</f>
        <v>47509.375</v>
      </c>
      <c r="M35" s="158">
        <f>SUM(M36:M37)</f>
        <v>44622.981</v>
      </c>
      <c r="N35" s="160">
        <f t="shared" ref="N35:N40" si="49">M35/L35</f>
        <v>0.93924580148654868</v>
      </c>
      <c r="O35" s="158">
        <f>SUM(O36:O37)</f>
        <v>51087.55</v>
      </c>
      <c r="P35" s="158">
        <f>SUM(P36:P37)</f>
        <v>53451.660280000004</v>
      </c>
      <c r="Q35" s="160">
        <f t="shared" si="29"/>
        <v>1.0462756636401629</v>
      </c>
      <c r="R35" s="158">
        <f>SUM(R36:R37)</f>
        <v>57452.819000000003</v>
      </c>
      <c r="S35" s="158">
        <f>SUM(S36:S37)</f>
        <v>52875.102140000003</v>
      </c>
      <c r="T35" s="160">
        <f t="shared" si="33"/>
        <v>0.92032215407915841</v>
      </c>
      <c r="U35" s="158">
        <f t="shared" ref="U35:AR35" si="50">SUM(U36:U37)</f>
        <v>66838.650999999998</v>
      </c>
      <c r="V35" s="158">
        <f t="shared" si="50"/>
        <v>71838.650999999998</v>
      </c>
      <c r="W35" s="160">
        <f>V35/U35</f>
        <v>1.0748070154797109</v>
      </c>
      <c r="X35" s="158">
        <f t="shared" si="50"/>
        <v>104965.80799999999</v>
      </c>
      <c r="Y35" s="158">
        <f t="shared" si="50"/>
        <v>104743.07986999999</v>
      </c>
      <c r="Z35" s="160">
        <f t="shared" si="35"/>
        <v>0.99787808873914441</v>
      </c>
      <c r="AA35" s="158">
        <f t="shared" si="50"/>
        <v>37319.050860000003</v>
      </c>
      <c r="AB35" s="158">
        <f t="shared" si="50"/>
        <v>37432.147029999978</v>
      </c>
      <c r="AC35" s="160">
        <f t="shared" ref="AC35:AC40" si="51">AB35/AA35</f>
        <v>1.0030305210715098</v>
      </c>
      <c r="AD35" s="158">
        <f t="shared" si="50"/>
        <v>15956.44814</v>
      </c>
      <c r="AE35" s="158">
        <f t="shared" si="50"/>
        <v>15550.5995</v>
      </c>
      <c r="AF35" s="160">
        <f t="shared" ref="AF35:AF40" si="52">AE35/AD35</f>
        <v>0.97456522676982171</v>
      </c>
      <c r="AG35" s="158">
        <f t="shared" si="50"/>
        <v>33082.380770000003</v>
      </c>
      <c r="AH35" s="158">
        <f t="shared" si="50"/>
        <v>32677.152239999999</v>
      </c>
      <c r="AI35" s="160">
        <f t="shared" si="12"/>
        <v>0.98775092600447079</v>
      </c>
      <c r="AJ35" s="158">
        <f t="shared" si="50"/>
        <v>46522.093000000001</v>
      </c>
      <c r="AK35" s="158">
        <f t="shared" si="50"/>
        <v>0</v>
      </c>
      <c r="AL35" s="160">
        <f t="shared" ref="AL35:AL40" si="53">AK35/AJ35</f>
        <v>0</v>
      </c>
      <c r="AM35" s="158">
        <f t="shared" si="50"/>
        <v>47282.353000000003</v>
      </c>
      <c r="AN35" s="158">
        <f t="shared" si="50"/>
        <v>0</v>
      </c>
      <c r="AO35" s="160">
        <f t="shared" ref="AO35:AO40" si="54">AN35/AM35</f>
        <v>0</v>
      </c>
      <c r="AP35" s="158">
        <f t="shared" si="50"/>
        <v>77474.583230000018</v>
      </c>
      <c r="AQ35" s="156">
        <f t="shared" si="50"/>
        <v>0</v>
      </c>
      <c r="AR35" s="156">
        <f t="shared" si="50"/>
        <v>0</v>
      </c>
      <c r="AS35" s="165"/>
      <c r="AT35" s="164"/>
      <c r="AU35" s="116">
        <f t="shared" si="41"/>
        <v>425172.08276999998</v>
      </c>
      <c r="AV35" s="116">
        <f t="shared" si="41"/>
        <v>424151.37306000007</v>
      </c>
      <c r="AW35" s="168">
        <f t="shared" si="20"/>
        <v>0.99759930213820724</v>
      </c>
      <c r="AX35" s="117">
        <f t="shared" si="4"/>
        <v>109556.925</v>
      </c>
      <c r="AY35" s="117">
        <f t="shared" si="5"/>
        <v>229257.27799999999</v>
      </c>
      <c r="AZ35" s="117">
        <f t="shared" si="23"/>
        <v>86357.87977</v>
      </c>
      <c r="BA35" s="117">
        <f t="shared" si="24"/>
        <v>171279.02923000001</v>
      </c>
    </row>
    <row r="36" spans="1:54" ht="106.5" customHeight="1">
      <c r="A36" s="230"/>
      <c r="B36" s="238"/>
      <c r="C36" s="240"/>
      <c r="D36" s="246"/>
      <c r="E36" s="155" t="s">
        <v>3</v>
      </c>
      <c r="F36" s="174">
        <f t="shared" si="27"/>
        <v>549214.9</v>
      </c>
      <c r="G36" s="158">
        <f t="shared" si="1"/>
        <v>394226.85277</v>
      </c>
      <c r="H36" s="160">
        <f t="shared" si="28"/>
        <v>0.71780072385144678</v>
      </c>
      <c r="I36" s="158">
        <v>10510</v>
      </c>
      <c r="J36" s="158">
        <v>10510</v>
      </c>
      <c r="K36" s="160">
        <f t="shared" si="32"/>
        <v>1</v>
      </c>
      <c r="L36" s="158">
        <v>43593.4</v>
      </c>
      <c r="M36" s="158">
        <v>40707.006000000001</v>
      </c>
      <c r="N36" s="160">
        <f t="shared" si="49"/>
        <v>0.93378827987722912</v>
      </c>
      <c r="O36" s="158">
        <v>45283.4</v>
      </c>
      <c r="P36" s="158">
        <v>48169.794000000002</v>
      </c>
      <c r="Q36" s="160">
        <f t="shared" si="29"/>
        <v>1.0637406643494085</v>
      </c>
      <c r="R36" s="158">
        <f>48559+3500</f>
        <v>52059</v>
      </c>
      <c r="S36" s="158">
        <v>46959</v>
      </c>
      <c r="T36" s="160">
        <v>0</v>
      </c>
      <c r="U36" s="161">
        <v>63484</v>
      </c>
      <c r="V36" s="161">
        <v>68584</v>
      </c>
      <c r="W36" s="160">
        <f>V36/U36</f>
        <v>1.0803352025707265</v>
      </c>
      <c r="X36" s="161">
        <v>102084.79999999999</v>
      </c>
      <c r="Y36" s="161">
        <v>101801.89109999999</v>
      </c>
      <c r="Z36" s="160">
        <f t="shared" si="35"/>
        <v>0.99722868732661474</v>
      </c>
      <c r="AA36" s="161">
        <v>33025.978000000003</v>
      </c>
      <c r="AB36" s="161">
        <v>33139.074169999978</v>
      </c>
      <c r="AC36" s="160">
        <f t="shared" si="51"/>
        <v>1.0034244608895451</v>
      </c>
      <c r="AD36" s="161">
        <v>13539.5</v>
      </c>
      <c r="AE36" s="161">
        <v>13326.0875</v>
      </c>
      <c r="AF36" s="160">
        <f t="shared" si="52"/>
        <v>0.98423778573802578</v>
      </c>
      <c r="AG36" s="161">
        <f>31030-254</f>
        <v>30776</v>
      </c>
      <c r="AH36" s="161">
        <v>31030</v>
      </c>
      <c r="AI36" s="160">
        <f t="shared" si="12"/>
        <v>1.0082531842994542</v>
      </c>
      <c r="AJ36" s="158">
        <v>41396</v>
      </c>
      <c r="AK36" s="158"/>
      <c r="AL36" s="160">
        <v>0</v>
      </c>
      <c r="AM36" s="161">
        <v>43028.978000000003</v>
      </c>
      <c r="AN36" s="161"/>
      <c r="AO36" s="160">
        <v>0</v>
      </c>
      <c r="AP36" s="158">
        <f>82300.244-2089-9777.4</f>
        <v>70433.844000000012</v>
      </c>
      <c r="AQ36" s="156"/>
      <c r="AR36" s="156"/>
      <c r="AS36" s="164" t="s">
        <v>441</v>
      </c>
      <c r="AT36" s="164" t="s">
        <v>438</v>
      </c>
      <c r="AU36" s="116">
        <f t="shared" si="41"/>
        <v>394356.07799999998</v>
      </c>
      <c r="AV36" s="116">
        <f t="shared" si="41"/>
        <v>394226.85277</v>
      </c>
      <c r="AW36" s="168">
        <f t="shared" si="20"/>
        <v>0.99967231332998507</v>
      </c>
      <c r="AX36" s="117">
        <f t="shared" si="4"/>
        <v>99386.8</v>
      </c>
      <c r="AY36" s="117">
        <f t="shared" si="5"/>
        <v>217627.8</v>
      </c>
      <c r="AZ36" s="117">
        <f t="shared" si="23"/>
        <v>77341.478000000003</v>
      </c>
      <c r="BA36" s="117">
        <f t="shared" si="24"/>
        <v>154858.82200000001</v>
      </c>
    </row>
    <row r="37" spans="1:54" ht="165.75" customHeight="1">
      <c r="A37" s="230"/>
      <c r="B37" s="238"/>
      <c r="C37" s="241"/>
      <c r="D37" s="247"/>
      <c r="E37" s="155" t="s">
        <v>44</v>
      </c>
      <c r="F37" s="158">
        <f t="shared" si="27"/>
        <v>47236.212</v>
      </c>
      <c r="G37" s="158">
        <f t="shared" si="1"/>
        <v>29924.52029</v>
      </c>
      <c r="H37" s="160">
        <f t="shared" si="28"/>
        <v>0.63350804442151287</v>
      </c>
      <c r="I37" s="158">
        <v>450</v>
      </c>
      <c r="J37" s="158">
        <v>450</v>
      </c>
      <c r="K37" s="160">
        <f t="shared" si="32"/>
        <v>1</v>
      </c>
      <c r="L37" s="158">
        <v>3915.9749999999999</v>
      </c>
      <c r="M37" s="158">
        <v>3915.9749999999999</v>
      </c>
      <c r="N37" s="160">
        <f t="shared" si="49"/>
        <v>1</v>
      </c>
      <c r="O37" s="158">
        <v>5804.15</v>
      </c>
      <c r="P37" s="158">
        <v>5281.8662800000002</v>
      </c>
      <c r="Q37" s="160">
        <f t="shared" si="29"/>
        <v>0.91001546824255064</v>
      </c>
      <c r="R37" s="158">
        <v>5393.8190000000004</v>
      </c>
      <c r="S37" s="158">
        <v>5916.10214</v>
      </c>
      <c r="T37" s="160">
        <f t="shared" si="33"/>
        <v>1.096829934411963</v>
      </c>
      <c r="U37" s="161">
        <v>3354.6509999999998</v>
      </c>
      <c r="V37" s="161">
        <v>3254.6509999999998</v>
      </c>
      <c r="W37" s="160">
        <f>V37/U37</f>
        <v>0.97019063980127884</v>
      </c>
      <c r="X37" s="161">
        <v>2881.0079999999998</v>
      </c>
      <c r="Y37" s="161">
        <v>2941.1887700000002</v>
      </c>
      <c r="Z37" s="160">
        <f t="shared" si="35"/>
        <v>1.0208887896180783</v>
      </c>
      <c r="AA37" s="161">
        <v>4293.0728600000002</v>
      </c>
      <c r="AB37" s="161">
        <v>4293.0728600000002</v>
      </c>
      <c r="AC37" s="160">
        <f t="shared" si="51"/>
        <v>1</v>
      </c>
      <c r="AD37" s="161">
        <v>2416.94814</v>
      </c>
      <c r="AE37" s="161">
        <v>2224.5120000000002</v>
      </c>
      <c r="AF37" s="160">
        <f t="shared" si="52"/>
        <v>0.92038052583122454</v>
      </c>
      <c r="AG37" s="161">
        <f>2346.2-39.81923</f>
        <v>2306.3807699999998</v>
      </c>
      <c r="AH37" s="161">
        <f>1647.15224</f>
        <v>1647.1522399999999</v>
      </c>
      <c r="AI37" s="160">
        <f t="shared" si="12"/>
        <v>0.71417185810129702</v>
      </c>
      <c r="AJ37" s="158">
        <v>5126.0929999999998</v>
      </c>
      <c r="AK37" s="158"/>
      <c r="AL37" s="160">
        <f t="shared" ref="AL37" si="55">AK37/AJ37</f>
        <v>0</v>
      </c>
      <c r="AM37" s="161">
        <v>4253.375</v>
      </c>
      <c r="AN37" s="161"/>
      <c r="AO37" s="160">
        <f t="shared" ref="AO37" si="56">AN37/AM37</f>
        <v>0</v>
      </c>
      <c r="AP37" s="158">
        <f>7000.92+39.81923</f>
        <v>7040.7392300000001</v>
      </c>
      <c r="AQ37" s="156"/>
      <c r="AR37" s="156"/>
      <c r="AS37" s="164" t="s">
        <v>442</v>
      </c>
      <c r="AT37" s="164" t="s">
        <v>465</v>
      </c>
      <c r="AU37" s="116">
        <f t="shared" si="41"/>
        <v>30816.004770000003</v>
      </c>
      <c r="AV37" s="116">
        <f t="shared" si="41"/>
        <v>29924.52029</v>
      </c>
      <c r="AW37" s="168">
        <f t="shared" si="20"/>
        <v>0.97107073137307276</v>
      </c>
      <c r="AX37" s="117">
        <f t="shared" si="4"/>
        <v>10170.125</v>
      </c>
      <c r="AY37" s="117">
        <f t="shared" si="5"/>
        <v>11629.478000000001</v>
      </c>
      <c r="AZ37" s="117">
        <f t="shared" si="23"/>
        <v>9016.4017700000004</v>
      </c>
      <c r="BA37" s="117">
        <f t="shared" si="24"/>
        <v>16420.20723</v>
      </c>
    </row>
    <row r="38" spans="1:54" ht="18.75" customHeight="1">
      <c r="A38" s="230" t="s">
        <v>359</v>
      </c>
      <c r="B38" s="238" t="s">
        <v>325</v>
      </c>
      <c r="C38" s="239" t="s">
        <v>273</v>
      </c>
      <c r="D38" s="242" t="s">
        <v>285</v>
      </c>
      <c r="E38" s="155" t="s">
        <v>42</v>
      </c>
      <c r="F38" s="158">
        <f t="shared" si="27"/>
        <v>32349.138230000004</v>
      </c>
      <c r="G38" s="158">
        <f t="shared" si="1"/>
        <v>22497.155230000004</v>
      </c>
      <c r="H38" s="160">
        <f t="shared" si="28"/>
        <v>0.69544836310775504</v>
      </c>
      <c r="I38" s="158">
        <f>SUM(I39:I40)</f>
        <v>1631</v>
      </c>
      <c r="J38" s="158">
        <f>SUM(J39:J40)</f>
        <v>1631</v>
      </c>
      <c r="K38" s="160">
        <f t="shared" si="32"/>
        <v>1</v>
      </c>
      <c r="L38" s="158">
        <f>SUM(L39:L40)</f>
        <v>2617.2552299999998</v>
      </c>
      <c r="M38" s="158">
        <f>SUM(M39:M40)</f>
        <v>2617.2552299999998</v>
      </c>
      <c r="N38" s="160">
        <f t="shared" si="49"/>
        <v>1</v>
      </c>
      <c r="O38" s="158">
        <f>SUM(O39:O40)</f>
        <v>2644.4</v>
      </c>
      <c r="P38" s="158">
        <f>SUM(P39:P40)</f>
        <v>1862.4</v>
      </c>
      <c r="Q38" s="160">
        <f t="shared" si="29"/>
        <v>0.70428074421418851</v>
      </c>
      <c r="R38" s="158">
        <f>SUM(R39:R40)</f>
        <v>3008</v>
      </c>
      <c r="S38" s="158">
        <f>SUM(S39:S40)</f>
        <v>3790</v>
      </c>
      <c r="T38" s="160">
        <f t="shared" si="33"/>
        <v>1.2599734042553192</v>
      </c>
      <c r="U38" s="158">
        <f t="shared" ref="U38:AR38" si="57">SUM(U39:U40)</f>
        <v>2668</v>
      </c>
      <c r="V38" s="158">
        <f t="shared" si="57"/>
        <v>2668</v>
      </c>
      <c r="W38" s="160">
        <f t="shared" ref="W38" si="58">V38/U38</f>
        <v>1</v>
      </c>
      <c r="X38" s="158">
        <f t="shared" si="57"/>
        <v>2808.1</v>
      </c>
      <c r="Y38" s="158">
        <f t="shared" si="57"/>
        <v>2808.1</v>
      </c>
      <c r="Z38" s="160">
        <f t="shared" si="35"/>
        <v>1</v>
      </c>
      <c r="AA38" s="158">
        <f t="shared" si="57"/>
        <v>2798</v>
      </c>
      <c r="AB38" s="158">
        <f t="shared" si="57"/>
        <v>2798</v>
      </c>
      <c r="AC38" s="160">
        <f t="shared" si="51"/>
        <v>1</v>
      </c>
      <c r="AD38" s="158">
        <f t="shared" si="57"/>
        <v>2124.4</v>
      </c>
      <c r="AE38" s="158">
        <f t="shared" si="57"/>
        <v>2124.4</v>
      </c>
      <c r="AF38" s="160">
        <f t="shared" si="52"/>
        <v>1</v>
      </c>
      <c r="AG38" s="158">
        <f t="shared" si="57"/>
        <v>2198</v>
      </c>
      <c r="AH38" s="158">
        <f t="shared" si="57"/>
        <v>2198</v>
      </c>
      <c r="AI38" s="160">
        <f t="shared" si="12"/>
        <v>1</v>
      </c>
      <c r="AJ38" s="158">
        <f t="shared" si="57"/>
        <v>2655.4</v>
      </c>
      <c r="AK38" s="158">
        <f t="shared" si="57"/>
        <v>0</v>
      </c>
      <c r="AL38" s="160">
        <f t="shared" si="53"/>
        <v>0</v>
      </c>
      <c r="AM38" s="158">
        <f t="shared" si="57"/>
        <v>2318.1</v>
      </c>
      <c r="AN38" s="158">
        <f t="shared" si="57"/>
        <v>0</v>
      </c>
      <c r="AO38" s="160">
        <f t="shared" si="54"/>
        <v>0</v>
      </c>
      <c r="AP38" s="158">
        <f t="shared" si="57"/>
        <v>4878.4830000000002</v>
      </c>
      <c r="AQ38" s="156">
        <f t="shared" si="57"/>
        <v>0</v>
      </c>
      <c r="AR38" s="156">
        <f t="shared" si="57"/>
        <v>0</v>
      </c>
      <c r="AS38" s="119"/>
      <c r="AT38" s="120"/>
      <c r="AU38" s="116">
        <f t="shared" si="41"/>
        <v>22497.155230000004</v>
      </c>
      <c r="AV38" s="116">
        <f t="shared" si="41"/>
        <v>22497.155230000004</v>
      </c>
      <c r="AW38" s="168">
        <f t="shared" si="20"/>
        <v>1</v>
      </c>
      <c r="AX38" s="117">
        <f t="shared" si="4"/>
        <v>6892.6552300000003</v>
      </c>
      <c r="AY38" s="117">
        <f t="shared" si="5"/>
        <v>8484.1</v>
      </c>
      <c r="AZ38" s="117">
        <f t="shared" si="23"/>
        <v>7120.4</v>
      </c>
      <c r="BA38" s="117">
        <f t="shared" si="24"/>
        <v>9851.9830000000002</v>
      </c>
    </row>
    <row r="39" spans="1:54" ht="79.5" customHeight="1">
      <c r="A39" s="230"/>
      <c r="B39" s="238"/>
      <c r="C39" s="240"/>
      <c r="D39" s="243"/>
      <c r="E39" s="155" t="s">
        <v>3</v>
      </c>
      <c r="F39" s="158">
        <f t="shared" si="27"/>
        <v>11640.7</v>
      </c>
      <c r="G39" s="158">
        <f t="shared" si="1"/>
        <v>6097</v>
      </c>
      <c r="H39" s="160">
        <f t="shared" si="28"/>
        <v>0.52376575291863892</v>
      </c>
      <c r="I39" s="158"/>
      <c r="J39" s="158"/>
      <c r="K39" s="160"/>
      <c r="L39" s="158">
        <v>600</v>
      </c>
      <c r="M39" s="158">
        <v>600</v>
      </c>
      <c r="N39" s="160">
        <f t="shared" si="49"/>
        <v>1</v>
      </c>
      <c r="O39" s="158">
        <v>782</v>
      </c>
      <c r="P39" s="158">
        <v>0</v>
      </c>
      <c r="Q39" s="160">
        <f t="shared" si="29"/>
        <v>0</v>
      </c>
      <c r="R39" s="158">
        <v>782</v>
      </c>
      <c r="S39" s="158">
        <v>1564</v>
      </c>
      <c r="T39" s="160">
        <f t="shared" si="33"/>
        <v>2</v>
      </c>
      <c r="U39" s="161">
        <v>855</v>
      </c>
      <c r="V39" s="161">
        <v>855</v>
      </c>
      <c r="W39" s="160">
        <f>V39/U39</f>
        <v>1</v>
      </c>
      <c r="X39" s="161">
        <v>882</v>
      </c>
      <c r="Y39" s="161">
        <v>882</v>
      </c>
      <c r="Z39" s="160">
        <f t="shared" si="35"/>
        <v>1</v>
      </c>
      <c r="AA39" s="161">
        <f>212</f>
        <v>212</v>
      </c>
      <c r="AB39" s="161">
        <f>212</f>
        <v>212</v>
      </c>
      <c r="AC39" s="160">
        <f t="shared" si="51"/>
        <v>1</v>
      </c>
      <c r="AD39" s="161">
        <v>747</v>
      </c>
      <c r="AE39" s="161">
        <v>747</v>
      </c>
      <c r="AF39" s="160">
        <f t="shared" si="52"/>
        <v>1</v>
      </c>
      <c r="AG39" s="161">
        <f>300+937</f>
        <v>1237</v>
      </c>
      <c r="AH39" s="161">
        <v>1237</v>
      </c>
      <c r="AI39" s="160">
        <f t="shared" si="12"/>
        <v>1</v>
      </c>
      <c r="AJ39" s="176">
        <f>1540+120</f>
        <v>1660</v>
      </c>
      <c r="AK39" s="158"/>
      <c r="AL39" s="160">
        <f t="shared" si="53"/>
        <v>0</v>
      </c>
      <c r="AM39" s="175">
        <f>1722+173.1</f>
        <v>1895.1</v>
      </c>
      <c r="AN39" s="161"/>
      <c r="AO39" s="160">
        <f t="shared" si="54"/>
        <v>0</v>
      </c>
      <c r="AP39" s="176">
        <f>1818.6+170</f>
        <v>1988.6</v>
      </c>
      <c r="AQ39" s="156"/>
      <c r="AR39" s="156"/>
      <c r="AS39" s="164" t="s">
        <v>443</v>
      </c>
      <c r="AT39" s="164"/>
      <c r="AU39" s="116">
        <f t="shared" si="41"/>
        <v>6097</v>
      </c>
      <c r="AV39" s="116">
        <f t="shared" si="41"/>
        <v>6097</v>
      </c>
      <c r="AW39" s="168">
        <f t="shared" si="20"/>
        <v>1</v>
      </c>
      <c r="AX39" s="117">
        <f t="shared" si="4"/>
        <v>1382</v>
      </c>
      <c r="AY39" s="117">
        <f t="shared" si="5"/>
        <v>2519</v>
      </c>
      <c r="AZ39" s="117">
        <f t="shared" si="23"/>
        <v>2196</v>
      </c>
      <c r="BA39" s="117">
        <f t="shared" si="24"/>
        <v>5543.7</v>
      </c>
      <c r="BB39" s="178">
        <v>8667</v>
      </c>
    </row>
    <row r="40" spans="1:54" ht="47.25" customHeight="1">
      <c r="A40" s="230"/>
      <c r="B40" s="238"/>
      <c r="C40" s="241"/>
      <c r="D40" s="244"/>
      <c r="E40" s="155" t="s">
        <v>44</v>
      </c>
      <c r="F40" s="158">
        <f t="shared" si="27"/>
        <v>20708.43823</v>
      </c>
      <c r="G40" s="158">
        <f t="shared" si="1"/>
        <v>16400.15523</v>
      </c>
      <c r="H40" s="160">
        <f t="shared" si="28"/>
        <v>0.79195519468200859</v>
      </c>
      <c r="I40" s="158">
        <f>1631</f>
        <v>1631</v>
      </c>
      <c r="J40" s="158">
        <f>1631</f>
        <v>1631</v>
      </c>
      <c r="K40" s="160">
        <f t="shared" si="32"/>
        <v>1</v>
      </c>
      <c r="L40" s="158">
        <f>2361-343.74477</f>
        <v>2017.25523</v>
      </c>
      <c r="M40" s="158">
        <v>2017.25523</v>
      </c>
      <c r="N40" s="160">
        <f t="shared" si="49"/>
        <v>1</v>
      </c>
      <c r="O40" s="158">
        <f>1862.4</f>
        <v>1862.4</v>
      </c>
      <c r="P40" s="158">
        <v>1862.4</v>
      </c>
      <c r="Q40" s="160">
        <f t="shared" si="29"/>
        <v>1</v>
      </c>
      <c r="R40" s="158">
        <f>2226</f>
        <v>2226</v>
      </c>
      <c r="S40" s="158">
        <v>2226</v>
      </c>
      <c r="T40" s="160">
        <f t="shared" si="33"/>
        <v>1</v>
      </c>
      <c r="U40" s="161">
        <f>1813</f>
        <v>1813</v>
      </c>
      <c r="V40" s="161">
        <v>1813</v>
      </c>
      <c r="W40" s="160">
        <f t="shared" ref="W40" si="59">V40/U40</f>
        <v>1</v>
      </c>
      <c r="X40" s="161">
        <f>1926.1</f>
        <v>1926.1</v>
      </c>
      <c r="Y40" s="161">
        <f>1926.1</f>
        <v>1926.1</v>
      </c>
      <c r="Z40" s="160">
        <f t="shared" si="35"/>
        <v>1</v>
      </c>
      <c r="AA40" s="161">
        <f>2586</f>
        <v>2586</v>
      </c>
      <c r="AB40" s="161">
        <v>2586</v>
      </c>
      <c r="AC40" s="160">
        <f t="shared" si="51"/>
        <v>1</v>
      </c>
      <c r="AD40" s="161">
        <f>1734.4-357</f>
        <v>1377.4</v>
      </c>
      <c r="AE40" s="161">
        <v>1377.4</v>
      </c>
      <c r="AF40" s="160">
        <f t="shared" si="52"/>
        <v>1</v>
      </c>
      <c r="AG40" s="161">
        <f>1311-350</f>
        <v>961</v>
      </c>
      <c r="AH40" s="161">
        <v>961</v>
      </c>
      <c r="AI40" s="160">
        <f t="shared" si="12"/>
        <v>1</v>
      </c>
      <c r="AJ40" s="176">
        <v>995.4</v>
      </c>
      <c r="AK40" s="158"/>
      <c r="AL40" s="160">
        <f t="shared" si="53"/>
        <v>0</v>
      </c>
      <c r="AM40" s="175">
        <v>423</v>
      </c>
      <c r="AN40" s="161"/>
      <c r="AO40" s="160">
        <f t="shared" si="54"/>
        <v>0</v>
      </c>
      <c r="AP40" s="176">
        <v>2889.8829999999998</v>
      </c>
      <c r="AQ40" s="156"/>
      <c r="AR40" s="156"/>
      <c r="AS40" s="164" t="s">
        <v>444</v>
      </c>
      <c r="AT40" s="164"/>
      <c r="AU40" s="116">
        <f t="shared" si="41"/>
        <v>16400.15523</v>
      </c>
      <c r="AV40" s="116">
        <f t="shared" si="41"/>
        <v>16400.15523</v>
      </c>
      <c r="AW40" s="168">
        <f t="shared" si="20"/>
        <v>1</v>
      </c>
      <c r="AX40" s="117">
        <f t="shared" si="4"/>
        <v>5510.6552300000003</v>
      </c>
      <c r="AY40" s="117">
        <f t="shared" si="5"/>
        <v>5965.1</v>
      </c>
      <c r="AZ40" s="117">
        <f t="shared" si="23"/>
        <v>4924.3999999999996</v>
      </c>
      <c r="BA40" s="117">
        <f t="shared" si="24"/>
        <v>4308.2829999999994</v>
      </c>
    </row>
    <row r="41" spans="1:54" ht="16.5" customHeight="1">
      <c r="A41" s="112" t="s">
        <v>4</v>
      </c>
      <c r="B41" s="248" t="s">
        <v>299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116">
        <f t="shared" si="41"/>
        <v>0</v>
      </c>
      <c r="AV41" s="116">
        <f t="shared" si="41"/>
        <v>0</v>
      </c>
      <c r="AW41" s="168"/>
      <c r="AX41" s="117"/>
      <c r="AY41" s="117"/>
      <c r="AZ41" s="117"/>
      <c r="BA41" s="117"/>
    </row>
    <row r="42" spans="1:54" ht="16.5" customHeight="1">
      <c r="A42" s="189" t="s">
        <v>258</v>
      </c>
      <c r="B42" s="251" t="s">
        <v>293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3"/>
      <c r="AU42" s="116">
        <f t="shared" si="41"/>
        <v>0</v>
      </c>
      <c r="AV42" s="116">
        <f t="shared" si="41"/>
        <v>0</v>
      </c>
      <c r="AW42" s="168"/>
      <c r="AX42" s="117"/>
      <c r="AY42" s="117"/>
      <c r="AZ42" s="117"/>
      <c r="BA42" s="117"/>
    </row>
    <row r="43" spans="1:54" ht="18" customHeight="1">
      <c r="A43" s="230" t="s">
        <v>258</v>
      </c>
      <c r="B43" s="254" t="s">
        <v>326</v>
      </c>
      <c r="C43" s="255" t="s">
        <v>270</v>
      </c>
      <c r="D43" s="242" t="s">
        <v>393</v>
      </c>
      <c r="E43" s="260" t="s">
        <v>383</v>
      </c>
      <c r="F43" s="263"/>
      <c r="G43" s="263"/>
      <c r="H43" s="266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156">
        <f>SUM(AQ44:AQ45)</f>
        <v>0</v>
      </c>
      <c r="AR43" s="156">
        <f>SUM(AR44:AR45)</f>
        <v>0</v>
      </c>
      <c r="AS43" s="274"/>
      <c r="AT43" s="272"/>
      <c r="AU43" s="116">
        <f t="shared" si="41"/>
        <v>0</v>
      </c>
      <c r="AV43" s="116">
        <f t="shared" si="41"/>
        <v>0</v>
      </c>
      <c r="AW43" s="168"/>
      <c r="AX43" s="117"/>
      <c r="AY43" s="117"/>
      <c r="AZ43" s="117"/>
      <c r="BA43" s="117"/>
    </row>
    <row r="44" spans="1:54" ht="18.75">
      <c r="A44" s="230"/>
      <c r="B44" s="254"/>
      <c r="C44" s="256"/>
      <c r="D44" s="243"/>
      <c r="E44" s="261"/>
      <c r="F44" s="264"/>
      <c r="G44" s="264"/>
      <c r="H44" s="267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156"/>
      <c r="AR44" s="156"/>
      <c r="AS44" s="275"/>
      <c r="AT44" s="273"/>
      <c r="AU44" s="116">
        <f t="shared" si="41"/>
        <v>0</v>
      </c>
      <c r="AV44" s="116">
        <f t="shared" si="41"/>
        <v>0</v>
      </c>
      <c r="AW44" s="168"/>
      <c r="AX44" s="117"/>
      <c r="AY44" s="117"/>
      <c r="AZ44" s="117"/>
      <c r="BA44" s="117"/>
    </row>
    <row r="45" spans="1:54" ht="18.75">
      <c r="A45" s="230"/>
      <c r="B45" s="254"/>
      <c r="C45" s="257"/>
      <c r="D45" s="244"/>
      <c r="E45" s="262"/>
      <c r="F45" s="265"/>
      <c r="G45" s="265"/>
      <c r="H45" s="268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156"/>
      <c r="AR45" s="156"/>
      <c r="AS45" s="276"/>
      <c r="AT45" s="273"/>
      <c r="AU45" s="116">
        <f t="shared" si="41"/>
        <v>0</v>
      </c>
      <c r="AV45" s="116">
        <f t="shared" si="41"/>
        <v>0</v>
      </c>
      <c r="AW45" s="168"/>
      <c r="AX45" s="117"/>
      <c r="AY45" s="117"/>
      <c r="AZ45" s="117"/>
      <c r="BA45" s="117"/>
    </row>
    <row r="46" spans="1:54" ht="18.75" customHeight="1">
      <c r="A46" s="112" t="s">
        <v>5</v>
      </c>
      <c r="B46" s="248" t="s">
        <v>300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50"/>
      <c r="AU46" s="116">
        <f t="shared" si="41"/>
        <v>0</v>
      </c>
      <c r="AV46" s="116">
        <f t="shared" si="41"/>
        <v>0</v>
      </c>
      <c r="AW46" s="168"/>
      <c r="AX46" s="117"/>
      <c r="AY46" s="117"/>
      <c r="AZ46" s="117"/>
      <c r="BA46" s="117"/>
    </row>
    <row r="47" spans="1:54" ht="18.75" customHeight="1">
      <c r="A47" s="189" t="s">
        <v>260</v>
      </c>
      <c r="B47" s="251" t="s">
        <v>293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3"/>
      <c r="AU47" s="116">
        <f t="shared" si="41"/>
        <v>0</v>
      </c>
      <c r="AV47" s="116">
        <f t="shared" si="41"/>
        <v>0</v>
      </c>
      <c r="AW47" s="168"/>
      <c r="AX47" s="117"/>
      <c r="AY47" s="117"/>
      <c r="AZ47" s="117"/>
      <c r="BA47" s="117"/>
    </row>
    <row r="48" spans="1:54" ht="21.75" customHeight="1">
      <c r="A48" s="230" t="s">
        <v>260</v>
      </c>
      <c r="B48" s="254" t="s">
        <v>327</v>
      </c>
      <c r="C48" s="239" t="s">
        <v>271</v>
      </c>
      <c r="D48" s="242" t="s">
        <v>286</v>
      </c>
      <c r="E48" s="155" t="s">
        <v>42</v>
      </c>
      <c r="F48" s="158">
        <f t="shared" ref="F48:G53" si="60">I48+L48+O48+R48+U48+X48+AA48+AD48+AG48+AJ48+AM48+AP48</f>
        <v>1059.3620000000001</v>
      </c>
      <c r="G48" s="158">
        <f t="shared" si="60"/>
        <v>1059.3620000000001</v>
      </c>
      <c r="H48" s="160">
        <f t="shared" si="28"/>
        <v>1</v>
      </c>
      <c r="I48" s="158">
        <f>SUM(I49:I50)</f>
        <v>0</v>
      </c>
      <c r="J48" s="158">
        <f>SUM(J49:J50)</f>
        <v>0</v>
      </c>
      <c r="K48" s="160"/>
      <c r="L48" s="158">
        <f>SUM(L49:L50)</f>
        <v>148.69999999999999</v>
      </c>
      <c r="M48" s="158">
        <f>SUM(M49:M50)</f>
        <v>148.69999999999999</v>
      </c>
      <c r="N48" s="160">
        <f t="shared" ref="N48:N49" si="61">M48/L48</f>
        <v>1</v>
      </c>
      <c r="O48" s="158">
        <f>SUM(O49:O50)</f>
        <v>341.79</v>
      </c>
      <c r="P48" s="158">
        <f>SUM(P49:P50)</f>
        <v>341.79</v>
      </c>
      <c r="Q48" s="160">
        <f t="shared" ref="Q48:Q50" si="62">P48/O48</f>
        <v>1</v>
      </c>
      <c r="R48" s="158">
        <f>SUM(R49:R50)</f>
        <v>95.82</v>
      </c>
      <c r="S48" s="158">
        <f>SUM(S49:S50)</f>
        <v>66.180000000000007</v>
      </c>
      <c r="T48" s="160">
        <f t="shared" ref="T48:T49" si="63">S48/R48</f>
        <v>0.69067000626174091</v>
      </c>
      <c r="U48" s="158">
        <f t="shared" ref="U48:AR48" si="64">SUM(U49:U50)</f>
        <v>116.18</v>
      </c>
      <c r="V48" s="158">
        <f t="shared" si="64"/>
        <v>80</v>
      </c>
      <c r="W48" s="160">
        <f t="shared" ref="W48:W50" si="65">V48/U48</f>
        <v>0.68858667584782229</v>
      </c>
      <c r="X48" s="158">
        <f t="shared" si="64"/>
        <v>246.172</v>
      </c>
      <c r="Y48" s="158">
        <f t="shared" si="64"/>
        <v>243.77199999999999</v>
      </c>
      <c r="Z48" s="160">
        <f t="shared" ref="Z48:Z49" si="66">Y48/X48</f>
        <v>0.99025071900947303</v>
      </c>
      <c r="AA48" s="158">
        <f t="shared" si="64"/>
        <v>110.7</v>
      </c>
      <c r="AB48" s="158">
        <f t="shared" si="64"/>
        <v>113.1</v>
      </c>
      <c r="AC48" s="160">
        <f t="shared" ref="AC48:AC49" si="67">AB48/AA48</f>
        <v>1.0216802168021679</v>
      </c>
      <c r="AD48" s="158">
        <f t="shared" si="64"/>
        <v>0</v>
      </c>
      <c r="AE48" s="158">
        <f t="shared" si="64"/>
        <v>65.819999999999993</v>
      </c>
      <c r="AF48" s="158">
        <f t="shared" si="64"/>
        <v>0</v>
      </c>
      <c r="AG48" s="158">
        <f t="shared" si="64"/>
        <v>0</v>
      </c>
      <c r="AH48" s="158">
        <f t="shared" si="64"/>
        <v>0</v>
      </c>
      <c r="AI48" s="158">
        <f t="shared" si="64"/>
        <v>0</v>
      </c>
      <c r="AJ48" s="158">
        <f t="shared" si="64"/>
        <v>0</v>
      </c>
      <c r="AK48" s="158">
        <f t="shared" si="64"/>
        <v>0</v>
      </c>
      <c r="AL48" s="160" t="e">
        <f t="shared" ref="AL48" si="68">AK48/AJ48</f>
        <v>#DIV/0!</v>
      </c>
      <c r="AM48" s="158">
        <f t="shared" si="64"/>
        <v>0</v>
      </c>
      <c r="AN48" s="158">
        <f t="shared" si="64"/>
        <v>0</v>
      </c>
      <c r="AO48" s="158">
        <f t="shared" si="64"/>
        <v>0</v>
      </c>
      <c r="AP48" s="158">
        <f t="shared" si="64"/>
        <v>0</v>
      </c>
      <c r="AQ48" s="156">
        <f t="shared" si="64"/>
        <v>0</v>
      </c>
      <c r="AR48" s="156">
        <f t="shared" si="64"/>
        <v>0</v>
      </c>
      <c r="AS48" s="165"/>
      <c r="AT48" s="164"/>
      <c r="AU48" s="116">
        <f t="shared" si="41"/>
        <v>1059.3620000000001</v>
      </c>
      <c r="AV48" s="116">
        <f t="shared" si="41"/>
        <v>1059.3620000000001</v>
      </c>
      <c r="AW48" s="168">
        <f t="shared" si="20"/>
        <v>1</v>
      </c>
      <c r="AX48" s="117">
        <f t="shared" si="4"/>
        <v>490.49</v>
      </c>
      <c r="AY48" s="117">
        <f t="shared" si="5"/>
        <v>458.17200000000003</v>
      </c>
      <c r="AZ48" s="117">
        <f t="shared" si="23"/>
        <v>110.7</v>
      </c>
      <c r="BA48" s="117">
        <f t="shared" si="24"/>
        <v>0</v>
      </c>
    </row>
    <row r="49" spans="1:53" ht="62.25" customHeight="1">
      <c r="A49" s="230"/>
      <c r="B49" s="254"/>
      <c r="C49" s="240"/>
      <c r="D49" s="243"/>
      <c r="E49" s="155" t="s">
        <v>3</v>
      </c>
      <c r="F49" s="158">
        <f t="shared" si="60"/>
        <v>968.87200000000007</v>
      </c>
      <c r="G49" s="158">
        <f t="shared" si="60"/>
        <v>968.87200000000007</v>
      </c>
      <c r="H49" s="160">
        <f t="shared" si="28"/>
        <v>1</v>
      </c>
      <c r="I49" s="158"/>
      <c r="J49" s="158"/>
      <c r="K49" s="160"/>
      <c r="L49" s="158">
        <v>148.69999999999999</v>
      </c>
      <c r="M49" s="158">
        <v>148.69999999999999</v>
      </c>
      <c r="N49" s="160">
        <f t="shared" si="61"/>
        <v>1</v>
      </c>
      <c r="O49" s="158">
        <v>301.3</v>
      </c>
      <c r="P49" s="158">
        <v>301.3</v>
      </c>
      <c r="Q49" s="160">
        <f t="shared" si="62"/>
        <v>1</v>
      </c>
      <c r="R49" s="158">
        <v>95.82</v>
      </c>
      <c r="S49" s="158">
        <v>66.180000000000007</v>
      </c>
      <c r="T49" s="160">
        <f t="shared" si="63"/>
        <v>0.69067000626174091</v>
      </c>
      <c r="U49" s="161">
        <f>66.18</f>
        <v>66.180000000000007</v>
      </c>
      <c r="V49" s="161">
        <v>30</v>
      </c>
      <c r="W49" s="160">
        <f t="shared" si="65"/>
        <v>0.4533091568449682</v>
      </c>
      <c r="X49" s="161">
        <v>246.172</v>
      </c>
      <c r="Y49" s="161">
        <v>243.77199999999999</v>
      </c>
      <c r="Z49" s="160">
        <f t="shared" si="66"/>
        <v>0.99025071900947303</v>
      </c>
      <c r="AA49" s="161">
        <v>110.7</v>
      </c>
      <c r="AB49" s="161">
        <f>113.1</f>
        <v>113.1</v>
      </c>
      <c r="AC49" s="160">
        <f t="shared" si="67"/>
        <v>1.0216802168021679</v>
      </c>
      <c r="AD49" s="161"/>
      <c r="AE49" s="161">
        <v>65.819999999999993</v>
      </c>
      <c r="AF49" s="161"/>
      <c r="AG49" s="161"/>
      <c r="AH49" s="161"/>
      <c r="AI49" s="161"/>
      <c r="AJ49" s="158"/>
      <c r="AK49" s="158"/>
      <c r="AL49" s="158"/>
      <c r="AM49" s="161"/>
      <c r="AN49" s="161"/>
      <c r="AO49" s="161"/>
      <c r="AP49" s="158"/>
      <c r="AQ49" s="156"/>
      <c r="AR49" s="156"/>
      <c r="AS49" s="165" t="s">
        <v>423</v>
      </c>
      <c r="AT49" s="164"/>
      <c r="AU49" s="116">
        <f t="shared" si="41"/>
        <v>968.87200000000007</v>
      </c>
      <c r="AV49" s="116">
        <f t="shared" si="41"/>
        <v>968.87200000000007</v>
      </c>
      <c r="AW49" s="168">
        <f t="shared" si="20"/>
        <v>1</v>
      </c>
      <c r="AX49" s="117">
        <f t="shared" si="4"/>
        <v>450</v>
      </c>
      <c r="AY49" s="117">
        <f t="shared" si="5"/>
        <v>408.17200000000003</v>
      </c>
      <c r="AZ49" s="117">
        <f t="shared" si="23"/>
        <v>110.7</v>
      </c>
      <c r="BA49" s="117">
        <f t="shared" si="24"/>
        <v>0</v>
      </c>
    </row>
    <row r="50" spans="1:53" ht="63.75" customHeight="1">
      <c r="A50" s="230"/>
      <c r="B50" s="254"/>
      <c r="C50" s="241"/>
      <c r="D50" s="244"/>
      <c r="E50" s="155" t="s">
        <v>44</v>
      </c>
      <c r="F50" s="158">
        <f t="shared" si="60"/>
        <v>90.490000000000009</v>
      </c>
      <c r="G50" s="158">
        <f t="shared" si="60"/>
        <v>90.490000000000009</v>
      </c>
      <c r="H50" s="160">
        <f t="shared" si="28"/>
        <v>1</v>
      </c>
      <c r="I50" s="158"/>
      <c r="J50" s="158"/>
      <c r="K50" s="160"/>
      <c r="L50" s="158"/>
      <c r="M50" s="158"/>
      <c r="N50" s="160"/>
      <c r="O50" s="158">
        <v>40.49</v>
      </c>
      <c r="P50" s="158">
        <v>40.49</v>
      </c>
      <c r="Q50" s="160">
        <f t="shared" si="62"/>
        <v>1</v>
      </c>
      <c r="R50" s="158"/>
      <c r="S50" s="158"/>
      <c r="T50" s="160"/>
      <c r="U50" s="161">
        <v>50</v>
      </c>
      <c r="V50" s="161">
        <v>50</v>
      </c>
      <c r="W50" s="160">
        <f t="shared" si="65"/>
        <v>1</v>
      </c>
      <c r="X50" s="161"/>
      <c r="Y50" s="161"/>
      <c r="Z50" s="160"/>
      <c r="AA50" s="161"/>
      <c r="AB50" s="161"/>
      <c r="AC50" s="161"/>
      <c r="AD50" s="161"/>
      <c r="AE50" s="161"/>
      <c r="AF50" s="161"/>
      <c r="AG50" s="161"/>
      <c r="AH50" s="161"/>
      <c r="AI50" s="161"/>
      <c r="AJ50" s="158"/>
      <c r="AK50" s="158"/>
      <c r="AL50" s="160" t="e">
        <f t="shared" ref="AL50" si="69">AK50/AJ50</f>
        <v>#DIV/0!</v>
      </c>
      <c r="AM50" s="161"/>
      <c r="AN50" s="161"/>
      <c r="AO50" s="161"/>
      <c r="AP50" s="158"/>
      <c r="AQ50" s="156"/>
      <c r="AR50" s="156"/>
      <c r="AS50" s="164" t="s">
        <v>422</v>
      </c>
      <c r="AT50" s="164"/>
      <c r="AU50" s="116">
        <f t="shared" si="41"/>
        <v>90.490000000000009</v>
      </c>
      <c r="AV50" s="116">
        <f t="shared" si="41"/>
        <v>90.490000000000009</v>
      </c>
      <c r="AW50" s="168">
        <f t="shared" si="20"/>
        <v>1</v>
      </c>
      <c r="AX50" s="117">
        <f t="shared" si="4"/>
        <v>40.49</v>
      </c>
      <c r="AY50" s="117">
        <f t="shared" si="5"/>
        <v>50</v>
      </c>
      <c r="AZ50" s="117">
        <f t="shared" si="23"/>
        <v>0</v>
      </c>
      <c r="BA50" s="117">
        <f t="shared" si="24"/>
        <v>0</v>
      </c>
    </row>
    <row r="51" spans="1:53" ht="18.75" customHeight="1">
      <c r="A51" s="230" t="s">
        <v>261</v>
      </c>
      <c r="B51" s="254" t="s">
        <v>328</v>
      </c>
      <c r="C51" s="239" t="s">
        <v>271</v>
      </c>
      <c r="D51" s="242" t="s">
        <v>286</v>
      </c>
      <c r="E51" s="155" t="s">
        <v>42</v>
      </c>
      <c r="F51" s="158">
        <f t="shared" si="60"/>
        <v>0</v>
      </c>
      <c r="G51" s="158">
        <f t="shared" si="60"/>
        <v>0</v>
      </c>
      <c r="H51" s="160"/>
      <c r="I51" s="158">
        <f>SUM(I52:I53)</f>
        <v>0</v>
      </c>
      <c r="J51" s="158">
        <f>SUM(J52:J53)</f>
        <v>0</v>
      </c>
      <c r="K51" s="160"/>
      <c r="L51" s="158">
        <f>SUM(L52:L53)</f>
        <v>0</v>
      </c>
      <c r="M51" s="158">
        <f>SUM(M52:M53)</f>
        <v>0</v>
      </c>
      <c r="N51" s="160"/>
      <c r="O51" s="158">
        <f>SUM(O52:O53)</f>
        <v>0</v>
      </c>
      <c r="P51" s="158">
        <f>SUM(P52:P53)</f>
        <v>0</v>
      </c>
      <c r="Q51" s="160"/>
      <c r="R51" s="158">
        <f>SUM(R52:R53)</f>
        <v>0</v>
      </c>
      <c r="S51" s="158">
        <f>SUM(S52:S53)</f>
        <v>0</v>
      </c>
      <c r="T51" s="160"/>
      <c r="U51" s="158">
        <f t="shared" ref="U51:AR51" si="70">SUM(U52:U53)</f>
        <v>0</v>
      </c>
      <c r="V51" s="158">
        <f t="shared" si="70"/>
        <v>0</v>
      </c>
      <c r="W51" s="158">
        <f t="shared" si="70"/>
        <v>0</v>
      </c>
      <c r="X51" s="158">
        <f t="shared" si="70"/>
        <v>0</v>
      </c>
      <c r="Y51" s="158">
        <f t="shared" si="70"/>
        <v>0</v>
      </c>
      <c r="Z51" s="158"/>
      <c r="AA51" s="158">
        <f t="shared" si="70"/>
        <v>0</v>
      </c>
      <c r="AB51" s="158">
        <f t="shared" si="70"/>
        <v>0</v>
      </c>
      <c r="AC51" s="158">
        <f t="shared" si="70"/>
        <v>0</v>
      </c>
      <c r="AD51" s="158">
        <f t="shared" si="70"/>
        <v>0</v>
      </c>
      <c r="AE51" s="158">
        <f t="shared" si="70"/>
        <v>0</v>
      </c>
      <c r="AF51" s="158">
        <f t="shared" si="70"/>
        <v>0</v>
      </c>
      <c r="AG51" s="158">
        <f t="shared" si="70"/>
        <v>0</v>
      </c>
      <c r="AH51" s="158">
        <f t="shared" si="70"/>
        <v>0</v>
      </c>
      <c r="AI51" s="158">
        <f t="shared" si="70"/>
        <v>0</v>
      </c>
      <c r="AJ51" s="158">
        <f t="shared" si="70"/>
        <v>0</v>
      </c>
      <c r="AK51" s="158">
        <f t="shared" si="70"/>
        <v>0</v>
      </c>
      <c r="AL51" s="158">
        <f t="shared" si="70"/>
        <v>0</v>
      </c>
      <c r="AM51" s="158">
        <f t="shared" si="70"/>
        <v>0</v>
      </c>
      <c r="AN51" s="158">
        <f t="shared" si="70"/>
        <v>0</v>
      </c>
      <c r="AO51" s="158">
        <f t="shared" si="70"/>
        <v>0</v>
      </c>
      <c r="AP51" s="158">
        <f t="shared" si="70"/>
        <v>0</v>
      </c>
      <c r="AQ51" s="156">
        <f t="shared" si="70"/>
        <v>0</v>
      </c>
      <c r="AR51" s="156">
        <f t="shared" si="70"/>
        <v>0</v>
      </c>
      <c r="AS51" s="165"/>
      <c r="AT51" s="164"/>
      <c r="AU51" s="116">
        <f t="shared" si="41"/>
        <v>0</v>
      </c>
      <c r="AV51" s="116">
        <f t="shared" si="41"/>
        <v>0</v>
      </c>
      <c r="AW51" s="168"/>
      <c r="AX51" s="117">
        <f t="shared" si="4"/>
        <v>0</v>
      </c>
      <c r="AY51" s="117">
        <f t="shared" si="5"/>
        <v>0</v>
      </c>
      <c r="AZ51" s="117">
        <f t="shared" si="23"/>
        <v>0</v>
      </c>
      <c r="BA51" s="117">
        <f t="shared" si="24"/>
        <v>0</v>
      </c>
    </row>
    <row r="52" spans="1:53" ht="19.5" customHeight="1">
      <c r="A52" s="230"/>
      <c r="B52" s="254"/>
      <c r="C52" s="240"/>
      <c r="D52" s="243"/>
      <c r="E52" s="155" t="s">
        <v>3</v>
      </c>
      <c r="F52" s="158">
        <f t="shared" si="60"/>
        <v>0</v>
      </c>
      <c r="G52" s="158">
        <f t="shared" si="60"/>
        <v>0</v>
      </c>
      <c r="H52" s="160"/>
      <c r="I52" s="158"/>
      <c r="J52" s="158"/>
      <c r="K52" s="160"/>
      <c r="L52" s="158"/>
      <c r="M52" s="158"/>
      <c r="N52" s="160"/>
      <c r="O52" s="158"/>
      <c r="P52" s="158"/>
      <c r="Q52" s="160"/>
      <c r="R52" s="158"/>
      <c r="S52" s="158"/>
      <c r="T52" s="160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58"/>
      <c r="AK52" s="158"/>
      <c r="AL52" s="158"/>
      <c r="AM52" s="161"/>
      <c r="AN52" s="161"/>
      <c r="AO52" s="161"/>
      <c r="AP52" s="158"/>
      <c r="AQ52" s="156"/>
      <c r="AR52" s="156"/>
      <c r="AS52" s="165"/>
      <c r="AT52" s="164"/>
      <c r="AU52" s="116">
        <f t="shared" si="41"/>
        <v>0</v>
      </c>
      <c r="AV52" s="116">
        <f t="shared" si="41"/>
        <v>0</v>
      </c>
      <c r="AW52" s="168"/>
      <c r="AX52" s="117">
        <f t="shared" si="4"/>
        <v>0</v>
      </c>
      <c r="AY52" s="117">
        <f t="shared" si="5"/>
        <v>0</v>
      </c>
      <c r="AZ52" s="117">
        <f t="shared" si="23"/>
        <v>0</v>
      </c>
      <c r="BA52" s="117">
        <f t="shared" si="24"/>
        <v>0</v>
      </c>
    </row>
    <row r="53" spans="1:53" ht="19.5" customHeight="1">
      <c r="A53" s="230"/>
      <c r="B53" s="254"/>
      <c r="C53" s="241"/>
      <c r="D53" s="244"/>
      <c r="E53" s="155" t="s">
        <v>44</v>
      </c>
      <c r="F53" s="158">
        <f t="shared" si="60"/>
        <v>0</v>
      </c>
      <c r="G53" s="158">
        <f t="shared" si="60"/>
        <v>0</v>
      </c>
      <c r="H53" s="160"/>
      <c r="I53" s="158"/>
      <c r="J53" s="158"/>
      <c r="K53" s="160"/>
      <c r="L53" s="158"/>
      <c r="M53" s="158"/>
      <c r="N53" s="160"/>
      <c r="O53" s="158"/>
      <c r="P53" s="158"/>
      <c r="Q53" s="160"/>
      <c r="R53" s="158"/>
      <c r="S53" s="158"/>
      <c r="T53" s="160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58"/>
      <c r="AK53" s="158"/>
      <c r="AL53" s="158"/>
      <c r="AM53" s="161"/>
      <c r="AN53" s="161"/>
      <c r="AO53" s="161"/>
      <c r="AP53" s="158"/>
      <c r="AQ53" s="156"/>
      <c r="AR53" s="156"/>
      <c r="AS53" s="165"/>
      <c r="AT53" s="164"/>
      <c r="AU53" s="116">
        <f t="shared" si="41"/>
        <v>0</v>
      </c>
      <c r="AV53" s="116">
        <f t="shared" si="41"/>
        <v>0</v>
      </c>
      <c r="AW53" s="168"/>
      <c r="AX53" s="117">
        <f t="shared" si="4"/>
        <v>0</v>
      </c>
      <c r="AY53" s="117">
        <f t="shared" si="5"/>
        <v>0</v>
      </c>
      <c r="AZ53" s="117">
        <f t="shared" si="23"/>
        <v>0</v>
      </c>
      <c r="BA53" s="117">
        <f t="shared" si="24"/>
        <v>0</v>
      </c>
    </row>
    <row r="54" spans="1:53" ht="17.25" customHeight="1">
      <c r="A54" s="112" t="s">
        <v>6</v>
      </c>
      <c r="B54" s="248" t="s">
        <v>301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50"/>
      <c r="AU54" s="116">
        <f t="shared" si="41"/>
        <v>0</v>
      </c>
      <c r="AV54" s="116">
        <f t="shared" si="41"/>
        <v>0</v>
      </c>
      <c r="AW54" s="168"/>
      <c r="AX54" s="117"/>
      <c r="AY54" s="117"/>
      <c r="AZ54" s="117"/>
      <c r="BA54" s="117"/>
    </row>
    <row r="55" spans="1:53" ht="17.25" customHeight="1">
      <c r="A55" s="189" t="s">
        <v>302</v>
      </c>
      <c r="B55" s="251" t="s">
        <v>303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3"/>
      <c r="AU55" s="116">
        <f t="shared" si="41"/>
        <v>0</v>
      </c>
      <c r="AV55" s="116">
        <f t="shared" si="41"/>
        <v>0</v>
      </c>
      <c r="AW55" s="168"/>
      <c r="AX55" s="117"/>
      <c r="AY55" s="117"/>
      <c r="AZ55" s="117"/>
      <c r="BA55" s="117"/>
    </row>
    <row r="56" spans="1:53" ht="18" customHeight="1">
      <c r="A56" s="230" t="s">
        <v>361</v>
      </c>
      <c r="B56" s="254" t="s">
        <v>329</v>
      </c>
      <c r="C56" s="239" t="s">
        <v>270</v>
      </c>
      <c r="D56" s="245" t="s">
        <v>284</v>
      </c>
      <c r="E56" s="155" t="s">
        <v>42</v>
      </c>
      <c r="F56" s="158">
        <f t="shared" ref="F56:G70" si="71">I56+L56+O56+R56+U56+X56+AA56+AD56+AG56+AJ56+AM56+AP56</f>
        <v>0</v>
      </c>
      <c r="G56" s="158">
        <f t="shared" si="71"/>
        <v>0</v>
      </c>
      <c r="H56" s="160"/>
      <c r="I56" s="110">
        <f>SUM(I57:I58)</f>
        <v>0</v>
      </c>
      <c r="J56" s="110">
        <f>SUM(J57:J58)</f>
        <v>0</v>
      </c>
      <c r="K56" s="156">
        <f>SUM(K57:K58)</f>
        <v>0</v>
      </c>
      <c r="L56" s="158">
        <f>SUM(L57:L58)</f>
        <v>0</v>
      </c>
      <c r="M56" s="158">
        <f>SUM(M57:M58)</f>
        <v>0</v>
      </c>
      <c r="N56" s="160"/>
      <c r="O56" s="158">
        <f>SUM(O57:O58)</f>
        <v>0</v>
      </c>
      <c r="P56" s="158">
        <f>SUM(P57:P58)</f>
        <v>0</v>
      </c>
      <c r="Q56" s="160"/>
      <c r="R56" s="158">
        <f>SUM(R57:R58)</f>
        <v>0</v>
      </c>
      <c r="S56" s="158">
        <f>SUM(S57:S58)</f>
        <v>0</v>
      </c>
      <c r="T56" s="160"/>
      <c r="U56" s="158">
        <f t="shared" ref="U56:AR56" si="72">SUM(U57:U58)</f>
        <v>0</v>
      </c>
      <c r="V56" s="158">
        <f t="shared" si="72"/>
        <v>0</v>
      </c>
      <c r="W56" s="158">
        <f t="shared" si="72"/>
        <v>0</v>
      </c>
      <c r="X56" s="158">
        <f t="shared" si="72"/>
        <v>0</v>
      </c>
      <c r="Y56" s="158">
        <f t="shared" si="72"/>
        <v>0</v>
      </c>
      <c r="Z56" s="160"/>
      <c r="AA56" s="158">
        <f t="shared" si="72"/>
        <v>0</v>
      </c>
      <c r="AB56" s="158">
        <f t="shared" si="72"/>
        <v>0</v>
      </c>
      <c r="AC56" s="158">
        <f t="shared" si="72"/>
        <v>0</v>
      </c>
      <c r="AD56" s="158">
        <f t="shared" si="72"/>
        <v>0</v>
      </c>
      <c r="AE56" s="158">
        <f t="shared" si="72"/>
        <v>0</v>
      </c>
      <c r="AF56" s="158">
        <f t="shared" si="72"/>
        <v>0</v>
      </c>
      <c r="AG56" s="158">
        <f t="shared" si="72"/>
        <v>0</v>
      </c>
      <c r="AH56" s="158">
        <f t="shared" si="72"/>
        <v>0</v>
      </c>
      <c r="AI56" s="158">
        <f t="shared" si="72"/>
        <v>0</v>
      </c>
      <c r="AJ56" s="158">
        <f t="shared" si="72"/>
        <v>0</v>
      </c>
      <c r="AK56" s="158">
        <f t="shared" si="72"/>
        <v>0</v>
      </c>
      <c r="AL56" s="158">
        <f t="shared" si="72"/>
        <v>0</v>
      </c>
      <c r="AM56" s="158">
        <f t="shared" si="72"/>
        <v>0</v>
      </c>
      <c r="AN56" s="158">
        <f t="shared" si="72"/>
        <v>0</v>
      </c>
      <c r="AO56" s="158">
        <f t="shared" si="72"/>
        <v>0</v>
      </c>
      <c r="AP56" s="158">
        <f t="shared" si="72"/>
        <v>0</v>
      </c>
      <c r="AQ56" s="156">
        <f t="shared" si="72"/>
        <v>0</v>
      </c>
      <c r="AR56" s="156">
        <f t="shared" si="72"/>
        <v>0</v>
      </c>
      <c r="AS56" s="119"/>
      <c r="AT56" s="120"/>
      <c r="AU56" s="116">
        <f t="shared" si="41"/>
        <v>0</v>
      </c>
      <c r="AV56" s="116">
        <f t="shared" si="41"/>
        <v>0</v>
      </c>
      <c r="AW56" s="168"/>
      <c r="AX56" s="117">
        <f t="shared" si="4"/>
        <v>0</v>
      </c>
      <c r="AY56" s="117">
        <f t="shared" si="5"/>
        <v>0</v>
      </c>
      <c r="AZ56" s="117">
        <f t="shared" si="23"/>
        <v>0</v>
      </c>
      <c r="BA56" s="117">
        <f t="shared" si="24"/>
        <v>0</v>
      </c>
    </row>
    <row r="57" spans="1:53" ht="18" customHeight="1">
      <c r="A57" s="230"/>
      <c r="B57" s="254"/>
      <c r="C57" s="240"/>
      <c r="D57" s="246"/>
      <c r="E57" s="155" t="s">
        <v>3</v>
      </c>
      <c r="F57" s="158">
        <f t="shared" si="71"/>
        <v>0</v>
      </c>
      <c r="G57" s="158">
        <f t="shared" si="71"/>
        <v>0</v>
      </c>
      <c r="H57" s="160"/>
      <c r="I57" s="110"/>
      <c r="J57" s="110"/>
      <c r="K57" s="156"/>
      <c r="L57" s="158"/>
      <c r="M57" s="158"/>
      <c r="N57" s="160"/>
      <c r="O57" s="158"/>
      <c r="P57" s="158"/>
      <c r="Q57" s="160"/>
      <c r="R57" s="158"/>
      <c r="S57" s="158"/>
      <c r="T57" s="160"/>
      <c r="U57" s="161"/>
      <c r="V57" s="161"/>
      <c r="W57" s="161"/>
      <c r="X57" s="161"/>
      <c r="Y57" s="161"/>
      <c r="Z57" s="160"/>
      <c r="AA57" s="161"/>
      <c r="AB57" s="161"/>
      <c r="AC57" s="161"/>
      <c r="AD57" s="161"/>
      <c r="AE57" s="161"/>
      <c r="AF57" s="161"/>
      <c r="AG57" s="161"/>
      <c r="AH57" s="161"/>
      <c r="AI57" s="161"/>
      <c r="AJ57" s="158"/>
      <c r="AK57" s="158"/>
      <c r="AL57" s="158"/>
      <c r="AM57" s="161"/>
      <c r="AN57" s="161"/>
      <c r="AO57" s="161"/>
      <c r="AP57" s="158"/>
      <c r="AQ57" s="156"/>
      <c r="AR57" s="156"/>
      <c r="AS57" s="165"/>
      <c r="AT57" s="164"/>
      <c r="AU57" s="116">
        <f t="shared" si="41"/>
        <v>0</v>
      </c>
      <c r="AV57" s="116">
        <f t="shared" si="41"/>
        <v>0</v>
      </c>
      <c r="AW57" s="168"/>
      <c r="AX57" s="117">
        <f t="shared" si="4"/>
        <v>0</v>
      </c>
      <c r="AY57" s="117">
        <f t="shared" si="5"/>
        <v>0</v>
      </c>
      <c r="AZ57" s="117">
        <f t="shared" si="23"/>
        <v>0</v>
      </c>
      <c r="BA57" s="117">
        <f t="shared" si="24"/>
        <v>0</v>
      </c>
    </row>
    <row r="58" spans="1:53" ht="18" customHeight="1">
      <c r="A58" s="230"/>
      <c r="B58" s="254"/>
      <c r="C58" s="241"/>
      <c r="D58" s="247"/>
      <c r="E58" s="155" t="s">
        <v>44</v>
      </c>
      <c r="F58" s="158">
        <f t="shared" si="71"/>
        <v>0</v>
      </c>
      <c r="G58" s="158">
        <f t="shared" si="71"/>
        <v>0</v>
      </c>
      <c r="H58" s="160"/>
      <c r="I58" s="110"/>
      <c r="J58" s="110"/>
      <c r="K58" s="156"/>
      <c r="L58" s="158"/>
      <c r="M58" s="158"/>
      <c r="N58" s="160"/>
      <c r="O58" s="158"/>
      <c r="P58" s="158"/>
      <c r="Q58" s="160"/>
      <c r="R58" s="158"/>
      <c r="S58" s="158"/>
      <c r="T58" s="160"/>
      <c r="U58" s="161"/>
      <c r="V58" s="161"/>
      <c r="W58" s="161"/>
      <c r="X58" s="161"/>
      <c r="Y58" s="161"/>
      <c r="Z58" s="160"/>
      <c r="AA58" s="161"/>
      <c r="AB58" s="161"/>
      <c r="AC58" s="161"/>
      <c r="AD58" s="161"/>
      <c r="AE58" s="161"/>
      <c r="AF58" s="161"/>
      <c r="AG58" s="161"/>
      <c r="AH58" s="161"/>
      <c r="AI58" s="161"/>
      <c r="AJ58" s="158"/>
      <c r="AK58" s="158"/>
      <c r="AL58" s="158"/>
      <c r="AM58" s="161"/>
      <c r="AN58" s="161"/>
      <c r="AO58" s="161"/>
      <c r="AP58" s="158"/>
      <c r="AQ58" s="156"/>
      <c r="AR58" s="156"/>
      <c r="AS58" s="164"/>
      <c r="AT58" s="164"/>
      <c r="AU58" s="116">
        <f t="shared" si="41"/>
        <v>0</v>
      </c>
      <c r="AV58" s="116">
        <f t="shared" si="41"/>
        <v>0</v>
      </c>
      <c r="AW58" s="168"/>
      <c r="AX58" s="117">
        <f t="shared" si="4"/>
        <v>0</v>
      </c>
      <c r="AY58" s="117">
        <f t="shared" si="5"/>
        <v>0</v>
      </c>
      <c r="AZ58" s="117">
        <f t="shared" si="23"/>
        <v>0</v>
      </c>
      <c r="BA58" s="117">
        <f t="shared" si="24"/>
        <v>0</v>
      </c>
    </row>
    <row r="59" spans="1:53" ht="30" customHeight="1">
      <c r="A59" s="230" t="s">
        <v>362</v>
      </c>
      <c r="B59" s="238" t="s">
        <v>330</v>
      </c>
      <c r="C59" s="239" t="s">
        <v>275</v>
      </c>
      <c r="D59" s="242" t="s">
        <v>390</v>
      </c>
      <c r="E59" s="155" t="s">
        <v>42</v>
      </c>
      <c r="F59" s="158">
        <f t="shared" si="71"/>
        <v>163.01</v>
      </c>
      <c r="G59" s="158">
        <f t="shared" si="71"/>
        <v>12.81</v>
      </c>
      <c r="H59" s="160">
        <f t="shared" ref="H59" si="73">G59/F59</f>
        <v>7.8584135942580222E-2</v>
      </c>
      <c r="I59" s="110">
        <f>SUM(I60:I61)</f>
        <v>0</v>
      </c>
      <c r="J59" s="110">
        <f>SUM(J60:J61)</f>
        <v>0</v>
      </c>
      <c r="K59" s="156">
        <f>SUM(K60:K61)</f>
        <v>0</v>
      </c>
      <c r="L59" s="158">
        <f>SUM(L60:L61)</f>
        <v>0</v>
      </c>
      <c r="M59" s="158">
        <f>SUM(M60:M61)</f>
        <v>0</v>
      </c>
      <c r="N59" s="160"/>
      <c r="O59" s="158">
        <f>SUM(O60:O61)</f>
        <v>50</v>
      </c>
      <c r="P59" s="158">
        <f>SUM(P60:P61)</f>
        <v>0</v>
      </c>
      <c r="Q59" s="160">
        <f t="shared" ref="Q59:Q64" si="74">P59/O59</f>
        <v>0</v>
      </c>
      <c r="R59" s="158">
        <f>SUM(R60:R61)</f>
        <v>0</v>
      </c>
      <c r="S59" s="158">
        <f>SUM(S60:S61)</f>
        <v>0</v>
      </c>
      <c r="T59" s="160"/>
      <c r="U59" s="158">
        <f t="shared" ref="U59:AR59" si="75">SUM(U60:U61)</f>
        <v>0</v>
      </c>
      <c r="V59" s="158">
        <f t="shared" si="75"/>
        <v>0</v>
      </c>
      <c r="W59" s="158">
        <f t="shared" si="75"/>
        <v>0</v>
      </c>
      <c r="X59" s="158">
        <f t="shared" si="75"/>
        <v>0</v>
      </c>
      <c r="Y59" s="158">
        <f t="shared" si="75"/>
        <v>0</v>
      </c>
      <c r="Z59" s="160"/>
      <c r="AA59" s="158">
        <f t="shared" si="75"/>
        <v>0</v>
      </c>
      <c r="AB59" s="158">
        <f t="shared" si="75"/>
        <v>0</v>
      </c>
      <c r="AC59" s="158">
        <f t="shared" si="75"/>
        <v>0</v>
      </c>
      <c r="AD59" s="158">
        <f t="shared" si="75"/>
        <v>0</v>
      </c>
      <c r="AE59" s="158">
        <f t="shared" si="75"/>
        <v>0</v>
      </c>
      <c r="AF59" s="158">
        <f t="shared" si="75"/>
        <v>0</v>
      </c>
      <c r="AG59" s="158">
        <f t="shared" si="75"/>
        <v>47.81</v>
      </c>
      <c r="AH59" s="158">
        <f t="shared" si="75"/>
        <v>12.81</v>
      </c>
      <c r="AI59" s="160">
        <f t="shared" ref="AI59:AI64" si="76">AH59/AG59</f>
        <v>0.2679355783308931</v>
      </c>
      <c r="AJ59" s="158">
        <f t="shared" si="75"/>
        <v>0</v>
      </c>
      <c r="AK59" s="158">
        <f t="shared" si="75"/>
        <v>0</v>
      </c>
      <c r="AL59" s="158">
        <f t="shared" si="75"/>
        <v>0</v>
      </c>
      <c r="AM59" s="158">
        <f t="shared" si="75"/>
        <v>0</v>
      </c>
      <c r="AN59" s="158">
        <f t="shared" si="75"/>
        <v>0</v>
      </c>
      <c r="AO59" s="158">
        <f t="shared" si="75"/>
        <v>0</v>
      </c>
      <c r="AP59" s="158">
        <f t="shared" si="75"/>
        <v>65.2</v>
      </c>
      <c r="AQ59" s="156">
        <f t="shared" si="75"/>
        <v>0</v>
      </c>
      <c r="AR59" s="156">
        <f t="shared" si="75"/>
        <v>0</v>
      </c>
      <c r="AS59" s="165"/>
      <c r="AT59" s="164"/>
      <c r="AU59" s="116">
        <f t="shared" si="41"/>
        <v>97.81</v>
      </c>
      <c r="AV59" s="116">
        <f t="shared" si="41"/>
        <v>12.81</v>
      </c>
      <c r="AW59" s="168">
        <f t="shared" si="20"/>
        <v>0.13096820366015746</v>
      </c>
      <c r="AX59" s="117">
        <f t="shared" si="4"/>
        <v>50</v>
      </c>
      <c r="AY59" s="117">
        <f t="shared" si="5"/>
        <v>0</v>
      </c>
      <c r="AZ59" s="117">
        <f t="shared" si="23"/>
        <v>47.81</v>
      </c>
      <c r="BA59" s="117">
        <f t="shared" si="24"/>
        <v>65.2</v>
      </c>
    </row>
    <row r="60" spans="1:53" ht="30" customHeight="1">
      <c r="A60" s="230"/>
      <c r="B60" s="238"/>
      <c r="C60" s="240"/>
      <c r="D60" s="243"/>
      <c r="E60" s="155" t="s">
        <v>3</v>
      </c>
      <c r="F60" s="158">
        <f t="shared" si="71"/>
        <v>0</v>
      </c>
      <c r="G60" s="158">
        <f t="shared" si="71"/>
        <v>0</v>
      </c>
      <c r="H60" s="160"/>
      <c r="I60" s="110"/>
      <c r="J60" s="110"/>
      <c r="K60" s="156"/>
      <c r="L60" s="158"/>
      <c r="M60" s="158"/>
      <c r="N60" s="160"/>
      <c r="O60" s="158"/>
      <c r="P60" s="158"/>
      <c r="Q60" s="160"/>
      <c r="R60" s="158"/>
      <c r="S60" s="158"/>
      <c r="T60" s="160"/>
      <c r="U60" s="161"/>
      <c r="V60" s="161"/>
      <c r="W60" s="161"/>
      <c r="X60" s="161"/>
      <c r="Y60" s="161"/>
      <c r="Z60" s="160"/>
      <c r="AA60" s="161"/>
      <c r="AB60" s="161"/>
      <c r="AC60" s="161"/>
      <c r="AD60" s="161"/>
      <c r="AE60" s="161"/>
      <c r="AF60" s="161"/>
      <c r="AG60" s="161"/>
      <c r="AH60" s="161"/>
      <c r="AI60" s="160"/>
      <c r="AJ60" s="158"/>
      <c r="AK60" s="158"/>
      <c r="AL60" s="158"/>
      <c r="AM60" s="161"/>
      <c r="AN60" s="161"/>
      <c r="AO60" s="161"/>
      <c r="AP60" s="158"/>
      <c r="AQ60" s="156"/>
      <c r="AR60" s="156"/>
      <c r="AS60" s="165"/>
      <c r="AT60" s="164"/>
      <c r="AU60" s="116">
        <f t="shared" si="41"/>
        <v>0</v>
      </c>
      <c r="AV60" s="116">
        <f t="shared" si="41"/>
        <v>0</v>
      </c>
      <c r="AW60" s="168"/>
      <c r="AX60" s="117">
        <f t="shared" si="4"/>
        <v>0</v>
      </c>
      <c r="AY60" s="117">
        <f t="shared" si="5"/>
        <v>0</v>
      </c>
      <c r="AZ60" s="117">
        <f t="shared" si="23"/>
        <v>0</v>
      </c>
      <c r="BA60" s="117">
        <f t="shared" si="24"/>
        <v>0</v>
      </c>
    </row>
    <row r="61" spans="1:53" ht="45" customHeight="1">
      <c r="A61" s="230"/>
      <c r="B61" s="238"/>
      <c r="C61" s="241"/>
      <c r="D61" s="244"/>
      <c r="E61" s="155" t="s">
        <v>44</v>
      </c>
      <c r="F61" s="158">
        <f t="shared" si="71"/>
        <v>163.01</v>
      </c>
      <c r="G61" s="158">
        <f t="shared" si="71"/>
        <v>12.81</v>
      </c>
      <c r="H61" s="160">
        <f t="shared" ref="H61:H62" si="77">G61/F61</f>
        <v>7.8584135942580222E-2</v>
      </c>
      <c r="I61" s="110"/>
      <c r="J61" s="110"/>
      <c r="K61" s="156"/>
      <c r="L61" s="158"/>
      <c r="M61" s="158"/>
      <c r="N61" s="160"/>
      <c r="O61" s="158">
        <v>50</v>
      </c>
      <c r="P61" s="158"/>
      <c r="Q61" s="160">
        <f t="shared" si="74"/>
        <v>0</v>
      </c>
      <c r="R61" s="158"/>
      <c r="S61" s="158"/>
      <c r="T61" s="160"/>
      <c r="U61" s="161"/>
      <c r="V61" s="161"/>
      <c r="W61" s="161"/>
      <c r="X61" s="161"/>
      <c r="Y61" s="161"/>
      <c r="Z61" s="160"/>
      <c r="AA61" s="161"/>
      <c r="AB61" s="161"/>
      <c r="AC61" s="161"/>
      <c r="AD61" s="161"/>
      <c r="AE61" s="161"/>
      <c r="AF61" s="161"/>
      <c r="AG61" s="161">
        <f>12.81+35</f>
        <v>47.81</v>
      </c>
      <c r="AH61" s="161">
        <v>12.81</v>
      </c>
      <c r="AI61" s="160">
        <f t="shared" si="76"/>
        <v>0.2679355783308931</v>
      </c>
      <c r="AJ61" s="158"/>
      <c r="AK61" s="158"/>
      <c r="AL61" s="158"/>
      <c r="AM61" s="161"/>
      <c r="AN61" s="161"/>
      <c r="AO61" s="161"/>
      <c r="AP61" s="158">
        <v>65.2</v>
      </c>
      <c r="AQ61" s="156"/>
      <c r="AR61" s="156"/>
      <c r="AS61" s="123" t="s">
        <v>450</v>
      </c>
      <c r="AT61" s="164" t="s">
        <v>416</v>
      </c>
      <c r="AU61" s="116">
        <f t="shared" si="41"/>
        <v>97.81</v>
      </c>
      <c r="AV61" s="116">
        <f t="shared" si="41"/>
        <v>12.81</v>
      </c>
      <c r="AW61" s="168">
        <f t="shared" si="20"/>
        <v>0.13096820366015746</v>
      </c>
      <c r="AX61" s="117">
        <f t="shared" si="4"/>
        <v>50</v>
      </c>
      <c r="AY61" s="117">
        <f t="shared" si="5"/>
        <v>0</v>
      </c>
      <c r="AZ61" s="117">
        <f t="shared" si="23"/>
        <v>47.81</v>
      </c>
      <c r="BA61" s="117">
        <f t="shared" si="24"/>
        <v>65.2</v>
      </c>
    </row>
    <row r="62" spans="1:53" ht="16.5" customHeight="1">
      <c r="A62" s="230" t="s">
        <v>363</v>
      </c>
      <c r="B62" s="238" t="s">
        <v>400</v>
      </c>
      <c r="C62" s="239" t="s">
        <v>275</v>
      </c>
      <c r="D62" s="242" t="s">
        <v>390</v>
      </c>
      <c r="E62" s="155" t="s">
        <v>42</v>
      </c>
      <c r="F62" s="158">
        <f t="shared" si="71"/>
        <v>356.99</v>
      </c>
      <c r="G62" s="158">
        <f t="shared" si="71"/>
        <v>294.49</v>
      </c>
      <c r="H62" s="160">
        <f t="shared" si="77"/>
        <v>0.82492506792907361</v>
      </c>
      <c r="I62" s="158">
        <f>SUM(I63:I64)</f>
        <v>30</v>
      </c>
      <c r="J62" s="158">
        <f>SUM(J63:J64)</f>
        <v>30</v>
      </c>
      <c r="K62" s="160">
        <f t="shared" ref="K62" si="78">J62/I62</f>
        <v>1</v>
      </c>
      <c r="L62" s="158">
        <f>SUM(L63:L64)</f>
        <v>0</v>
      </c>
      <c r="M62" s="158">
        <f>SUM(M63:M64)</f>
        <v>0</v>
      </c>
      <c r="N62" s="160"/>
      <c r="O62" s="158">
        <f>SUM(O63:O64)</f>
        <v>219.49</v>
      </c>
      <c r="P62" s="158">
        <f>SUM(P63:P64)</f>
        <v>219.49</v>
      </c>
      <c r="Q62" s="160">
        <f t="shared" si="74"/>
        <v>1</v>
      </c>
      <c r="R62" s="158">
        <f>SUM(R63:R64)</f>
        <v>0</v>
      </c>
      <c r="S62" s="158">
        <f>SUM(S63:S64)</f>
        <v>0</v>
      </c>
      <c r="T62" s="160"/>
      <c r="U62" s="158">
        <f t="shared" ref="U62:AR62" si="79">SUM(U63:U64)</f>
        <v>0</v>
      </c>
      <c r="V62" s="158">
        <f t="shared" si="79"/>
        <v>0</v>
      </c>
      <c r="W62" s="160"/>
      <c r="X62" s="158">
        <f t="shared" si="79"/>
        <v>0</v>
      </c>
      <c r="Y62" s="158">
        <f t="shared" si="79"/>
        <v>0</v>
      </c>
      <c r="Z62" s="160"/>
      <c r="AA62" s="158">
        <f t="shared" si="79"/>
        <v>45</v>
      </c>
      <c r="AB62" s="158">
        <f t="shared" si="79"/>
        <v>45</v>
      </c>
      <c r="AC62" s="160">
        <f t="shared" ref="AC62" si="80">AB62/AA62</f>
        <v>1</v>
      </c>
      <c r="AD62" s="158">
        <f t="shared" si="79"/>
        <v>0</v>
      </c>
      <c r="AE62" s="158">
        <f t="shared" si="79"/>
        <v>0</v>
      </c>
      <c r="AF62" s="158">
        <f t="shared" si="79"/>
        <v>0</v>
      </c>
      <c r="AG62" s="158">
        <f t="shared" si="79"/>
        <v>62.5</v>
      </c>
      <c r="AH62" s="158">
        <f t="shared" si="79"/>
        <v>0</v>
      </c>
      <c r="AI62" s="160">
        <f t="shared" si="76"/>
        <v>0</v>
      </c>
      <c r="AJ62" s="158">
        <f t="shared" si="79"/>
        <v>0</v>
      </c>
      <c r="AK62" s="158">
        <f t="shared" si="79"/>
        <v>0</v>
      </c>
      <c r="AL62" s="160" t="e">
        <f t="shared" ref="AL62" si="81">AK62/AJ62</f>
        <v>#DIV/0!</v>
      </c>
      <c r="AM62" s="158">
        <f t="shared" si="79"/>
        <v>0</v>
      </c>
      <c r="AN62" s="158">
        <f t="shared" si="79"/>
        <v>0</v>
      </c>
      <c r="AO62" s="160" t="e">
        <f t="shared" ref="AO62" si="82">AN62/AM62</f>
        <v>#DIV/0!</v>
      </c>
      <c r="AP62" s="158">
        <f t="shared" si="79"/>
        <v>0</v>
      </c>
      <c r="AQ62" s="156">
        <f t="shared" si="79"/>
        <v>0</v>
      </c>
      <c r="AR62" s="156">
        <f t="shared" si="79"/>
        <v>0</v>
      </c>
      <c r="AS62" s="165"/>
      <c r="AT62" s="164"/>
      <c r="AU62" s="116">
        <f t="shared" si="41"/>
        <v>356.99</v>
      </c>
      <c r="AV62" s="116">
        <f t="shared" si="41"/>
        <v>294.49</v>
      </c>
      <c r="AW62" s="168">
        <f t="shared" si="20"/>
        <v>0.82492506792907361</v>
      </c>
      <c r="AX62" s="117">
        <f t="shared" si="4"/>
        <v>249.49</v>
      </c>
      <c r="AY62" s="117">
        <f t="shared" si="5"/>
        <v>0</v>
      </c>
      <c r="AZ62" s="117">
        <f t="shared" si="23"/>
        <v>107.5</v>
      </c>
      <c r="BA62" s="117">
        <f t="shared" si="24"/>
        <v>0</v>
      </c>
    </row>
    <row r="63" spans="1:53" ht="16.5" customHeight="1">
      <c r="A63" s="230"/>
      <c r="B63" s="238"/>
      <c r="C63" s="240"/>
      <c r="D63" s="243"/>
      <c r="E63" s="155" t="s">
        <v>3</v>
      </c>
      <c r="F63" s="158">
        <f t="shared" si="71"/>
        <v>0</v>
      </c>
      <c r="G63" s="158">
        <f t="shared" si="71"/>
        <v>0</v>
      </c>
      <c r="H63" s="160"/>
      <c r="I63" s="158"/>
      <c r="J63" s="158"/>
      <c r="K63" s="160"/>
      <c r="L63" s="158"/>
      <c r="M63" s="158"/>
      <c r="N63" s="160"/>
      <c r="O63" s="158"/>
      <c r="P63" s="158"/>
      <c r="Q63" s="160"/>
      <c r="R63" s="158"/>
      <c r="S63" s="158"/>
      <c r="T63" s="160"/>
      <c r="U63" s="161"/>
      <c r="V63" s="161"/>
      <c r="W63" s="161"/>
      <c r="X63" s="161"/>
      <c r="Y63" s="161"/>
      <c r="Z63" s="160"/>
      <c r="AA63" s="161"/>
      <c r="AB63" s="161"/>
      <c r="AC63" s="160"/>
      <c r="AD63" s="161"/>
      <c r="AE63" s="161"/>
      <c r="AF63" s="161"/>
      <c r="AG63" s="161"/>
      <c r="AH63" s="161"/>
      <c r="AI63" s="160"/>
      <c r="AJ63" s="158"/>
      <c r="AK63" s="158"/>
      <c r="AL63" s="158"/>
      <c r="AM63" s="161"/>
      <c r="AN63" s="161"/>
      <c r="AO63" s="161"/>
      <c r="AP63" s="158"/>
      <c r="AQ63" s="156"/>
      <c r="AR63" s="156"/>
      <c r="AS63" s="165"/>
      <c r="AT63" s="164"/>
      <c r="AU63" s="116">
        <f t="shared" si="41"/>
        <v>0</v>
      </c>
      <c r="AV63" s="116">
        <f t="shared" si="41"/>
        <v>0</v>
      </c>
      <c r="AW63" s="168"/>
      <c r="AX63" s="117">
        <f t="shared" si="4"/>
        <v>0</v>
      </c>
      <c r="AY63" s="117">
        <f t="shared" si="5"/>
        <v>0</v>
      </c>
      <c r="AZ63" s="117">
        <f t="shared" si="23"/>
        <v>0</v>
      </c>
      <c r="BA63" s="117">
        <f t="shared" si="24"/>
        <v>0</v>
      </c>
    </row>
    <row r="64" spans="1:53" ht="79.5" customHeight="1">
      <c r="A64" s="230"/>
      <c r="B64" s="238"/>
      <c r="C64" s="241"/>
      <c r="D64" s="244"/>
      <c r="E64" s="155" t="s">
        <v>44</v>
      </c>
      <c r="F64" s="158">
        <f t="shared" si="71"/>
        <v>356.99</v>
      </c>
      <c r="G64" s="158">
        <f t="shared" si="71"/>
        <v>294.49</v>
      </c>
      <c r="H64" s="160">
        <f t="shared" ref="H64" si="83">G64/F64</f>
        <v>0.82492506792907361</v>
      </c>
      <c r="I64" s="158">
        <v>30</v>
      </c>
      <c r="J64" s="158">
        <v>30</v>
      </c>
      <c r="K64" s="160">
        <f t="shared" ref="K64" si="84">J64/I64</f>
        <v>1</v>
      </c>
      <c r="L64" s="158"/>
      <c r="M64" s="158"/>
      <c r="N64" s="160"/>
      <c r="O64" s="158">
        <v>219.49</v>
      </c>
      <c r="P64" s="158">
        <v>219.49</v>
      </c>
      <c r="Q64" s="160">
        <f t="shared" si="74"/>
        <v>1</v>
      </c>
      <c r="R64" s="158"/>
      <c r="S64" s="158"/>
      <c r="T64" s="160"/>
      <c r="U64" s="161"/>
      <c r="V64" s="161"/>
      <c r="W64" s="160"/>
      <c r="X64" s="161"/>
      <c r="Y64" s="161"/>
      <c r="Z64" s="160"/>
      <c r="AA64" s="161">
        <v>45</v>
      </c>
      <c r="AB64" s="161">
        <v>45</v>
      </c>
      <c r="AC64" s="160">
        <f t="shared" ref="AC64" si="85">AB64/AA64</f>
        <v>1</v>
      </c>
      <c r="AD64" s="161"/>
      <c r="AE64" s="161"/>
      <c r="AF64" s="161"/>
      <c r="AG64" s="161">
        <v>62.5</v>
      </c>
      <c r="AH64" s="161"/>
      <c r="AI64" s="160">
        <f t="shared" si="76"/>
        <v>0</v>
      </c>
      <c r="AJ64" s="158"/>
      <c r="AK64" s="158"/>
      <c r="AL64" s="160" t="e">
        <f t="shared" ref="AL64" si="86">AK64/AJ64</f>
        <v>#DIV/0!</v>
      </c>
      <c r="AM64" s="161"/>
      <c r="AN64" s="161"/>
      <c r="AO64" s="160" t="e">
        <f t="shared" ref="AO64" si="87">AN64/AM64</f>
        <v>#DIV/0!</v>
      </c>
      <c r="AP64" s="158"/>
      <c r="AQ64" s="156"/>
      <c r="AR64" s="156"/>
      <c r="AS64" s="164" t="s">
        <v>451</v>
      </c>
      <c r="AT64" s="164" t="s">
        <v>416</v>
      </c>
      <c r="AU64" s="116">
        <f t="shared" si="41"/>
        <v>356.99</v>
      </c>
      <c r="AV64" s="116">
        <f t="shared" si="41"/>
        <v>294.49</v>
      </c>
      <c r="AW64" s="168">
        <f t="shared" si="20"/>
        <v>0.82492506792907361</v>
      </c>
      <c r="AX64" s="117">
        <f t="shared" si="4"/>
        <v>249.49</v>
      </c>
      <c r="AY64" s="117">
        <f t="shared" si="5"/>
        <v>0</v>
      </c>
      <c r="AZ64" s="117">
        <f t="shared" si="23"/>
        <v>107.5</v>
      </c>
      <c r="BA64" s="117">
        <f t="shared" si="24"/>
        <v>0</v>
      </c>
    </row>
    <row r="65" spans="1:53" ht="23.25" customHeight="1">
      <c r="A65" s="230" t="s">
        <v>364</v>
      </c>
      <c r="B65" s="238" t="s">
        <v>331</v>
      </c>
      <c r="C65" s="239" t="s">
        <v>275</v>
      </c>
      <c r="D65" s="242" t="s">
        <v>389</v>
      </c>
      <c r="E65" s="155" t="s">
        <v>42</v>
      </c>
      <c r="F65" s="158">
        <f t="shared" si="71"/>
        <v>0</v>
      </c>
      <c r="G65" s="158">
        <f t="shared" si="71"/>
        <v>0</v>
      </c>
      <c r="H65" s="160"/>
      <c r="I65" s="110">
        <f>SUM(I66:I67)</f>
        <v>0</v>
      </c>
      <c r="J65" s="110">
        <f>SUM(J66:J67)</f>
        <v>0</v>
      </c>
      <c r="K65" s="156">
        <f>SUM(K66:K67)</f>
        <v>0</v>
      </c>
      <c r="L65" s="158">
        <f>SUM(L66:L67)</f>
        <v>0</v>
      </c>
      <c r="M65" s="158">
        <f>SUM(M66:M67)</f>
        <v>0</v>
      </c>
      <c r="N65" s="160"/>
      <c r="O65" s="158">
        <f>SUM(O66:O67)</f>
        <v>0</v>
      </c>
      <c r="P65" s="158">
        <f>SUM(P66:P67)</f>
        <v>0</v>
      </c>
      <c r="Q65" s="160"/>
      <c r="R65" s="158">
        <f>SUM(R66:R67)</f>
        <v>142.5</v>
      </c>
      <c r="S65" s="158">
        <f>SUM(S66:S67)</f>
        <v>45</v>
      </c>
      <c r="T65" s="160">
        <f t="shared" ref="T65" si="88">S65/R65</f>
        <v>0.31578947368421051</v>
      </c>
      <c r="U65" s="158">
        <f t="shared" ref="U65:AR65" si="89">SUM(U66:U67)</f>
        <v>0</v>
      </c>
      <c r="V65" s="158">
        <f t="shared" si="89"/>
        <v>-45</v>
      </c>
      <c r="W65" s="158">
        <f t="shared" si="89"/>
        <v>0</v>
      </c>
      <c r="X65" s="158">
        <f t="shared" si="89"/>
        <v>0</v>
      </c>
      <c r="Y65" s="158">
        <f t="shared" si="89"/>
        <v>0</v>
      </c>
      <c r="Z65" s="160"/>
      <c r="AA65" s="158">
        <f t="shared" si="89"/>
        <v>-142.5</v>
      </c>
      <c r="AB65" s="158">
        <f t="shared" si="89"/>
        <v>0</v>
      </c>
      <c r="AC65" s="160"/>
      <c r="AD65" s="158">
        <f t="shared" si="89"/>
        <v>0</v>
      </c>
      <c r="AE65" s="158">
        <f t="shared" si="89"/>
        <v>0</v>
      </c>
      <c r="AF65" s="158">
        <f t="shared" si="89"/>
        <v>0</v>
      </c>
      <c r="AG65" s="158">
        <f t="shared" si="89"/>
        <v>0</v>
      </c>
      <c r="AH65" s="158">
        <f t="shared" si="89"/>
        <v>0</v>
      </c>
      <c r="AI65" s="158">
        <f t="shared" si="89"/>
        <v>0</v>
      </c>
      <c r="AJ65" s="158">
        <f t="shared" si="89"/>
        <v>0</v>
      </c>
      <c r="AK65" s="158">
        <f t="shared" si="89"/>
        <v>0</v>
      </c>
      <c r="AL65" s="158">
        <f t="shared" si="89"/>
        <v>0</v>
      </c>
      <c r="AM65" s="158">
        <f t="shared" si="89"/>
        <v>0</v>
      </c>
      <c r="AN65" s="158">
        <f t="shared" si="89"/>
        <v>0</v>
      </c>
      <c r="AO65" s="158">
        <f t="shared" si="89"/>
        <v>0</v>
      </c>
      <c r="AP65" s="158">
        <f t="shared" si="89"/>
        <v>0</v>
      </c>
      <c r="AQ65" s="156">
        <f t="shared" si="89"/>
        <v>0</v>
      </c>
      <c r="AR65" s="156">
        <f t="shared" si="89"/>
        <v>0</v>
      </c>
      <c r="AS65" s="165"/>
      <c r="AT65" s="164"/>
      <c r="AU65" s="116">
        <f t="shared" si="41"/>
        <v>0</v>
      </c>
      <c r="AV65" s="116">
        <f t="shared" si="41"/>
        <v>0</v>
      </c>
      <c r="AW65" s="168"/>
      <c r="AX65" s="117">
        <f t="shared" si="4"/>
        <v>0</v>
      </c>
      <c r="AY65" s="117">
        <f t="shared" si="5"/>
        <v>142.5</v>
      </c>
      <c r="AZ65" s="117">
        <f t="shared" si="23"/>
        <v>-142.5</v>
      </c>
      <c r="BA65" s="117">
        <f t="shared" si="24"/>
        <v>0</v>
      </c>
    </row>
    <row r="66" spans="1:53" ht="30" customHeight="1">
      <c r="A66" s="230"/>
      <c r="B66" s="238"/>
      <c r="C66" s="240"/>
      <c r="D66" s="243"/>
      <c r="E66" s="155" t="s">
        <v>3</v>
      </c>
      <c r="F66" s="158">
        <f t="shared" si="71"/>
        <v>0</v>
      </c>
      <c r="G66" s="158">
        <f t="shared" si="71"/>
        <v>0</v>
      </c>
      <c r="H66" s="160"/>
      <c r="I66" s="110"/>
      <c r="J66" s="110"/>
      <c r="K66" s="156"/>
      <c r="L66" s="158"/>
      <c r="M66" s="158"/>
      <c r="N66" s="160"/>
      <c r="O66" s="158"/>
      <c r="P66" s="158"/>
      <c r="Q66" s="160"/>
      <c r="R66" s="158"/>
      <c r="S66" s="158"/>
      <c r="T66" s="160"/>
      <c r="U66" s="161"/>
      <c r="V66" s="161"/>
      <c r="W66" s="161"/>
      <c r="X66" s="161"/>
      <c r="Y66" s="161"/>
      <c r="Z66" s="160"/>
      <c r="AA66" s="161"/>
      <c r="AB66" s="161"/>
      <c r="AC66" s="160"/>
      <c r="AD66" s="161"/>
      <c r="AE66" s="161"/>
      <c r="AF66" s="161"/>
      <c r="AG66" s="161"/>
      <c r="AH66" s="161"/>
      <c r="AI66" s="161"/>
      <c r="AJ66" s="158"/>
      <c r="AK66" s="158"/>
      <c r="AL66" s="158"/>
      <c r="AM66" s="161"/>
      <c r="AN66" s="161"/>
      <c r="AO66" s="161"/>
      <c r="AP66" s="158"/>
      <c r="AQ66" s="156"/>
      <c r="AR66" s="156"/>
      <c r="AS66" s="165"/>
      <c r="AT66" s="164"/>
      <c r="AU66" s="116">
        <f t="shared" si="41"/>
        <v>0</v>
      </c>
      <c r="AV66" s="116">
        <f t="shared" si="41"/>
        <v>0</v>
      </c>
      <c r="AW66" s="168"/>
      <c r="AX66" s="117">
        <f t="shared" si="4"/>
        <v>0</v>
      </c>
      <c r="AY66" s="117">
        <f t="shared" si="5"/>
        <v>0</v>
      </c>
      <c r="AZ66" s="117">
        <f t="shared" si="23"/>
        <v>0</v>
      </c>
      <c r="BA66" s="117">
        <f t="shared" si="24"/>
        <v>0</v>
      </c>
    </row>
    <row r="67" spans="1:53" ht="46.5" customHeight="1">
      <c r="A67" s="230"/>
      <c r="B67" s="238"/>
      <c r="C67" s="241"/>
      <c r="D67" s="244"/>
      <c r="E67" s="155" t="s">
        <v>44</v>
      </c>
      <c r="F67" s="158">
        <f t="shared" si="71"/>
        <v>0</v>
      </c>
      <c r="G67" s="158">
        <f t="shared" si="71"/>
        <v>0</v>
      </c>
      <c r="H67" s="160"/>
      <c r="I67" s="110"/>
      <c r="J67" s="110"/>
      <c r="K67" s="156"/>
      <c r="L67" s="158"/>
      <c r="M67" s="158"/>
      <c r="N67" s="160"/>
      <c r="O67" s="158"/>
      <c r="P67" s="158"/>
      <c r="Q67" s="160"/>
      <c r="R67" s="158">
        <f>45+97.5</f>
        <v>142.5</v>
      </c>
      <c r="S67" s="158">
        <v>45</v>
      </c>
      <c r="T67" s="160">
        <f t="shared" ref="T67" si="90">S67/R67</f>
        <v>0.31578947368421051</v>
      </c>
      <c r="U67" s="161"/>
      <c r="V67" s="161">
        <v>-45</v>
      </c>
      <c r="W67" s="161"/>
      <c r="X67" s="161"/>
      <c r="Y67" s="161"/>
      <c r="Z67" s="160"/>
      <c r="AA67" s="158">
        <v>-142.5</v>
      </c>
      <c r="AB67" s="161"/>
      <c r="AC67" s="160"/>
      <c r="AD67" s="161"/>
      <c r="AE67" s="161"/>
      <c r="AF67" s="161"/>
      <c r="AG67" s="161"/>
      <c r="AH67" s="161"/>
      <c r="AI67" s="161"/>
      <c r="AJ67" s="158"/>
      <c r="AK67" s="158"/>
      <c r="AL67" s="158"/>
      <c r="AM67" s="161"/>
      <c r="AN67" s="161"/>
      <c r="AO67" s="161"/>
      <c r="AP67" s="158"/>
      <c r="AQ67" s="156"/>
      <c r="AR67" s="156"/>
      <c r="AS67" s="164"/>
      <c r="AT67" s="164"/>
      <c r="AU67" s="116">
        <f t="shared" si="41"/>
        <v>0</v>
      </c>
      <c r="AV67" s="116">
        <f t="shared" si="41"/>
        <v>0</v>
      </c>
      <c r="AW67" s="168"/>
      <c r="AX67" s="117">
        <f t="shared" si="4"/>
        <v>0</v>
      </c>
      <c r="AY67" s="117">
        <f t="shared" si="5"/>
        <v>142.5</v>
      </c>
      <c r="AZ67" s="117">
        <f t="shared" si="23"/>
        <v>-142.5</v>
      </c>
      <c r="BA67" s="117">
        <f t="shared" si="24"/>
        <v>0</v>
      </c>
    </row>
    <row r="68" spans="1:53" ht="18" customHeight="1">
      <c r="A68" s="230" t="s">
        <v>365</v>
      </c>
      <c r="B68" s="277" t="s">
        <v>332</v>
      </c>
      <c r="C68" s="239" t="s">
        <v>274</v>
      </c>
      <c r="D68" s="242" t="s">
        <v>288</v>
      </c>
      <c r="E68" s="155" t="s">
        <v>42</v>
      </c>
      <c r="F68" s="158">
        <f t="shared" si="71"/>
        <v>30</v>
      </c>
      <c r="G68" s="158">
        <f t="shared" si="71"/>
        <v>0</v>
      </c>
      <c r="H68" s="160">
        <f t="shared" ref="H68" si="91">G68/F68</f>
        <v>0</v>
      </c>
      <c r="I68" s="110">
        <f>SUM(I69:I70)</f>
        <v>0</v>
      </c>
      <c r="J68" s="110">
        <f>SUM(J69:J70)</f>
        <v>0</v>
      </c>
      <c r="K68" s="156">
        <f>SUM(K69:K70)</f>
        <v>0</v>
      </c>
      <c r="L68" s="158">
        <f>SUM(L69:L70)</f>
        <v>0</v>
      </c>
      <c r="M68" s="158">
        <f>SUM(M69:M70)</f>
        <v>0</v>
      </c>
      <c r="N68" s="160"/>
      <c r="O68" s="158">
        <f>SUM(O69:O70)</f>
        <v>0</v>
      </c>
      <c r="P68" s="158">
        <f>SUM(P69:P70)</f>
        <v>0</v>
      </c>
      <c r="Q68" s="160"/>
      <c r="R68" s="158">
        <f>SUM(R69:R70)</f>
        <v>0</v>
      </c>
      <c r="S68" s="158">
        <f>SUM(S69:S70)</f>
        <v>0</v>
      </c>
      <c r="T68" s="160"/>
      <c r="U68" s="158">
        <f t="shared" ref="U68:AR68" si="92">SUM(U69:U70)</f>
        <v>0</v>
      </c>
      <c r="V68" s="158">
        <f t="shared" si="92"/>
        <v>0</v>
      </c>
      <c r="W68" s="158">
        <f t="shared" si="92"/>
        <v>0</v>
      </c>
      <c r="X68" s="158">
        <f t="shared" si="92"/>
        <v>0</v>
      </c>
      <c r="Y68" s="158">
        <f t="shared" si="92"/>
        <v>0</v>
      </c>
      <c r="Z68" s="160"/>
      <c r="AA68" s="158">
        <f t="shared" si="92"/>
        <v>0</v>
      </c>
      <c r="AB68" s="158">
        <f t="shared" si="92"/>
        <v>0</v>
      </c>
      <c r="AC68" s="160"/>
      <c r="AD68" s="158">
        <f t="shared" si="92"/>
        <v>0</v>
      </c>
      <c r="AE68" s="158">
        <f t="shared" si="92"/>
        <v>0</v>
      </c>
      <c r="AF68" s="158">
        <f t="shared" si="92"/>
        <v>0</v>
      </c>
      <c r="AG68" s="158">
        <f t="shared" si="92"/>
        <v>0</v>
      </c>
      <c r="AH68" s="158">
        <f t="shared" si="92"/>
        <v>0</v>
      </c>
      <c r="AI68" s="160"/>
      <c r="AJ68" s="158">
        <f t="shared" si="92"/>
        <v>0</v>
      </c>
      <c r="AK68" s="158">
        <f t="shared" si="92"/>
        <v>0</v>
      </c>
      <c r="AL68" s="158">
        <f t="shared" si="92"/>
        <v>0</v>
      </c>
      <c r="AM68" s="158">
        <f t="shared" si="92"/>
        <v>15</v>
      </c>
      <c r="AN68" s="158">
        <f t="shared" si="92"/>
        <v>0</v>
      </c>
      <c r="AO68" s="158">
        <f t="shared" si="92"/>
        <v>0</v>
      </c>
      <c r="AP68" s="158">
        <f t="shared" si="92"/>
        <v>15</v>
      </c>
      <c r="AQ68" s="156">
        <f t="shared" si="92"/>
        <v>0</v>
      </c>
      <c r="AR68" s="156">
        <f t="shared" si="92"/>
        <v>0</v>
      </c>
      <c r="AS68" s="165"/>
      <c r="AT68" s="164"/>
      <c r="AU68" s="116">
        <f t="shared" si="41"/>
        <v>0</v>
      </c>
      <c r="AV68" s="116">
        <f t="shared" si="41"/>
        <v>0</v>
      </c>
      <c r="AW68" s="168"/>
      <c r="AX68" s="117">
        <f t="shared" si="4"/>
        <v>0</v>
      </c>
      <c r="AY68" s="117">
        <f t="shared" si="5"/>
        <v>0</v>
      </c>
      <c r="AZ68" s="117">
        <f t="shared" si="23"/>
        <v>0</v>
      </c>
      <c r="BA68" s="117">
        <f t="shared" si="24"/>
        <v>30</v>
      </c>
    </row>
    <row r="69" spans="1:53" ht="18" customHeight="1">
      <c r="A69" s="230"/>
      <c r="B69" s="278"/>
      <c r="C69" s="240"/>
      <c r="D69" s="243"/>
      <c r="E69" s="155" t="s">
        <v>3</v>
      </c>
      <c r="F69" s="158">
        <f t="shared" si="71"/>
        <v>0</v>
      </c>
      <c r="G69" s="158">
        <f t="shared" si="71"/>
        <v>0</v>
      </c>
      <c r="H69" s="160"/>
      <c r="I69" s="110"/>
      <c r="J69" s="110"/>
      <c r="K69" s="156"/>
      <c r="L69" s="158"/>
      <c r="M69" s="158"/>
      <c r="N69" s="160"/>
      <c r="O69" s="158"/>
      <c r="P69" s="158"/>
      <c r="Q69" s="160"/>
      <c r="R69" s="158"/>
      <c r="S69" s="158"/>
      <c r="T69" s="160"/>
      <c r="U69" s="158"/>
      <c r="V69" s="158"/>
      <c r="W69" s="158"/>
      <c r="X69" s="158"/>
      <c r="Y69" s="158"/>
      <c r="Z69" s="160"/>
      <c r="AA69" s="158"/>
      <c r="AB69" s="158"/>
      <c r="AC69" s="160"/>
      <c r="AD69" s="158"/>
      <c r="AE69" s="158"/>
      <c r="AF69" s="158"/>
      <c r="AG69" s="158"/>
      <c r="AH69" s="158"/>
      <c r="AI69" s="160"/>
      <c r="AJ69" s="158"/>
      <c r="AK69" s="158"/>
      <c r="AL69" s="158"/>
      <c r="AM69" s="158"/>
      <c r="AN69" s="158"/>
      <c r="AO69" s="158"/>
      <c r="AP69" s="158"/>
      <c r="AQ69" s="156"/>
      <c r="AR69" s="156"/>
      <c r="AS69" s="165"/>
      <c r="AT69" s="164"/>
      <c r="AU69" s="116">
        <f t="shared" si="41"/>
        <v>0</v>
      </c>
      <c r="AV69" s="116">
        <f t="shared" si="41"/>
        <v>0</v>
      </c>
      <c r="AW69" s="168"/>
      <c r="AX69" s="117">
        <f t="shared" si="4"/>
        <v>0</v>
      </c>
      <c r="AY69" s="117">
        <f t="shared" si="5"/>
        <v>0</v>
      </c>
      <c r="AZ69" s="117">
        <f t="shared" si="23"/>
        <v>0</v>
      </c>
      <c r="BA69" s="117">
        <f t="shared" si="24"/>
        <v>0</v>
      </c>
    </row>
    <row r="70" spans="1:53" ht="18" customHeight="1">
      <c r="A70" s="230"/>
      <c r="B70" s="279"/>
      <c r="C70" s="241"/>
      <c r="D70" s="244"/>
      <c r="E70" s="155" t="s">
        <v>44</v>
      </c>
      <c r="F70" s="158">
        <f t="shared" si="71"/>
        <v>30</v>
      </c>
      <c r="G70" s="158">
        <f t="shared" si="71"/>
        <v>0</v>
      </c>
      <c r="H70" s="160">
        <f t="shared" ref="H70" si="93">G70/F70</f>
        <v>0</v>
      </c>
      <c r="I70" s="110"/>
      <c r="J70" s="110"/>
      <c r="K70" s="156"/>
      <c r="L70" s="158"/>
      <c r="M70" s="158">
        <v>0</v>
      </c>
      <c r="N70" s="160"/>
      <c r="O70" s="158"/>
      <c r="P70" s="158"/>
      <c r="Q70" s="160"/>
      <c r="R70" s="158"/>
      <c r="S70" s="158"/>
      <c r="T70" s="160"/>
      <c r="U70" s="158"/>
      <c r="V70" s="158"/>
      <c r="W70" s="158"/>
      <c r="X70" s="158"/>
      <c r="Y70" s="158"/>
      <c r="Z70" s="160"/>
      <c r="AA70" s="158"/>
      <c r="AB70" s="158"/>
      <c r="AC70" s="160"/>
      <c r="AD70" s="158"/>
      <c r="AE70" s="158"/>
      <c r="AF70" s="158"/>
      <c r="AG70" s="158"/>
      <c r="AH70" s="158"/>
      <c r="AI70" s="160"/>
      <c r="AJ70" s="158"/>
      <c r="AK70" s="158"/>
      <c r="AL70" s="158"/>
      <c r="AM70" s="158">
        <v>15</v>
      </c>
      <c r="AN70" s="158"/>
      <c r="AO70" s="158"/>
      <c r="AP70" s="158">
        <v>15</v>
      </c>
      <c r="AQ70" s="156"/>
      <c r="AR70" s="156"/>
      <c r="AS70" s="164"/>
      <c r="AT70" s="164"/>
      <c r="AU70" s="116">
        <f t="shared" si="41"/>
        <v>0</v>
      </c>
      <c r="AV70" s="116">
        <f t="shared" si="41"/>
        <v>0</v>
      </c>
      <c r="AW70" s="168"/>
      <c r="AX70" s="117">
        <f t="shared" si="4"/>
        <v>0</v>
      </c>
      <c r="AY70" s="117">
        <f t="shared" si="5"/>
        <v>0</v>
      </c>
      <c r="AZ70" s="117">
        <f t="shared" si="23"/>
        <v>0</v>
      </c>
      <c r="BA70" s="117">
        <f t="shared" si="24"/>
        <v>30</v>
      </c>
    </row>
    <row r="71" spans="1:53" ht="21" customHeight="1">
      <c r="A71" s="112" t="s">
        <v>10</v>
      </c>
      <c r="B71" s="248" t="s">
        <v>304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50"/>
      <c r="AU71" s="116">
        <f t="shared" si="41"/>
        <v>0</v>
      </c>
      <c r="AV71" s="116">
        <f t="shared" si="41"/>
        <v>0</v>
      </c>
      <c r="AW71" s="168"/>
      <c r="AX71" s="117"/>
      <c r="AY71" s="117"/>
      <c r="AZ71" s="117"/>
      <c r="BA71" s="117"/>
    </row>
    <row r="72" spans="1:53" ht="21" customHeight="1">
      <c r="A72" s="189" t="s">
        <v>305</v>
      </c>
      <c r="B72" s="251" t="s">
        <v>306</v>
      </c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3"/>
      <c r="AU72" s="116">
        <f t="shared" si="41"/>
        <v>0</v>
      </c>
      <c r="AV72" s="116">
        <f t="shared" si="41"/>
        <v>0</v>
      </c>
      <c r="AW72" s="168"/>
      <c r="AX72" s="117"/>
      <c r="AY72" s="117"/>
      <c r="AZ72" s="117"/>
      <c r="BA72" s="117"/>
    </row>
    <row r="73" spans="1:53" ht="19.5" customHeight="1">
      <c r="A73" s="280" t="s">
        <v>360</v>
      </c>
      <c r="B73" s="255" t="s">
        <v>333</v>
      </c>
      <c r="C73" s="283" t="s">
        <v>276</v>
      </c>
      <c r="D73" s="242" t="s">
        <v>289</v>
      </c>
      <c r="E73" s="155" t="s">
        <v>42</v>
      </c>
      <c r="F73" s="158">
        <f t="shared" ref="F73:G95" si="94">I73+L73+O73+R73+U73+X73+AA73+AD73+AG73+AJ73+AM73+AP73</f>
        <v>1646.8798099999999</v>
      </c>
      <c r="G73" s="158">
        <f t="shared" si="94"/>
        <v>46.879809999999999</v>
      </c>
      <c r="H73" s="160">
        <f t="shared" ref="H73:H75" si="95">G73/F73</f>
        <v>2.8465835645893309E-2</v>
      </c>
      <c r="I73" s="156">
        <f>SUM(I74:I75)</f>
        <v>0</v>
      </c>
      <c r="J73" s="156">
        <f>SUM(J74:J75)</f>
        <v>0</v>
      </c>
      <c r="K73" s="156">
        <f>SUM(K74:K75)</f>
        <v>0</v>
      </c>
      <c r="L73" s="158">
        <f>SUM(L74:L75)</f>
        <v>0</v>
      </c>
      <c r="M73" s="158">
        <f>SUM(M74:M75)</f>
        <v>0</v>
      </c>
      <c r="N73" s="160"/>
      <c r="O73" s="158">
        <f>SUM(O74:O75)</f>
        <v>0</v>
      </c>
      <c r="P73" s="158">
        <f>SUM(P74:P75)</f>
        <v>0</v>
      </c>
      <c r="Q73" s="160"/>
      <c r="R73" s="158">
        <f>SUM(R74:R75)</f>
        <v>0</v>
      </c>
      <c r="S73" s="158">
        <f>SUM(S74:S75)</f>
        <v>0</v>
      </c>
      <c r="T73" s="160"/>
      <c r="U73" s="158">
        <f t="shared" ref="U73:AR73" si="96">SUM(U74:U75)</f>
        <v>0</v>
      </c>
      <c r="V73" s="158">
        <f t="shared" si="96"/>
        <v>0</v>
      </c>
      <c r="W73" s="158">
        <f t="shared" si="96"/>
        <v>0</v>
      </c>
      <c r="X73" s="158">
        <f t="shared" si="96"/>
        <v>0</v>
      </c>
      <c r="Y73" s="158">
        <f t="shared" si="96"/>
        <v>0</v>
      </c>
      <c r="Z73" s="160"/>
      <c r="AA73" s="158">
        <f t="shared" si="96"/>
        <v>0</v>
      </c>
      <c r="AB73" s="158">
        <f t="shared" si="96"/>
        <v>0</v>
      </c>
      <c r="AC73" s="160"/>
      <c r="AD73" s="158">
        <f t="shared" si="96"/>
        <v>0</v>
      </c>
      <c r="AE73" s="158">
        <f t="shared" si="96"/>
        <v>0</v>
      </c>
      <c r="AF73" s="160"/>
      <c r="AG73" s="158">
        <f t="shared" si="96"/>
        <v>46.879809999999999</v>
      </c>
      <c r="AH73" s="158">
        <f t="shared" si="96"/>
        <v>46.879809999999999</v>
      </c>
      <c r="AI73" s="160">
        <f t="shared" ref="AI73:AI75" si="97">AH73/AG73</f>
        <v>1</v>
      </c>
      <c r="AJ73" s="158">
        <f t="shared" si="96"/>
        <v>0</v>
      </c>
      <c r="AK73" s="158">
        <f t="shared" si="96"/>
        <v>0</v>
      </c>
      <c r="AL73" s="160" t="e">
        <f t="shared" ref="AL73" si="98">AK73/AJ73</f>
        <v>#DIV/0!</v>
      </c>
      <c r="AM73" s="158">
        <f t="shared" si="96"/>
        <v>0</v>
      </c>
      <c r="AN73" s="158">
        <f t="shared" si="96"/>
        <v>0</v>
      </c>
      <c r="AO73" s="158"/>
      <c r="AP73" s="158">
        <f t="shared" si="96"/>
        <v>1600</v>
      </c>
      <c r="AQ73" s="156">
        <f t="shared" si="96"/>
        <v>0</v>
      </c>
      <c r="AR73" s="156">
        <f t="shared" si="96"/>
        <v>0</v>
      </c>
      <c r="AS73" s="165"/>
      <c r="AT73" s="164"/>
      <c r="AU73" s="116">
        <f t="shared" si="41"/>
        <v>46.879809999999999</v>
      </c>
      <c r="AV73" s="116">
        <f t="shared" si="41"/>
        <v>46.879809999999999</v>
      </c>
      <c r="AW73" s="168"/>
      <c r="AX73" s="117">
        <f t="shared" ref="AX73:AX136" si="99">I73+L73+O73</f>
        <v>0</v>
      </c>
      <c r="AY73" s="117">
        <f t="shared" ref="AY73:AY136" si="100">R73+U73+X73</f>
        <v>0</v>
      </c>
      <c r="AZ73" s="117">
        <f t="shared" si="23"/>
        <v>46.879809999999999</v>
      </c>
      <c r="BA73" s="117">
        <f t="shared" si="24"/>
        <v>1600</v>
      </c>
    </row>
    <row r="74" spans="1:53" ht="19.5" customHeight="1">
      <c r="A74" s="281"/>
      <c r="B74" s="256"/>
      <c r="C74" s="284"/>
      <c r="D74" s="243"/>
      <c r="E74" s="155" t="s">
        <v>3</v>
      </c>
      <c r="F74" s="158">
        <f t="shared" si="94"/>
        <v>0</v>
      </c>
      <c r="G74" s="158">
        <f t="shared" si="94"/>
        <v>0</v>
      </c>
      <c r="H74" s="160"/>
      <c r="I74" s="156"/>
      <c r="J74" s="156"/>
      <c r="K74" s="156"/>
      <c r="L74" s="158"/>
      <c r="M74" s="158"/>
      <c r="N74" s="160"/>
      <c r="O74" s="158"/>
      <c r="P74" s="158"/>
      <c r="Q74" s="160"/>
      <c r="R74" s="158"/>
      <c r="S74" s="158"/>
      <c r="T74" s="160"/>
      <c r="U74" s="161"/>
      <c r="V74" s="161"/>
      <c r="W74" s="161"/>
      <c r="X74" s="161"/>
      <c r="Y74" s="161"/>
      <c r="Z74" s="160"/>
      <c r="AA74" s="161"/>
      <c r="AB74" s="161"/>
      <c r="AC74" s="160"/>
      <c r="AD74" s="161"/>
      <c r="AE74" s="161"/>
      <c r="AF74" s="160"/>
      <c r="AG74" s="161"/>
      <c r="AH74" s="161"/>
      <c r="AI74" s="160"/>
      <c r="AJ74" s="158"/>
      <c r="AK74" s="158"/>
      <c r="AL74" s="158"/>
      <c r="AM74" s="161"/>
      <c r="AN74" s="161"/>
      <c r="AO74" s="161"/>
      <c r="AP74" s="158"/>
      <c r="AQ74" s="156"/>
      <c r="AR74" s="156"/>
      <c r="AS74" s="165"/>
      <c r="AT74" s="164"/>
      <c r="AU74" s="116">
        <f t="shared" si="41"/>
        <v>0</v>
      </c>
      <c r="AV74" s="116">
        <f t="shared" si="41"/>
        <v>0</v>
      </c>
      <c r="AW74" s="168"/>
      <c r="AX74" s="117">
        <f t="shared" si="99"/>
        <v>0</v>
      </c>
      <c r="AY74" s="117">
        <f t="shared" si="100"/>
        <v>0</v>
      </c>
      <c r="AZ74" s="117">
        <f t="shared" si="23"/>
        <v>0</v>
      </c>
      <c r="BA74" s="117">
        <f t="shared" si="24"/>
        <v>0</v>
      </c>
    </row>
    <row r="75" spans="1:53" ht="48.75" customHeight="1">
      <c r="A75" s="281"/>
      <c r="B75" s="256"/>
      <c r="C75" s="284"/>
      <c r="D75" s="243"/>
      <c r="E75" s="155" t="s">
        <v>44</v>
      </c>
      <c r="F75" s="158">
        <f t="shared" si="94"/>
        <v>1646.8798099999999</v>
      </c>
      <c r="G75" s="158">
        <f t="shared" si="94"/>
        <v>46.879809999999999</v>
      </c>
      <c r="H75" s="160">
        <f t="shared" si="95"/>
        <v>2.8465835645893309E-2</v>
      </c>
      <c r="I75" s="156"/>
      <c r="J75" s="156"/>
      <c r="K75" s="156"/>
      <c r="L75" s="158"/>
      <c r="M75" s="158"/>
      <c r="N75" s="160"/>
      <c r="O75" s="158"/>
      <c r="P75" s="158"/>
      <c r="Q75" s="160"/>
      <c r="R75" s="158"/>
      <c r="S75" s="158"/>
      <c r="T75" s="160"/>
      <c r="U75" s="161"/>
      <c r="V75" s="161"/>
      <c r="W75" s="161"/>
      <c r="X75" s="161"/>
      <c r="Y75" s="161"/>
      <c r="Z75" s="160"/>
      <c r="AA75" s="161"/>
      <c r="AB75" s="161"/>
      <c r="AC75" s="160"/>
      <c r="AD75" s="161"/>
      <c r="AE75" s="161"/>
      <c r="AF75" s="160"/>
      <c r="AG75" s="161">
        <v>46.879809999999999</v>
      </c>
      <c r="AH75" s="161">
        <v>46.879809999999999</v>
      </c>
      <c r="AI75" s="160">
        <f t="shared" si="97"/>
        <v>1</v>
      </c>
      <c r="AJ75" s="158"/>
      <c r="AK75" s="158"/>
      <c r="AL75" s="160" t="e">
        <f t="shared" ref="AL75" si="101">AK75/AJ75</f>
        <v>#DIV/0!</v>
      </c>
      <c r="AM75" s="161"/>
      <c r="AN75" s="161"/>
      <c r="AO75" s="160"/>
      <c r="AP75" s="158">
        <v>1600</v>
      </c>
      <c r="AQ75" s="156"/>
      <c r="AR75" s="156"/>
      <c r="AS75" s="164" t="s">
        <v>467</v>
      </c>
      <c r="AT75" s="164"/>
      <c r="AU75" s="116">
        <f t="shared" si="41"/>
        <v>46.879809999999999</v>
      </c>
      <c r="AV75" s="116">
        <f t="shared" si="41"/>
        <v>46.879809999999999</v>
      </c>
      <c r="AW75" s="168"/>
      <c r="AX75" s="117">
        <f t="shared" si="99"/>
        <v>0</v>
      </c>
      <c r="AY75" s="117">
        <f t="shared" si="100"/>
        <v>0</v>
      </c>
      <c r="AZ75" s="117">
        <f t="shared" si="23"/>
        <v>46.879809999999999</v>
      </c>
      <c r="BA75" s="117">
        <f t="shared" si="24"/>
        <v>1600</v>
      </c>
    </row>
    <row r="76" spans="1:53" ht="120.75" customHeight="1">
      <c r="A76" s="282"/>
      <c r="B76" s="257"/>
      <c r="C76" s="285"/>
      <c r="D76" s="244"/>
      <c r="E76" s="155" t="s">
        <v>418</v>
      </c>
      <c r="F76" s="158">
        <f t="shared" si="94"/>
        <v>0</v>
      </c>
      <c r="G76" s="158">
        <f t="shared" si="94"/>
        <v>5484.7173300000004</v>
      </c>
      <c r="H76" s="160"/>
      <c r="I76" s="156"/>
      <c r="J76" s="156"/>
      <c r="K76" s="156"/>
      <c r="L76" s="158"/>
      <c r="M76" s="158"/>
      <c r="N76" s="160"/>
      <c r="O76" s="158"/>
      <c r="P76" s="158"/>
      <c r="Q76" s="160"/>
      <c r="R76" s="158"/>
      <c r="S76" s="158">
        <v>3720.1837500000001</v>
      </c>
      <c r="T76" s="160"/>
      <c r="U76" s="161"/>
      <c r="V76" s="161"/>
      <c r="W76" s="161"/>
      <c r="X76" s="161"/>
      <c r="Y76" s="161"/>
      <c r="Z76" s="160"/>
      <c r="AA76" s="161"/>
      <c r="AB76" s="161">
        <v>296.78550000000001</v>
      </c>
      <c r="AC76" s="160"/>
      <c r="AD76" s="161"/>
      <c r="AE76" s="161"/>
      <c r="AF76" s="160"/>
      <c r="AG76" s="161"/>
      <c r="AH76" s="161">
        <f>1467.74808</f>
        <v>1467.7480800000001</v>
      </c>
      <c r="AI76" s="160"/>
      <c r="AJ76" s="158"/>
      <c r="AK76" s="158"/>
      <c r="AL76" s="160"/>
      <c r="AM76" s="161"/>
      <c r="AN76" s="161"/>
      <c r="AO76" s="160"/>
      <c r="AP76" s="158"/>
      <c r="AQ76" s="156"/>
      <c r="AR76" s="156"/>
      <c r="AS76" s="164" t="s">
        <v>463</v>
      </c>
      <c r="AT76" s="164"/>
      <c r="AU76" s="116">
        <f t="shared" si="41"/>
        <v>0</v>
      </c>
      <c r="AV76" s="116">
        <f t="shared" si="41"/>
        <v>5484.7173300000004</v>
      </c>
      <c r="AW76" s="168"/>
      <c r="AX76" s="117"/>
      <c r="AY76" s="117"/>
      <c r="AZ76" s="117"/>
      <c r="BA76" s="117"/>
    </row>
    <row r="77" spans="1:53" ht="34.5" customHeight="1">
      <c r="A77" s="230" t="s">
        <v>366</v>
      </c>
      <c r="B77" s="254" t="s">
        <v>334</v>
      </c>
      <c r="C77" s="255" t="s">
        <v>277</v>
      </c>
      <c r="D77" s="286" t="s">
        <v>386</v>
      </c>
      <c r="E77" s="155" t="s">
        <v>42</v>
      </c>
      <c r="F77" s="158">
        <f>I77+L77+O77+R77+U77+X77+AA77+AD77+AG77+AJ77+AM77+AP77</f>
        <v>165</v>
      </c>
      <c r="G77" s="158">
        <f t="shared" si="94"/>
        <v>165</v>
      </c>
      <c r="H77" s="160">
        <f t="shared" ref="H77:H78" si="102">G77/F77</f>
        <v>1</v>
      </c>
      <c r="I77" s="156">
        <f>SUM(I78:I79)</f>
        <v>0</v>
      </c>
      <c r="J77" s="156">
        <f>SUM(J78:J79)</f>
        <v>0</v>
      </c>
      <c r="K77" s="156">
        <f>SUM(K78:K79)</f>
        <v>0</v>
      </c>
      <c r="L77" s="158">
        <f>SUM(L78:L79)</f>
        <v>0</v>
      </c>
      <c r="M77" s="158">
        <f>SUM(M78:M79)</f>
        <v>0</v>
      </c>
      <c r="N77" s="160"/>
      <c r="O77" s="158">
        <f>SUM(O78:O79)</f>
        <v>0</v>
      </c>
      <c r="P77" s="158">
        <f>SUM(P78:P79)</f>
        <v>0</v>
      </c>
      <c r="Q77" s="160"/>
      <c r="R77" s="158">
        <f>SUM(R78:R79)</f>
        <v>0</v>
      </c>
      <c r="S77" s="158">
        <f>SUM(S78:S79)</f>
        <v>0</v>
      </c>
      <c r="T77" s="160"/>
      <c r="U77" s="158">
        <f t="shared" ref="U77:AR77" si="103">SUM(U78:U79)</f>
        <v>165</v>
      </c>
      <c r="V77" s="158">
        <f t="shared" si="103"/>
        <v>0</v>
      </c>
      <c r="W77" s="160">
        <f t="shared" ref="W77" si="104">V77/U77</f>
        <v>0</v>
      </c>
      <c r="X77" s="158">
        <f t="shared" si="103"/>
        <v>0</v>
      </c>
      <c r="Y77" s="158">
        <f t="shared" si="103"/>
        <v>0</v>
      </c>
      <c r="Z77" s="160"/>
      <c r="AA77" s="158">
        <f t="shared" si="103"/>
        <v>0</v>
      </c>
      <c r="AB77" s="158">
        <f t="shared" si="103"/>
        <v>165</v>
      </c>
      <c r="AC77" s="160"/>
      <c r="AD77" s="158">
        <f t="shared" si="103"/>
        <v>0</v>
      </c>
      <c r="AE77" s="158">
        <f t="shared" si="103"/>
        <v>0</v>
      </c>
      <c r="AF77" s="160"/>
      <c r="AG77" s="158">
        <f t="shared" si="103"/>
        <v>0</v>
      </c>
      <c r="AH77" s="158">
        <f t="shared" si="103"/>
        <v>0</v>
      </c>
      <c r="AI77" s="160"/>
      <c r="AJ77" s="158">
        <f t="shared" si="103"/>
        <v>0</v>
      </c>
      <c r="AK77" s="158">
        <f t="shared" si="103"/>
        <v>0</v>
      </c>
      <c r="AL77" s="158">
        <f t="shared" si="103"/>
        <v>0</v>
      </c>
      <c r="AM77" s="158">
        <f t="shared" si="103"/>
        <v>0</v>
      </c>
      <c r="AN77" s="158">
        <f t="shared" si="103"/>
        <v>0</v>
      </c>
      <c r="AO77" s="160" t="e">
        <f t="shared" ref="AO77" si="105">AN77/AM77</f>
        <v>#DIV/0!</v>
      </c>
      <c r="AP77" s="158">
        <f t="shared" si="103"/>
        <v>0</v>
      </c>
      <c r="AQ77" s="156">
        <f t="shared" si="103"/>
        <v>0</v>
      </c>
      <c r="AR77" s="156">
        <f t="shared" si="103"/>
        <v>0</v>
      </c>
      <c r="AS77" s="165"/>
      <c r="AT77" s="164"/>
      <c r="AU77" s="116">
        <f t="shared" si="41"/>
        <v>165</v>
      </c>
      <c r="AV77" s="116">
        <f t="shared" si="41"/>
        <v>165</v>
      </c>
      <c r="AW77" s="168">
        <f t="shared" ref="AW77:AW139" si="106">(J77+M77+P77+S77+V77+Y77+AB77+AE77+AH77)/(I77+L77+O77+R77+U77+X77+AA77+AD77+AG77)*100%</f>
        <v>1</v>
      </c>
      <c r="AX77" s="117">
        <f t="shared" si="99"/>
        <v>0</v>
      </c>
      <c r="AY77" s="117">
        <f t="shared" si="100"/>
        <v>165</v>
      </c>
      <c r="AZ77" s="117">
        <f t="shared" si="23"/>
        <v>0</v>
      </c>
      <c r="BA77" s="117">
        <f t="shared" si="24"/>
        <v>0</v>
      </c>
    </row>
    <row r="78" spans="1:53" ht="34.5" customHeight="1">
      <c r="A78" s="230"/>
      <c r="B78" s="254"/>
      <c r="C78" s="256"/>
      <c r="D78" s="287"/>
      <c r="E78" s="155" t="s">
        <v>3</v>
      </c>
      <c r="F78" s="158">
        <f t="shared" si="94"/>
        <v>165</v>
      </c>
      <c r="G78" s="158">
        <f t="shared" si="94"/>
        <v>165</v>
      </c>
      <c r="H78" s="160">
        <f t="shared" si="102"/>
        <v>1</v>
      </c>
      <c r="I78" s="156"/>
      <c r="J78" s="156"/>
      <c r="K78" s="156"/>
      <c r="L78" s="158"/>
      <c r="M78" s="158"/>
      <c r="N78" s="160"/>
      <c r="O78" s="158"/>
      <c r="P78" s="158"/>
      <c r="Q78" s="160"/>
      <c r="R78" s="158"/>
      <c r="S78" s="158"/>
      <c r="T78" s="160"/>
      <c r="U78" s="161">
        <v>165</v>
      </c>
      <c r="V78" s="161"/>
      <c r="W78" s="161"/>
      <c r="X78" s="161"/>
      <c r="Y78" s="161"/>
      <c r="Z78" s="160"/>
      <c r="AA78" s="161"/>
      <c r="AB78" s="161">
        <v>165</v>
      </c>
      <c r="AC78" s="161"/>
      <c r="AD78" s="161"/>
      <c r="AE78" s="161"/>
      <c r="AF78" s="160"/>
      <c r="AG78" s="161"/>
      <c r="AH78" s="161"/>
      <c r="AI78" s="161"/>
      <c r="AJ78" s="158"/>
      <c r="AK78" s="158"/>
      <c r="AL78" s="158"/>
      <c r="AM78" s="161"/>
      <c r="AN78" s="161"/>
      <c r="AO78" s="158"/>
      <c r="AP78" s="158"/>
      <c r="AQ78" s="156"/>
      <c r="AR78" s="156"/>
      <c r="AS78" s="165" t="s">
        <v>452</v>
      </c>
      <c r="AT78" s="164"/>
      <c r="AU78" s="116">
        <f t="shared" si="41"/>
        <v>165</v>
      </c>
      <c r="AV78" s="116">
        <f t="shared" si="41"/>
        <v>165</v>
      </c>
      <c r="AW78" s="168">
        <f t="shared" si="106"/>
        <v>1</v>
      </c>
      <c r="AX78" s="117">
        <f t="shared" si="99"/>
        <v>0</v>
      </c>
      <c r="AY78" s="117">
        <f t="shared" si="100"/>
        <v>165</v>
      </c>
      <c r="AZ78" s="117">
        <f t="shared" ref="AZ78:AZ141" si="107">AA78+AD78+AG78</f>
        <v>0</v>
      </c>
      <c r="BA78" s="117">
        <f t="shared" ref="BA78:BA141" si="108">AJ78+AM78+AP78</f>
        <v>0</v>
      </c>
    </row>
    <row r="79" spans="1:53" ht="34.5" customHeight="1">
      <c r="A79" s="230"/>
      <c r="B79" s="254"/>
      <c r="C79" s="257"/>
      <c r="D79" s="288"/>
      <c r="E79" s="155" t="s">
        <v>44</v>
      </c>
      <c r="F79" s="158">
        <f t="shared" si="94"/>
        <v>0</v>
      </c>
      <c r="G79" s="158">
        <f t="shared" si="94"/>
        <v>0</v>
      </c>
      <c r="H79" s="160"/>
      <c r="I79" s="156"/>
      <c r="J79" s="156"/>
      <c r="K79" s="156"/>
      <c r="L79" s="158"/>
      <c r="M79" s="158"/>
      <c r="N79" s="160"/>
      <c r="O79" s="158"/>
      <c r="P79" s="158"/>
      <c r="Q79" s="160"/>
      <c r="R79" s="158"/>
      <c r="S79" s="158"/>
      <c r="T79" s="160"/>
      <c r="U79" s="161"/>
      <c r="V79" s="161"/>
      <c r="W79" s="160" t="e">
        <f t="shared" ref="W79" si="109">V79/U79</f>
        <v>#DIV/0!</v>
      </c>
      <c r="X79" s="161"/>
      <c r="Y79" s="161"/>
      <c r="Z79" s="160"/>
      <c r="AA79" s="161"/>
      <c r="AB79" s="161"/>
      <c r="AC79" s="160"/>
      <c r="AD79" s="161"/>
      <c r="AE79" s="161"/>
      <c r="AF79" s="160"/>
      <c r="AG79" s="161"/>
      <c r="AH79" s="161"/>
      <c r="AI79" s="160"/>
      <c r="AJ79" s="158"/>
      <c r="AK79" s="158"/>
      <c r="AL79" s="158"/>
      <c r="AM79" s="161"/>
      <c r="AN79" s="161"/>
      <c r="AO79" s="160" t="e">
        <f t="shared" ref="AO79" si="110">AN79/AM79</f>
        <v>#DIV/0!</v>
      </c>
      <c r="AP79" s="158"/>
      <c r="AQ79" s="156"/>
      <c r="AR79" s="156"/>
      <c r="AS79" s="165"/>
      <c r="AT79" s="164"/>
      <c r="AU79" s="116">
        <f t="shared" si="41"/>
        <v>0</v>
      </c>
      <c r="AV79" s="116">
        <f t="shared" si="41"/>
        <v>0</v>
      </c>
      <c r="AW79" s="168" t="e">
        <f t="shared" si="106"/>
        <v>#DIV/0!</v>
      </c>
      <c r="AX79" s="117">
        <f t="shared" si="99"/>
        <v>0</v>
      </c>
      <c r="AY79" s="117">
        <f t="shared" si="100"/>
        <v>0</v>
      </c>
      <c r="AZ79" s="117">
        <f t="shared" si="107"/>
        <v>0</v>
      </c>
      <c r="BA79" s="117">
        <f t="shared" si="108"/>
        <v>0</v>
      </c>
    </row>
    <row r="80" spans="1:53" ht="20.25" customHeight="1">
      <c r="A80" s="230" t="s">
        <v>367</v>
      </c>
      <c r="B80" s="254" t="s">
        <v>335</v>
      </c>
      <c r="C80" s="255" t="s">
        <v>278</v>
      </c>
      <c r="D80" s="286" t="s">
        <v>386</v>
      </c>
      <c r="E80" s="155" t="s">
        <v>42</v>
      </c>
      <c r="F80" s="158">
        <f t="shared" si="94"/>
        <v>245</v>
      </c>
      <c r="G80" s="158">
        <f t="shared" si="94"/>
        <v>245</v>
      </c>
      <c r="H80" s="160">
        <f t="shared" ref="H80:H81" si="111">G80/F80</f>
        <v>1</v>
      </c>
      <c r="I80" s="156">
        <f>SUM(I81:I82)</f>
        <v>0</v>
      </c>
      <c r="J80" s="156">
        <f>SUM(J81:J82)</f>
        <v>0</v>
      </c>
      <c r="K80" s="156">
        <f>SUM(K81:K82)</f>
        <v>0</v>
      </c>
      <c r="L80" s="158">
        <f>SUM(L81:L82)</f>
        <v>0</v>
      </c>
      <c r="M80" s="158">
        <f>SUM(M81:M82)</f>
        <v>0</v>
      </c>
      <c r="N80" s="160"/>
      <c r="O80" s="158">
        <f>SUM(O81:O82)</f>
        <v>0</v>
      </c>
      <c r="P80" s="158">
        <f>SUM(P81:P82)</f>
        <v>0</v>
      </c>
      <c r="Q80" s="160"/>
      <c r="R80" s="158">
        <f>SUM(R81:R82)</f>
        <v>0</v>
      </c>
      <c r="S80" s="158">
        <f>SUM(S81:S82)</f>
        <v>0</v>
      </c>
      <c r="T80" s="160"/>
      <c r="U80" s="158">
        <f t="shared" ref="U80:AR80" si="112">SUM(U81:U82)</f>
        <v>245</v>
      </c>
      <c r="V80" s="158">
        <f t="shared" si="112"/>
        <v>0</v>
      </c>
      <c r="W80" s="158">
        <f t="shared" si="112"/>
        <v>0</v>
      </c>
      <c r="X80" s="158">
        <f t="shared" si="112"/>
        <v>0</v>
      </c>
      <c r="Y80" s="158">
        <f t="shared" si="112"/>
        <v>0</v>
      </c>
      <c r="Z80" s="160"/>
      <c r="AA80" s="158">
        <f t="shared" si="112"/>
        <v>0</v>
      </c>
      <c r="AB80" s="158">
        <f t="shared" si="112"/>
        <v>245</v>
      </c>
      <c r="AC80" s="160"/>
      <c r="AD80" s="158">
        <f t="shared" si="112"/>
        <v>0</v>
      </c>
      <c r="AE80" s="158">
        <f t="shared" si="112"/>
        <v>0</v>
      </c>
      <c r="AF80" s="158">
        <f t="shared" si="112"/>
        <v>0</v>
      </c>
      <c r="AG80" s="158">
        <f t="shared" si="112"/>
        <v>0</v>
      </c>
      <c r="AH80" s="158">
        <f t="shared" si="112"/>
        <v>0</v>
      </c>
      <c r="AI80" s="160"/>
      <c r="AJ80" s="158">
        <f t="shared" si="112"/>
        <v>0</v>
      </c>
      <c r="AK80" s="158">
        <f t="shared" si="112"/>
        <v>0</v>
      </c>
      <c r="AL80" s="158">
        <f t="shared" si="112"/>
        <v>0</v>
      </c>
      <c r="AM80" s="158">
        <f t="shared" si="112"/>
        <v>0</v>
      </c>
      <c r="AN80" s="158">
        <f t="shared" si="112"/>
        <v>0</v>
      </c>
      <c r="AO80" s="158">
        <f t="shared" si="112"/>
        <v>0</v>
      </c>
      <c r="AP80" s="158">
        <f t="shared" si="112"/>
        <v>0</v>
      </c>
      <c r="AQ80" s="156">
        <f t="shared" si="112"/>
        <v>0</v>
      </c>
      <c r="AR80" s="156">
        <f t="shared" si="112"/>
        <v>0</v>
      </c>
      <c r="AS80" s="165"/>
      <c r="AT80" s="164"/>
      <c r="AU80" s="116">
        <f t="shared" si="41"/>
        <v>245</v>
      </c>
      <c r="AV80" s="116">
        <f t="shared" si="41"/>
        <v>245</v>
      </c>
      <c r="AW80" s="168">
        <f t="shared" si="106"/>
        <v>1</v>
      </c>
      <c r="AX80" s="117">
        <f t="shared" si="99"/>
        <v>0</v>
      </c>
      <c r="AY80" s="117">
        <f t="shared" si="100"/>
        <v>245</v>
      </c>
      <c r="AZ80" s="117">
        <f t="shared" si="107"/>
        <v>0</v>
      </c>
      <c r="BA80" s="117">
        <f t="shared" si="108"/>
        <v>0</v>
      </c>
    </row>
    <row r="81" spans="1:53" ht="45.75" customHeight="1">
      <c r="A81" s="230"/>
      <c r="B81" s="254"/>
      <c r="C81" s="256"/>
      <c r="D81" s="287"/>
      <c r="E81" s="155" t="s">
        <v>3</v>
      </c>
      <c r="F81" s="158">
        <f t="shared" si="94"/>
        <v>245</v>
      </c>
      <c r="G81" s="158">
        <f t="shared" si="94"/>
        <v>245</v>
      </c>
      <c r="H81" s="160">
        <f t="shared" si="111"/>
        <v>1</v>
      </c>
      <c r="I81" s="156"/>
      <c r="J81" s="156"/>
      <c r="K81" s="156"/>
      <c r="L81" s="158"/>
      <c r="M81" s="158"/>
      <c r="N81" s="160"/>
      <c r="O81" s="158"/>
      <c r="P81" s="158"/>
      <c r="Q81" s="160"/>
      <c r="R81" s="158"/>
      <c r="S81" s="158"/>
      <c r="T81" s="160"/>
      <c r="U81" s="161">
        <v>245</v>
      </c>
      <c r="V81" s="161"/>
      <c r="W81" s="161"/>
      <c r="X81" s="161"/>
      <c r="Y81" s="161"/>
      <c r="Z81" s="160"/>
      <c r="AA81" s="161"/>
      <c r="AB81" s="161">
        <v>245</v>
      </c>
      <c r="AC81" s="160"/>
      <c r="AD81" s="161"/>
      <c r="AE81" s="161"/>
      <c r="AF81" s="161"/>
      <c r="AG81" s="161"/>
      <c r="AH81" s="161"/>
      <c r="AI81" s="160"/>
      <c r="AJ81" s="158"/>
      <c r="AK81" s="158"/>
      <c r="AL81" s="158"/>
      <c r="AM81" s="161"/>
      <c r="AN81" s="161"/>
      <c r="AO81" s="161"/>
      <c r="AP81" s="158"/>
      <c r="AQ81" s="156"/>
      <c r="AR81" s="156"/>
      <c r="AS81" s="165" t="s">
        <v>453</v>
      </c>
      <c r="AT81" s="164"/>
      <c r="AU81" s="116">
        <f t="shared" si="41"/>
        <v>245</v>
      </c>
      <c r="AV81" s="116">
        <f t="shared" si="41"/>
        <v>245</v>
      </c>
      <c r="AW81" s="168">
        <f t="shared" si="106"/>
        <v>1</v>
      </c>
      <c r="AX81" s="117">
        <f t="shared" si="99"/>
        <v>0</v>
      </c>
      <c r="AY81" s="117">
        <f t="shared" si="100"/>
        <v>245</v>
      </c>
      <c r="AZ81" s="117">
        <f t="shared" si="107"/>
        <v>0</v>
      </c>
      <c r="BA81" s="117">
        <f t="shared" si="108"/>
        <v>0</v>
      </c>
    </row>
    <row r="82" spans="1:53" ht="20.25" customHeight="1">
      <c r="A82" s="230"/>
      <c r="B82" s="254"/>
      <c r="C82" s="257"/>
      <c r="D82" s="288"/>
      <c r="E82" s="155" t="s">
        <v>44</v>
      </c>
      <c r="F82" s="158">
        <f t="shared" si="94"/>
        <v>0</v>
      </c>
      <c r="G82" s="158">
        <f t="shared" si="94"/>
        <v>0</v>
      </c>
      <c r="H82" s="160"/>
      <c r="I82" s="156"/>
      <c r="J82" s="156"/>
      <c r="K82" s="156"/>
      <c r="L82" s="158"/>
      <c r="M82" s="158"/>
      <c r="N82" s="160"/>
      <c r="O82" s="158"/>
      <c r="P82" s="158"/>
      <c r="Q82" s="160"/>
      <c r="R82" s="158"/>
      <c r="S82" s="158"/>
      <c r="T82" s="160"/>
      <c r="U82" s="161"/>
      <c r="V82" s="161"/>
      <c r="W82" s="161"/>
      <c r="X82" s="161"/>
      <c r="Y82" s="161"/>
      <c r="Z82" s="160"/>
      <c r="AA82" s="161"/>
      <c r="AB82" s="161"/>
      <c r="AC82" s="160"/>
      <c r="AD82" s="161"/>
      <c r="AE82" s="161"/>
      <c r="AF82" s="161"/>
      <c r="AG82" s="161"/>
      <c r="AH82" s="161"/>
      <c r="AI82" s="160"/>
      <c r="AJ82" s="158"/>
      <c r="AK82" s="158"/>
      <c r="AL82" s="158"/>
      <c r="AM82" s="161"/>
      <c r="AN82" s="161"/>
      <c r="AO82" s="161"/>
      <c r="AP82" s="158"/>
      <c r="AQ82" s="156"/>
      <c r="AR82" s="156"/>
      <c r="AS82" s="165"/>
      <c r="AT82" s="164"/>
      <c r="AU82" s="116">
        <f t="shared" si="41"/>
        <v>0</v>
      </c>
      <c r="AV82" s="116">
        <f t="shared" si="41"/>
        <v>0</v>
      </c>
      <c r="AW82" s="168" t="e">
        <f t="shared" si="106"/>
        <v>#DIV/0!</v>
      </c>
      <c r="AX82" s="117">
        <f t="shared" si="99"/>
        <v>0</v>
      </c>
      <c r="AY82" s="117">
        <f t="shared" si="100"/>
        <v>0</v>
      </c>
      <c r="AZ82" s="117">
        <f t="shared" si="107"/>
        <v>0</v>
      </c>
      <c r="BA82" s="117">
        <f t="shared" si="108"/>
        <v>0</v>
      </c>
    </row>
    <row r="83" spans="1:53" ht="20.25" customHeight="1">
      <c r="A83" s="280" t="s">
        <v>368</v>
      </c>
      <c r="B83" s="286" t="s">
        <v>462</v>
      </c>
      <c r="C83" s="289" t="s">
        <v>277</v>
      </c>
      <c r="D83" s="286" t="s">
        <v>386</v>
      </c>
      <c r="E83" s="155" t="s">
        <v>42</v>
      </c>
      <c r="F83" s="158">
        <f t="shared" si="94"/>
        <v>973.92583999999999</v>
      </c>
      <c r="G83" s="158">
        <f t="shared" si="94"/>
        <v>773.92583999999999</v>
      </c>
      <c r="H83" s="160">
        <f t="shared" ref="H83:H85" si="113">G83/F83</f>
        <v>0.79464555535357806</v>
      </c>
      <c r="I83" s="156">
        <f>SUM(I84:I85)</f>
        <v>0</v>
      </c>
      <c r="J83" s="156">
        <f>SUM(J84:J85)</f>
        <v>0</v>
      </c>
      <c r="K83" s="156">
        <f>SUM(K84:K85)</f>
        <v>0</v>
      </c>
      <c r="L83" s="158">
        <f>SUM(L84:L85)</f>
        <v>0</v>
      </c>
      <c r="M83" s="158">
        <f>SUM(M84:M85)</f>
        <v>0</v>
      </c>
      <c r="N83" s="160"/>
      <c r="O83" s="158">
        <f>SUM(O84:O85)</f>
        <v>0</v>
      </c>
      <c r="P83" s="158">
        <f>SUM(P84:P85)</f>
        <v>0</v>
      </c>
      <c r="Q83" s="160"/>
      <c r="R83" s="158">
        <f>SUM(R84:R85)</f>
        <v>0</v>
      </c>
      <c r="S83" s="158">
        <f>SUM(S84:S85)</f>
        <v>0</v>
      </c>
      <c r="T83" s="160"/>
      <c r="U83" s="158">
        <f t="shared" ref="U83:AR83" si="114">SUM(U84:U85)</f>
        <v>258</v>
      </c>
      <c r="V83" s="158">
        <f t="shared" si="114"/>
        <v>0</v>
      </c>
      <c r="W83" s="158">
        <f t="shared" si="114"/>
        <v>0</v>
      </c>
      <c r="X83" s="158">
        <f t="shared" si="114"/>
        <v>144</v>
      </c>
      <c r="Y83" s="158">
        <f t="shared" si="114"/>
        <v>258</v>
      </c>
      <c r="Z83" s="160">
        <f t="shared" ref="Z83:Z95" si="115">Y83/X83</f>
        <v>1.7916666666666667</v>
      </c>
      <c r="AA83" s="158">
        <f t="shared" si="114"/>
        <v>0</v>
      </c>
      <c r="AB83" s="158">
        <f t="shared" si="114"/>
        <v>144</v>
      </c>
      <c r="AC83" s="160"/>
      <c r="AD83" s="158">
        <f t="shared" si="114"/>
        <v>360.08100000000002</v>
      </c>
      <c r="AE83" s="158">
        <f t="shared" si="114"/>
        <v>360.08100000000002</v>
      </c>
      <c r="AF83" s="160">
        <f t="shared" ref="AF83:AF85" si="116">AE83/AD83</f>
        <v>1</v>
      </c>
      <c r="AG83" s="158">
        <f t="shared" si="114"/>
        <v>11.84484</v>
      </c>
      <c r="AH83" s="158">
        <f t="shared" si="114"/>
        <v>11.84484</v>
      </c>
      <c r="AI83" s="160">
        <f t="shared" ref="AI83:AI85" si="117">AH83/AG83</f>
        <v>1</v>
      </c>
      <c r="AJ83" s="158">
        <f t="shared" si="114"/>
        <v>200</v>
      </c>
      <c r="AK83" s="158">
        <f t="shared" si="114"/>
        <v>0</v>
      </c>
      <c r="AL83" s="158">
        <f t="shared" si="114"/>
        <v>0</v>
      </c>
      <c r="AM83" s="158">
        <f t="shared" si="114"/>
        <v>0</v>
      </c>
      <c r="AN83" s="158">
        <f t="shared" si="114"/>
        <v>0</v>
      </c>
      <c r="AO83" s="158"/>
      <c r="AP83" s="158">
        <f t="shared" si="114"/>
        <v>0</v>
      </c>
      <c r="AQ83" s="156">
        <f t="shared" si="114"/>
        <v>0</v>
      </c>
      <c r="AR83" s="156">
        <f t="shared" si="114"/>
        <v>0</v>
      </c>
      <c r="AS83" s="165"/>
      <c r="AT83" s="164"/>
      <c r="AU83" s="116">
        <f t="shared" si="41"/>
        <v>773.92583999999999</v>
      </c>
      <c r="AV83" s="116">
        <f t="shared" si="41"/>
        <v>773.92583999999999</v>
      </c>
      <c r="AW83" s="168">
        <f t="shared" si="106"/>
        <v>1</v>
      </c>
      <c r="AX83" s="117">
        <f t="shared" si="99"/>
        <v>0</v>
      </c>
      <c r="AY83" s="117">
        <f t="shared" si="100"/>
        <v>402</v>
      </c>
      <c r="AZ83" s="117">
        <f t="shared" si="107"/>
        <v>371.92583999999999</v>
      </c>
      <c r="BA83" s="117">
        <f t="shared" si="108"/>
        <v>200</v>
      </c>
    </row>
    <row r="84" spans="1:53" ht="62.25" customHeight="1">
      <c r="A84" s="281"/>
      <c r="B84" s="287"/>
      <c r="C84" s="290"/>
      <c r="D84" s="287"/>
      <c r="E84" s="155" t="s">
        <v>3</v>
      </c>
      <c r="F84" s="158">
        <f t="shared" si="94"/>
        <v>602</v>
      </c>
      <c r="G84" s="158">
        <f t="shared" si="94"/>
        <v>402</v>
      </c>
      <c r="H84" s="160">
        <f t="shared" si="113"/>
        <v>0.66777408637873759</v>
      </c>
      <c r="I84" s="156"/>
      <c r="J84" s="156"/>
      <c r="K84" s="156"/>
      <c r="L84" s="158"/>
      <c r="M84" s="158"/>
      <c r="N84" s="160"/>
      <c r="O84" s="158"/>
      <c r="P84" s="158"/>
      <c r="Q84" s="160"/>
      <c r="R84" s="158"/>
      <c r="S84" s="158"/>
      <c r="T84" s="160"/>
      <c r="U84" s="161">
        <v>258</v>
      </c>
      <c r="V84" s="161"/>
      <c r="W84" s="161"/>
      <c r="X84" s="161">
        <v>144</v>
      </c>
      <c r="Y84" s="161">
        <v>258</v>
      </c>
      <c r="Z84" s="160">
        <f t="shared" si="115"/>
        <v>1.7916666666666667</v>
      </c>
      <c r="AA84" s="161"/>
      <c r="AB84" s="161">
        <v>144</v>
      </c>
      <c r="AC84" s="160"/>
      <c r="AD84" s="161"/>
      <c r="AE84" s="161"/>
      <c r="AF84" s="160"/>
      <c r="AG84" s="161"/>
      <c r="AH84" s="161"/>
      <c r="AI84" s="160"/>
      <c r="AJ84" s="158">
        <v>200</v>
      </c>
      <c r="AK84" s="158"/>
      <c r="AL84" s="158"/>
      <c r="AM84" s="161"/>
      <c r="AN84" s="161"/>
      <c r="AO84" s="160"/>
      <c r="AP84" s="158"/>
      <c r="AQ84" s="156"/>
      <c r="AR84" s="156"/>
      <c r="AS84" s="165" t="s">
        <v>454</v>
      </c>
      <c r="AT84" s="164"/>
      <c r="AU84" s="116">
        <f t="shared" si="41"/>
        <v>402</v>
      </c>
      <c r="AV84" s="116">
        <f t="shared" si="41"/>
        <v>402</v>
      </c>
      <c r="AW84" s="168">
        <f t="shared" si="106"/>
        <v>1</v>
      </c>
      <c r="AX84" s="117">
        <f t="shared" si="99"/>
        <v>0</v>
      </c>
      <c r="AY84" s="117">
        <f t="shared" si="100"/>
        <v>402</v>
      </c>
      <c r="AZ84" s="117">
        <f t="shared" si="107"/>
        <v>0</v>
      </c>
      <c r="BA84" s="117">
        <f t="shared" si="108"/>
        <v>200</v>
      </c>
    </row>
    <row r="85" spans="1:53" ht="30" customHeight="1">
      <c r="A85" s="281"/>
      <c r="B85" s="287"/>
      <c r="C85" s="290"/>
      <c r="D85" s="287"/>
      <c r="E85" s="155" t="s">
        <v>44</v>
      </c>
      <c r="F85" s="158">
        <f t="shared" si="94"/>
        <v>371.92583999999999</v>
      </c>
      <c r="G85" s="158">
        <f t="shared" si="94"/>
        <v>371.92583999999999</v>
      </c>
      <c r="H85" s="160">
        <f t="shared" si="113"/>
        <v>1</v>
      </c>
      <c r="I85" s="156"/>
      <c r="J85" s="156"/>
      <c r="K85" s="156"/>
      <c r="L85" s="158"/>
      <c r="M85" s="158"/>
      <c r="N85" s="160"/>
      <c r="O85" s="158"/>
      <c r="P85" s="158"/>
      <c r="Q85" s="160"/>
      <c r="R85" s="158"/>
      <c r="S85" s="158"/>
      <c r="T85" s="160"/>
      <c r="U85" s="161"/>
      <c r="V85" s="161"/>
      <c r="W85" s="161"/>
      <c r="X85" s="161"/>
      <c r="Y85" s="161"/>
      <c r="Z85" s="160"/>
      <c r="AA85" s="161"/>
      <c r="AB85" s="161"/>
      <c r="AC85" s="160"/>
      <c r="AD85" s="161">
        <f>200.023+160.058</f>
        <v>360.08100000000002</v>
      </c>
      <c r="AE85" s="161">
        <f>200.023+160.058</f>
        <v>360.08100000000002</v>
      </c>
      <c r="AF85" s="160">
        <f t="shared" si="116"/>
        <v>1</v>
      </c>
      <c r="AG85" s="161">
        <v>11.84484</v>
      </c>
      <c r="AH85" s="161">
        <v>11.84484</v>
      </c>
      <c r="AI85" s="160">
        <f t="shared" si="117"/>
        <v>1</v>
      </c>
      <c r="AJ85" s="158"/>
      <c r="AK85" s="158"/>
      <c r="AL85" s="158"/>
      <c r="AM85" s="161"/>
      <c r="AN85" s="161"/>
      <c r="AO85" s="160"/>
      <c r="AP85" s="158"/>
      <c r="AQ85" s="156"/>
      <c r="AR85" s="156"/>
      <c r="AS85" s="165" t="s">
        <v>455</v>
      </c>
      <c r="AT85" s="164"/>
      <c r="AU85" s="116">
        <f t="shared" si="41"/>
        <v>371.92583999999999</v>
      </c>
      <c r="AV85" s="116">
        <f t="shared" si="41"/>
        <v>371.92583999999999</v>
      </c>
      <c r="AW85" s="168">
        <f t="shared" si="106"/>
        <v>1</v>
      </c>
      <c r="AX85" s="117">
        <f t="shared" si="99"/>
        <v>0</v>
      </c>
      <c r="AY85" s="117">
        <f t="shared" si="100"/>
        <v>0</v>
      </c>
      <c r="AZ85" s="117">
        <f t="shared" si="107"/>
        <v>371.92583999999999</v>
      </c>
      <c r="BA85" s="117">
        <f t="shared" si="108"/>
        <v>0</v>
      </c>
    </row>
    <row r="86" spans="1:53" ht="76.5" customHeight="1">
      <c r="A86" s="282"/>
      <c r="B86" s="288"/>
      <c r="C86" s="291"/>
      <c r="D86" s="288"/>
      <c r="E86" s="155" t="s">
        <v>418</v>
      </c>
      <c r="F86" s="158">
        <f t="shared" si="94"/>
        <v>0</v>
      </c>
      <c r="G86" s="158">
        <f t="shared" si="94"/>
        <v>689.61199999999997</v>
      </c>
      <c r="H86" s="160"/>
      <c r="I86" s="156"/>
      <c r="J86" s="156"/>
      <c r="K86" s="156"/>
      <c r="L86" s="158"/>
      <c r="M86" s="158"/>
      <c r="N86" s="160"/>
      <c r="O86" s="158"/>
      <c r="P86" s="158"/>
      <c r="Q86" s="160"/>
      <c r="R86" s="158"/>
      <c r="S86" s="158"/>
      <c r="T86" s="160"/>
      <c r="U86" s="161"/>
      <c r="V86" s="161"/>
      <c r="W86" s="161"/>
      <c r="X86" s="161"/>
      <c r="Y86" s="161"/>
      <c r="Z86" s="160"/>
      <c r="AA86" s="161"/>
      <c r="AB86" s="161"/>
      <c r="AC86" s="160"/>
      <c r="AD86" s="161"/>
      <c r="AE86" s="161"/>
      <c r="AF86" s="160"/>
      <c r="AG86" s="161"/>
      <c r="AH86" s="161">
        <v>689.61199999999997</v>
      </c>
      <c r="AI86" s="160"/>
      <c r="AJ86" s="158"/>
      <c r="AK86" s="158"/>
      <c r="AL86" s="158"/>
      <c r="AM86" s="161"/>
      <c r="AN86" s="161"/>
      <c r="AO86" s="160"/>
      <c r="AP86" s="158"/>
      <c r="AQ86" s="156"/>
      <c r="AR86" s="156"/>
      <c r="AS86" s="165" t="s">
        <v>464</v>
      </c>
      <c r="AT86" s="164"/>
      <c r="AU86" s="116"/>
      <c r="AV86" s="116"/>
      <c r="AW86" s="168"/>
      <c r="AX86" s="117"/>
      <c r="AY86" s="117"/>
      <c r="AZ86" s="117"/>
      <c r="BA86" s="117"/>
    </row>
    <row r="87" spans="1:53" ht="21.75" customHeight="1">
      <c r="A87" s="230" t="s">
        <v>369</v>
      </c>
      <c r="B87" s="238" t="s">
        <v>336</v>
      </c>
      <c r="C87" s="239" t="s">
        <v>279</v>
      </c>
      <c r="D87" s="242" t="s">
        <v>289</v>
      </c>
      <c r="E87" s="155" t="s">
        <v>42</v>
      </c>
      <c r="F87" s="158">
        <f t="shared" si="94"/>
        <v>30</v>
      </c>
      <c r="G87" s="158">
        <f t="shared" si="94"/>
        <v>11.0799</v>
      </c>
      <c r="H87" s="160">
        <f t="shared" ref="H87:H95" si="118">G87/F87</f>
        <v>0.36932999999999999</v>
      </c>
      <c r="I87" s="156">
        <f>SUM(I88:I89)</f>
        <v>0</v>
      </c>
      <c r="J87" s="156">
        <f>SUM(J88:J89)</f>
        <v>0</v>
      </c>
      <c r="K87" s="156">
        <f>SUM(K88:K89)</f>
        <v>0</v>
      </c>
      <c r="L87" s="158">
        <f>SUM(L88:L89)</f>
        <v>0</v>
      </c>
      <c r="M87" s="158">
        <f>SUM(M88:M89)</f>
        <v>0</v>
      </c>
      <c r="N87" s="160"/>
      <c r="O87" s="158">
        <f>SUM(O88:O89)</f>
        <v>0</v>
      </c>
      <c r="P87" s="158">
        <f>SUM(P88:P89)</f>
        <v>0</v>
      </c>
      <c r="Q87" s="160"/>
      <c r="R87" s="158">
        <f>SUM(R88:R89)</f>
        <v>0</v>
      </c>
      <c r="S87" s="158">
        <f>SUM(S88:S89)</f>
        <v>0</v>
      </c>
      <c r="T87" s="160"/>
      <c r="U87" s="158">
        <f t="shared" ref="U87:AR87" si="119">SUM(U88:U89)</f>
        <v>11.0799</v>
      </c>
      <c r="V87" s="158">
        <f t="shared" si="119"/>
        <v>11.0799</v>
      </c>
      <c r="W87" s="160">
        <f t="shared" ref="W87" si="120">V87/U87</f>
        <v>1</v>
      </c>
      <c r="X87" s="158">
        <f t="shared" si="119"/>
        <v>0</v>
      </c>
      <c r="Y87" s="158">
        <f t="shared" si="119"/>
        <v>0</v>
      </c>
      <c r="Z87" s="160"/>
      <c r="AA87" s="158">
        <f t="shared" si="119"/>
        <v>0</v>
      </c>
      <c r="AB87" s="158">
        <f t="shared" si="119"/>
        <v>0</v>
      </c>
      <c r="AC87" s="160"/>
      <c r="AD87" s="158">
        <f t="shared" si="119"/>
        <v>0</v>
      </c>
      <c r="AE87" s="158">
        <f t="shared" si="119"/>
        <v>0</v>
      </c>
      <c r="AF87" s="158">
        <f t="shared" si="119"/>
        <v>0</v>
      </c>
      <c r="AG87" s="158">
        <f t="shared" si="119"/>
        <v>0</v>
      </c>
      <c r="AH87" s="158">
        <f t="shared" si="119"/>
        <v>0</v>
      </c>
      <c r="AI87" s="160"/>
      <c r="AJ87" s="158">
        <f t="shared" si="119"/>
        <v>0</v>
      </c>
      <c r="AK87" s="158">
        <f t="shared" si="119"/>
        <v>0</v>
      </c>
      <c r="AL87" s="160" t="e">
        <f t="shared" ref="AL87" si="121">AK87/AJ87</f>
        <v>#DIV/0!</v>
      </c>
      <c r="AM87" s="158">
        <f t="shared" si="119"/>
        <v>0</v>
      </c>
      <c r="AN87" s="158">
        <f t="shared" si="119"/>
        <v>0</v>
      </c>
      <c r="AO87" s="158">
        <f t="shared" si="119"/>
        <v>0</v>
      </c>
      <c r="AP87" s="158">
        <f t="shared" si="119"/>
        <v>18.920100000000001</v>
      </c>
      <c r="AQ87" s="156">
        <f t="shared" si="119"/>
        <v>0</v>
      </c>
      <c r="AR87" s="156">
        <f t="shared" si="119"/>
        <v>0</v>
      </c>
      <c r="AS87" s="165"/>
      <c r="AT87" s="164"/>
      <c r="AU87" s="116">
        <f t="shared" si="41"/>
        <v>11.0799</v>
      </c>
      <c r="AV87" s="116">
        <f t="shared" si="41"/>
        <v>11.0799</v>
      </c>
      <c r="AW87" s="168">
        <f t="shared" si="106"/>
        <v>1</v>
      </c>
      <c r="AX87" s="117">
        <f t="shared" si="99"/>
        <v>0</v>
      </c>
      <c r="AY87" s="117">
        <f t="shared" si="100"/>
        <v>11.0799</v>
      </c>
      <c r="AZ87" s="117">
        <f t="shared" si="107"/>
        <v>0</v>
      </c>
      <c r="BA87" s="117">
        <f t="shared" si="108"/>
        <v>18.920100000000001</v>
      </c>
    </row>
    <row r="88" spans="1:53" ht="21.75" customHeight="1">
      <c r="A88" s="230"/>
      <c r="B88" s="238"/>
      <c r="C88" s="240"/>
      <c r="D88" s="243"/>
      <c r="E88" s="155" t="s">
        <v>3</v>
      </c>
      <c r="F88" s="158">
        <f t="shared" si="94"/>
        <v>0</v>
      </c>
      <c r="G88" s="158">
        <f t="shared" si="94"/>
        <v>0</v>
      </c>
      <c r="H88" s="160"/>
      <c r="I88" s="156"/>
      <c r="J88" s="156"/>
      <c r="K88" s="156"/>
      <c r="L88" s="158"/>
      <c r="M88" s="158"/>
      <c r="N88" s="160"/>
      <c r="O88" s="158"/>
      <c r="P88" s="158"/>
      <c r="Q88" s="160"/>
      <c r="R88" s="158"/>
      <c r="S88" s="158"/>
      <c r="T88" s="160"/>
      <c r="U88" s="161"/>
      <c r="V88" s="161"/>
      <c r="W88" s="161"/>
      <c r="X88" s="161"/>
      <c r="Y88" s="161"/>
      <c r="Z88" s="160"/>
      <c r="AA88" s="161"/>
      <c r="AB88" s="161"/>
      <c r="AC88" s="160"/>
      <c r="AD88" s="161"/>
      <c r="AE88" s="161">
        <v>0</v>
      </c>
      <c r="AF88" s="161"/>
      <c r="AG88" s="161"/>
      <c r="AH88" s="161"/>
      <c r="AI88" s="160"/>
      <c r="AJ88" s="158"/>
      <c r="AK88" s="158"/>
      <c r="AL88" s="158"/>
      <c r="AM88" s="161"/>
      <c r="AN88" s="161"/>
      <c r="AO88" s="161"/>
      <c r="AP88" s="158"/>
      <c r="AQ88" s="156"/>
      <c r="AR88" s="156"/>
      <c r="AS88" s="165"/>
      <c r="AT88" s="164"/>
      <c r="AU88" s="116">
        <f t="shared" ref="AU88:AV152" si="122">I88+L88+O88+R88+U88+X88+AA88+AD88+AG88</f>
        <v>0</v>
      </c>
      <c r="AV88" s="116">
        <f t="shared" si="122"/>
        <v>0</v>
      </c>
      <c r="AW88" s="168"/>
      <c r="AX88" s="117">
        <f t="shared" si="99"/>
        <v>0</v>
      </c>
      <c r="AY88" s="117">
        <f t="shared" si="100"/>
        <v>0</v>
      </c>
      <c r="AZ88" s="117">
        <f t="shared" si="107"/>
        <v>0</v>
      </c>
      <c r="BA88" s="117">
        <f t="shared" si="108"/>
        <v>0</v>
      </c>
    </row>
    <row r="89" spans="1:53" ht="32.25" customHeight="1">
      <c r="A89" s="230"/>
      <c r="B89" s="238"/>
      <c r="C89" s="241"/>
      <c r="D89" s="244"/>
      <c r="E89" s="155" t="s">
        <v>44</v>
      </c>
      <c r="F89" s="158">
        <f t="shared" si="94"/>
        <v>30</v>
      </c>
      <c r="G89" s="158">
        <f t="shared" si="94"/>
        <v>11.0799</v>
      </c>
      <c r="H89" s="160">
        <f t="shared" si="118"/>
        <v>0.36932999999999999</v>
      </c>
      <c r="I89" s="156"/>
      <c r="J89" s="156"/>
      <c r="K89" s="156"/>
      <c r="L89" s="158"/>
      <c r="M89" s="158"/>
      <c r="N89" s="160"/>
      <c r="O89" s="158"/>
      <c r="P89" s="158"/>
      <c r="Q89" s="160"/>
      <c r="R89" s="158"/>
      <c r="S89" s="158"/>
      <c r="T89" s="160"/>
      <c r="U89" s="161">
        <v>11.0799</v>
      </c>
      <c r="V89" s="161">
        <v>11.0799</v>
      </c>
      <c r="W89" s="160">
        <f t="shared" ref="W89:W91" si="123">V89/U89</f>
        <v>1</v>
      </c>
      <c r="X89" s="161"/>
      <c r="Y89" s="161"/>
      <c r="Z89" s="160"/>
      <c r="AA89" s="161"/>
      <c r="AB89" s="161"/>
      <c r="AC89" s="160"/>
      <c r="AD89" s="161"/>
      <c r="AE89" s="161">
        <v>0</v>
      </c>
      <c r="AF89" s="161"/>
      <c r="AG89" s="161"/>
      <c r="AH89" s="161"/>
      <c r="AI89" s="160"/>
      <c r="AJ89" s="158"/>
      <c r="AK89" s="158"/>
      <c r="AL89" s="160" t="e">
        <f t="shared" ref="AL89" si="124">AK89/AJ89</f>
        <v>#DIV/0!</v>
      </c>
      <c r="AM89" s="161"/>
      <c r="AN89" s="161"/>
      <c r="AO89" s="161"/>
      <c r="AP89" s="158">
        <v>18.920100000000001</v>
      </c>
      <c r="AQ89" s="156"/>
      <c r="AR89" s="156"/>
      <c r="AS89" s="164" t="s">
        <v>456</v>
      </c>
      <c r="AT89" s="164"/>
      <c r="AU89" s="116">
        <f t="shared" si="122"/>
        <v>11.0799</v>
      </c>
      <c r="AV89" s="116">
        <f t="shared" si="122"/>
        <v>11.0799</v>
      </c>
      <c r="AW89" s="168">
        <f t="shared" si="106"/>
        <v>1</v>
      </c>
      <c r="AX89" s="117">
        <f t="shared" si="99"/>
        <v>0</v>
      </c>
      <c r="AY89" s="117">
        <f t="shared" si="100"/>
        <v>11.0799</v>
      </c>
      <c r="AZ89" s="117">
        <f t="shared" si="107"/>
        <v>0</v>
      </c>
      <c r="BA89" s="117">
        <f t="shared" si="108"/>
        <v>18.920100000000001</v>
      </c>
    </row>
    <row r="90" spans="1:53" ht="23.25" customHeight="1">
      <c r="A90" s="230" t="s">
        <v>370</v>
      </c>
      <c r="B90" s="254" t="s">
        <v>337</v>
      </c>
      <c r="C90" s="255" t="s">
        <v>278</v>
      </c>
      <c r="D90" s="242" t="s">
        <v>387</v>
      </c>
      <c r="E90" s="155" t="s">
        <v>42</v>
      </c>
      <c r="F90" s="158">
        <f t="shared" si="94"/>
        <v>1962.4</v>
      </c>
      <c r="G90" s="158">
        <f t="shared" si="94"/>
        <v>1712.3993499999999</v>
      </c>
      <c r="H90" s="160">
        <f t="shared" si="118"/>
        <v>0.87260464227476553</v>
      </c>
      <c r="I90" s="156">
        <f>SUM(I91:I92)</f>
        <v>0</v>
      </c>
      <c r="J90" s="156">
        <f>SUM(J91:J92)</f>
        <v>0</v>
      </c>
      <c r="K90" s="156">
        <f>SUM(K91:K92)</f>
        <v>0</v>
      </c>
      <c r="L90" s="158">
        <f>SUM(L91:L92)</f>
        <v>0</v>
      </c>
      <c r="M90" s="158">
        <f>SUM(M91:M92)</f>
        <v>0</v>
      </c>
      <c r="N90" s="160"/>
      <c r="O90" s="158">
        <f>SUM(O91:O92)</f>
        <v>0</v>
      </c>
      <c r="P90" s="158">
        <f>SUM(P91:P92)</f>
        <v>0</v>
      </c>
      <c r="Q90" s="160"/>
      <c r="R90" s="158">
        <f>SUM(R91:R92)</f>
        <v>336</v>
      </c>
      <c r="S90" s="158">
        <f>SUM(S91:S92)</f>
        <v>336</v>
      </c>
      <c r="T90" s="160">
        <f t="shared" ref="T90:T91" si="125">S90/R90</f>
        <v>1</v>
      </c>
      <c r="U90" s="158">
        <f t="shared" ref="U90:AR90" si="126">SUM(U91:U92)</f>
        <v>1332.4</v>
      </c>
      <c r="V90" s="158">
        <f t="shared" si="126"/>
        <v>1082.3993499999999</v>
      </c>
      <c r="W90" s="160">
        <f t="shared" si="123"/>
        <v>0.81236817021915331</v>
      </c>
      <c r="X90" s="158">
        <f t="shared" si="126"/>
        <v>0</v>
      </c>
      <c r="Y90" s="158">
        <f t="shared" si="126"/>
        <v>0</v>
      </c>
      <c r="Z90" s="160"/>
      <c r="AA90" s="158">
        <f t="shared" si="126"/>
        <v>0</v>
      </c>
      <c r="AB90" s="158">
        <f t="shared" si="126"/>
        <v>0</v>
      </c>
      <c r="AC90" s="160"/>
      <c r="AD90" s="158">
        <f t="shared" si="126"/>
        <v>0</v>
      </c>
      <c r="AE90" s="158">
        <f t="shared" si="126"/>
        <v>0</v>
      </c>
      <c r="AF90" s="158"/>
      <c r="AG90" s="158">
        <f t="shared" si="126"/>
        <v>294</v>
      </c>
      <c r="AH90" s="158">
        <f t="shared" si="126"/>
        <v>294</v>
      </c>
      <c r="AI90" s="160">
        <f t="shared" ref="AI90:AI91" si="127">AH90/AG90</f>
        <v>1</v>
      </c>
      <c r="AJ90" s="158">
        <f t="shared" si="126"/>
        <v>0</v>
      </c>
      <c r="AK90" s="158">
        <f t="shared" si="126"/>
        <v>0</v>
      </c>
      <c r="AL90" s="158">
        <f t="shared" si="126"/>
        <v>0</v>
      </c>
      <c r="AM90" s="158">
        <f t="shared" si="126"/>
        <v>0</v>
      </c>
      <c r="AN90" s="158">
        <f t="shared" si="126"/>
        <v>0</v>
      </c>
      <c r="AO90" s="160" t="e">
        <f t="shared" ref="AO90:AO93" si="128">AN90/AM90</f>
        <v>#DIV/0!</v>
      </c>
      <c r="AP90" s="158">
        <f t="shared" si="126"/>
        <v>0</v>
      </c>
      <c r="AQ90" s="156">
        <f t="shared" si="126"/>
        <v>0</v>
      </c>
      <c r="AR90" s="156">
        <f t="shared" si="126"/>
        <v>0</v>
      </c>
      <c r="AS90" s="165"/>
      <c r="AT90" s="164"/>
      <c r="AU90" s="116">
        <f t="shared" si="122"/>
        <v>1962.4</v>
      </c>
      <c r="AV90" s="116">
        <f t="shared" si="122"/>
        <v>1712.3993499999999</v>
      </c>
      <c r="AW90" s="168">
        <f t="shared" si="106"/>
        <v>0.87260464227476553</v>
      </c>
      <c r="AX90" s="117">
        <f t="shared" si="99"/>
        <v>0</v>
      </c>
      <c r="AY90" s="117">
        <f t="shared" si="100"/>
        <v>1668.4</v>
      </c>
      <c r="AZ90" s="117">
        <f t="shared" si="107"/>
        <v>294</v>
      </c>
      <c r="BA90" s="117">
        <f t="shared" si="108"/>
        <v>0</v>
      </c>
    </row>
    <row r="91" spans="1:53" ht="167.25" customHeight="1">
      <c r="A91" s="230"/>
      <c r="B91" s="254"/>
      <c r="C91" s="256"/>
      <c r="D91" s="243"/>
      <c r="E91" s="155" t="s">
        <v>3</v>
      </c>
      <c r="F91" s="158">
        <f t="shared" si="94"/>
        <v>1962.4</v>
      </c>
      <c r="G91" s="158">
        <f t="shared" si="94"/>
        <v>1712.3993499999999</v>
      </c>
      <c r="H91" s="160">
        <f t="shared" si="118"/>
        <v>0.87260464227476553</v>
      </c>
      <c r="I91" s="156"/>
      <c r="J91" s="156"/>
      <c r="K91" s="156"/>
      <c r="L91" s="158"/>
      <c r="M91" s="158"/>
      <c r="N91" s="160"/>
      <c r="O91" s="158"/>
      <c r="P91" s="158"/>
      <c r="Q91" s="160"/>
      <c r="R91" s="158">
        <v>336</v>
      </c>
      <c r="S91" s="158">
        <v>336</v>
      </c>
      <c r="T91" s="160">
        <f t="shared" si="125"/>
        <v>1</v>
      </c>
      <c r="U91" s="161">
        <f>1000+231.4+101</f>
        <v>1332.4</v>
      </c>
      <c r="V91" s="161">
        <v>1082.3993499999999</v>
      </c>
      <c r="W91" s="160">
        <f t="shared" si="123"/>
        <v>0.81236817021915331</v>
      </c>
      <c r="X91" s="161"/>
      <c r="Y91" s="161"/>
      <c r="Z91" s="160"/>
      <c r="AA91" s="161"/>
      <c r="AB91" s="161"/>
      <c r="AC91" s="160"/>
      <c r="AD91" s="161"/>
      <c r="AE91" s="161"/>
      <c r="AF91" s="160"/>
      <c r="AG91" s="161">
        <v>294</v>
      </c>
      <c r="AH91" s="161">
        <v>294</v>
      </c>
      <c r="AI91" s="160">
        <f t="shared" si="127"/>
        <v>1</v>
      </c>
      <c r="AJ91" s="158"/>
      <c r="AK91" s="158"/>
      <c r="AL91" s="158"/>
      <c r="AM91" s="161"/>
      <c r="AN91" s="161"/>
      <c r="AO91" s="160"/>
      <c r="AP91" s="158"/>
      <c r="AQ91" s="156"/>
      <c r="AR91" s="156"/>
      <c r="AS91" s="123" t="s">
        <v>457</v>
      </c>
      <c r="AT91" s="164" t="s">
        <v>436</v>
      </c>
      <c r="AU91" s="116">
        <f t="shared" si="122"/>
        <v>1962.4</v>
      </c>
      <c r="AV91" s="116">
        <f t="shared" si="122"/>
        <v>1712.3993499999999</v>
      </c>
      <c r="AW91" s="168">
        <f t="shared" si="106"/>
        <v>0.87260464227476553</v>
      </c>
      <c r="AX91" s="117">
        <f t="shared" si="99"/>
        <v>0</v>
      </c>
      <c r="AY91" s="117">
        <f t="shared" si="100"/>
        <v>1668.4</v>
      </c>
      <c r="AZ91" s="117">
        <f t="shared" si="107"/>
        <v>294</v>
      </c>
      <c r="BA91" s="117">
        <f t="shared" si="108"/>
        <v>0</v>
      </c>
    </row>
    <row r="92" spans="1:53" ht="24" customHeight="1">
      <c r="A92" s="230"/>
      <c r="B92" s="254"/>
      <c r="C92" s="257"/>
      <c r="D92" s="244"/>
      <c r="E92" s="155" t="s">
        <v>44</v>
      </c>
      <c r="F92" s="158">
        <f t="shared" si="94"/>
        <v>0</v>
      </c>
      <c r="G92" s="158">
        <f t="shared" si="94"/>
        <v>0</v>
      </c>
      <c r="H92" s="160"/>
      <c r="I92" s="156"/>
      <c r="J92" s="156"/>
      <c r="K92" s="156"/>
      <c r="L92" s="158"/>
      <c r="M92" s="158"/>
      <c r="N92" s="160"/>
      <c r="O92" s="158"/>
      <c r="P92" s="158"/>
      <c r="Q92" s="160"/>
      <c r="R92" s="158"/>
      <c r="S92" s="158"/>
      <c r="T92" s="160"/>
      <c r="U92" s="161"/>
      <c r="V92" s="161"/>
      <c r="W92" s="161"/>
      <c r="X92" s="161"/>
      <c r="Y92" s="161"/>
      <c r="Z92" s="160"/>
      <c r="AA92" s="161"/>
      <c r="AB92" s="161"/>
      <c r="AC92" s="160"/>
      <c r="AD92" s="161"/>
      <c r="AE92" s="161"/>
      <c r="AF92" s="161"/>
      <c r="AG92" s="161"/>
      <c r="AH92" s="161"/>
      <c r="AI92" s="161"/>
      <c r="AJ92" s="158"/>
      <c r="AK92" s="158"/>
      <c r="AL92" s="158"/>
      <c r="AM92" s="161"/>
      <c r="AN92" s="161"/>
      <c r="AO92" s="160" t="e">
        <f t="shared" si="128"/>
        <v>#DIV/0!</v>
      </c>
      <c r="AP92" s="158"/>
      <c r="AQ92" s="156"/>
      <c r="AR92" s="156"/>
      <c r="AS92" s="165"/>
      <c r="AT92" s="164"/>
      <c r="AU92" s="116">
        <f t="shared" si="122"/>
        <v>0</v>
      </c>
      <c r="AV92" s="116">
        <f t="shared" si="122"/>
        <v>0</v>
      </c>
      <c r="AW92" s="168"/>
      <c r="AX92" s="117">
        <f t="shared" si="99"/>
        <v>0</v>
      </c>
      <c r="AY92" s="117">
        <f t="shared" si="100"/>
        <v>0</v>
      </c>
      <c r="AZ92" s="117">
        <f t="shared" si="107"/>
        <v>0</v>
      </c>
      <c r="BA92" s="117">
        <f t="shared" si="108"/>
        <v>0</v>
      </c>
    </row>
    <row r="93" spans="1:53" ht="22.5" customHeight="1">
      <c r="A93" s="230" t="s">
        <v>371</v>
      </c>
      <c r="B93" s="254" t="s">
        <v>338</v>
      </c>
      <c r="C93" s="239" t="s">
        <v>275</v>
      </c>
      <c r="D93" s="242" t="s">
        <v>289</v>
      </c>
      <c r="E93" s="155" t="s">
        <v>42</v>
      </c>
      <c r="F93" s="158">
        <f t="shared" si="94"/>
        <v>2386.58</v>
      </c>
      <c r="G93" s="158">
        <f t="shared" si="94"/>
        <v>1255.2863400000001</v>
      </c>
      <c r="H93" s="160">
        <f t="shared" si="118"/>
        <v>0.52597706341291728</v>
      </c>
      <c r="I93" s="158">
        <f>SUM(I94:I95)</f>
        <v>34.5</v>
      </c>
      <c r="J93" s="156">
        <f>SUM(J94:J95)</f>
        <v>34.5</v>
      </c>
      <c r="K93" s="160">
        <f t="shared" ref="K93:K95" si="129">J93/I93</f>
        <v>1</v>
      </c>
      <c r="L93" s="158">
        <f>SUM(L94:L95)</f>
        <v>352.26499999999999</v>
      </c>
      <c r="M93" s="158">
        <f>SUM(M94:M95)</f>
        <v>10.184839999999999</v>
      </c>
      <c r="N93" s="160">
        <f t="shared" ref="N93" si="130">M93/L93</f>
        <v>2.8912438079286899E-2</v>
      </c>
      <c r="O93" s="158">
        <f>SUM(O94:O95)</f>
        <v>3.2749999999999999</v>
      </c>
      <c r="P93" s="158">
        <f>SUM(P94:P95)</f>
        <v>2.7293599999999998</v>
      </c>
      <c r="Q93" s="160">
        <f t="shared" ref="Q93" si="131">P93/O93</f>
        <v>0.8333923664122137</v>
      </c>
      <c r="R93" s="158">
        <f>SUM(R94:R95)</f>
        <v>63.274999999999999</v>
      </c>
      <c r="S93" s="158">
        <f>SUM(S94:S95)</f>
        <v>55.929639999999999</v>
      </c>
      <c r="T93" s="160">
        <f t="shared" ref="T93:T95" si="132">S93/R93</f>
        <v>0.88391370999604901</v>
      </c>
      <c r="U93" s="158">
        <f t="shared" ref="U93:AR93" si="133">SUM(U94:U95)</f>
        <v>1917.7650000000001</v>
      </c>
      <c r="V93" s="158">
        <f t="shared" si="133"/>
        <v>834.1925</v>
      </c>
      <c r="W93" s="160">
        <f t="shared" ref="W93:W95" si="134">V93/U93</f>
        <v>0.43498160619262527</v>
      </c>
      <c r="X93" s="158">
        <f t="shared" si="133"/>
        <v>3.2749999999999999</v>
      </c>
      <c r="Y93" s="158">
        <f t="shared" si="133"/>
        <v>6.85</v>
      </c>
      <c r="Z93" s="160">
        <f t="shared" si="115"/>
        <v>2.0916030534351147</v>
      </c>
      <c r="AA93" s="158">
        <f t="shared" si="133"/>
        <v>0.5</v>
      </c>
      <c r="AB93" s="158">
        <f t="shared" si="133"/>
        <v>214.16000000000003</v>
      </c>
      <c r="AC93" s="160">
        <f t="shared" ref="AC93:AC95" si="135">AB93/AA93</f>
        <v>428.32000000000005</v>
      </c>
      <c r="AD93" s="158">
        <f t="shared" si="133"/>
        <v>0</v>
      </c>
      <c r="AE93" s="158">
        <f t="shared" si="133"/>
        <v>63.739999999999995</v>
      </c>
      <c r="AF93" s="158">
        <f t="shared" si="133"/>
        <v>0</v>
      </c>
      <c r="AG93" s="158">
        <f t="shared" si="133"/>
        <v>-1102.8686600000001</v>
      </c>
      <c r="AH93" s="158">
        <f t="shared" si="133"/>
        <v>33</v>
      </c>
      <c r="AI93" s="158">
        <f t="shared" si="133"/>
        <v>0</v>
      </c>
      <c r="AJ93" s="158">
        <f t="shared" si="133"/>
        <v>94.4</v>
      </c>
      <c r="AK93" s="158">
        <f t="shared" si="133"/>
        <v>0</v>
      </c>
      <c r="AL93" s="160">
        <f t="shared" ref="AL93" si="136">AK93/AJ93</f>
        <v>0</v>
      </c>
      <c r="AM93" s="158">
        <f t="shared" si="133"/>
        <v>1014.9686600000001</v>
      </c>
      <c r="AN93" s="158">
        <f t="shared" si="133"/>
        <v>0</v>
      </c>
      <c r="AO93" s="160">
        <f t="shared" si="128"/>
        <v>0</v>
      </c>
      <c r="AP93" s="158">
        <f t="shared" si="133"/>
        <v>5.2249999999999996</v>
      </c>
      <c r="AQ93" s="156">
        <f t="shared" si="133"/>
        <v>0</v>
      </c>
      <c r="AR93" s="156">
        <f t="shared" si="133"/>
        <v>0</v>
      </c>
      <c r="AS93" s="165"/>
      <c r="AT93" s="164"/>
      <c r="AU93" s="116">
        <f t="shared" si="122"/>
        <v>1271.9863399999999</v>
      </c>
      <c r="AV93" s="116">
        <f t="shared" si="122"/>
        <v>1255.2863400000001</v>
      </c>
      <c r="AW93" s="168">
        <f t="shared" si="106"/>
        <v>0.9868709281893705</v>
      </c>
      <c r="AX93" s="117">
        <f t="shared" si="99"/>
        <v>390.03999999999996</v>
      </c>
      <c r="AY93" s="117">
        <f t="shared" si="100"/>
        <v>1984.3150000000003</v>
      </c>
      <c r="AZ93" s="117">
        <f t="shared" si="107"/>
        <v>-1102.3686600000001</v>
      </c>
      <c r="BA93" s="117">
        <f t="shared" si="108"/>
        <v>1114.59366</v>
      </c>
    </row>
    <row r="94" spans="1:53" ht="79.5" customHeight="1">
      <c r="A94" s="230"/>
      <c r="B94" s="254"/>
      <c r="C94" s="240"/>
      <c r="D94" s="243"/>
      <c r="E94" s="155" t="s">
        <v>3</v>
      </c>
      <c r="F94" s="158">
        <f t="shared" si="94"/>
        <v>60</v>
      </c>
      <c r="G94" s="158">
        <f t="shared" si="94"/>
        <v>43.3</v>
      </c>
      <c r="H94" s="160">
        <f t="shared" si="118"/>
        <v>0.72166666666666657</v>
      </c>
      <c r="I94" s="156"/>
      <c r="J94" s="156"/>
      <c r="K94" s="160"/>
      <c r="L94" s="158"/>
      <c r="M94" s="158"/>
      <c r="N94" s="160"/>
      <c r="O94" s="158"/>
      <c r="P94" s="158"/>
      <c r="Q94" s="160"/>
      <c r="R94" s="161">
        <f>62.5-2.5</f>
        <v>60</v>
      </c>
      <c r="S94" s="158"/>
      <c r="T94" s="160">
        <f t="shared" si="132"/>
        <v>0</v>
      </c>
      <c r="U94" s="161"/>
      <c r="V94" s="161"/>
      <c r="W94" s="160"/>
      <c r="X94" s="161"/>
      <c r="Y94" s="161">
        <v>4.5</v>
      </c>
      <c r="Z94" s="160"/>
      <c r="AA94" s="161"/>
      <c r="AB94" s="161">
        <v>5.8</v>
      </c>
      <c r="AC94" s="160"/>
      <c r="AD94" s="161"/>
      <c r="AE94" s="161"/>
      <c r="AF94" s="161"/>
      <c r="AG94" s="161"/>
      <c r="AH94" s="161">
        <v>33</v>
      </c>
      <c r="AI94" s="161"/>
      <c r="AJ94" s="158"/>
      <c r="AK94" s="158"/>
      <c r="AL94" s="158"/>
      <c r="AM94" s="161"/>
      <c r="AN94" s="161"/>
      <c r="AO94" s="158"/>
      <c r="AP94" s="158"/>
      <c r="AQ94" s="156"/>
      <c r="AR94" s="156"/>
      <c r="AS94" s="164" t="s">
        <v>424</v>
      </c>
      <c r="AT94" s="164" t="s">
        <v>470</v>
      </c>
      <c r="AU94" s="116">
        <f t="shared" si="122"/>
        <v>60</v>
      </c>
      <c r="AV94" s="116">
        <f t="shared" si="122"/>
        <v>43.3</v>
      </c>
      <c r="AW94" s="168">
        <f t="shared" si="106"/>
        <v>0.72166666666666657</v>
      </c>
      <c r="AX94" s="117">
        <f t="shared" si="99"/>
        <v>0</v>
      </c>
      <c r="AY94" s="117">
        <f t="shared" si="100"/>
        <v>60</v>
      </c>
      <c r="AZ94" s="117">
        <f t="shared" si="107"/>
        <v>0</v>
      </c>
      <c r="BA94" s="117">
        <f t="shared" si="108"/>
        <v>0</v>
      </c>
    </row>
    <row r="95" spans="1:53" ht="78" customHeight="1">
      <c r="A95" s="230"/>
      <c r="B95" s="254"/>
      <c r="C95" s="241"/>
      <c r="D95" s="244"/>
      <c r="E95" s="155" t="s">
        <v>44</v>
      </c>
      <c r="F95" s="158">
        <f t="shared" si="94"/>
        <v>2326.58</v>
      </c>
      <c r="G95" s="158">
        <f t="shared" si="94"/>
        <v>1211.9863400000002</v>
      </c>
      <c r="H95" s="160">
        <f t="shared" si="118"/>
        <v>0.52093043866963529</v>
      </c>
      <c r="I95" s="158">
        <f>34.5</f>
        <v>34.5</v>
      </c>
      <c r="J95" s="158">
        <f>34.5</f>
        <v>34.5</v>
      </c>
      <c r="K95" s="160">
        <f t="shared" si="129"/>
        <v>1</v>
      </c>
      <c r="L95" s="158">
        <f>10.175+342.09</f>
        <v>352.26499999999999</v>
      </c>
      <c r="M95" s="158">
        <f>10.18484</f>
        <v>10.184839999999999</v>
      </c>
      <c r="N95" s="160">
        <f t="shared" ref="N95" si="137">M95/L95</f>
        <v>2.8912438079286899E-2</v>
      </c>
      <c r="O95" s="158">
        <v>3.2749999999999999</v>
      </c>
      <c r="P95" s="158">
        <v>2.7293599999999998</v>
      </c>
      <c r="Q95" s="160">
        <f t="shared" ref="Q95" si="138">P95/O95</f>
        <v>0.8333923664122137</v>
      </c>
      <c r="R95" s="158">
        <v>3.2749999999999999</v>
      </c>
      <c r="S95" s="158">
        <v>55.929639999999999</v>
      </c>
      <c r="T95" s="160">
        <f t="shared" si="132"/>
        <v>17.077752671755725</v>
      </c>
      <c r="U95" s="161">
        <v>1917.7650000000001</v>
      </c>
      <c r="V95" s="161">
        <v>834.1925</v>
      </c>
      <c r="W95" s="160">
        <f t="shared" si="134"/>
        <v>0.43498160619262527</v>
      </c>
      <c r="X95" s="161">
        <v>3.2749999999999999</v>
      </c>
      <c r="Y95" s="161">
        <v>2.35</v>
      </c>
      <c r="Z95" s="160">
        <f t="shared" si="115"/>
        <v>0.71755725190839703</v>
      </c>
      <c r="AA95" s="161">
        <v>0.5</v>
      </c>
      <c r="AB95" s="161">
        <v>208.36</v>
      </c>
      <c r="AC95" s="160">
        <f t="shared" si="135"/>
        <v>416.72</v>
      </c>
      <c r="AD95" s="161"/>
      <c r="AE95" s="161">
        <f>22.87+40.87</f>
        <v>63.739999999999995</v>
      </c>
      <c r="AF95" s="161"/>
      <c r="AG95" s="161">
        <v>-1102.8686600000001</v>
      </c>
      <c r="AH95" s="161"/>
      <c r="AI95" s="161"/>
      <c r="AJ95" s="158">
        <f>39.15+55.25</f>
        <v>94.4</v>
      </c>
      <c r="AK95" s="158"/>
      <c r="AL95" s="160">
        <f t="shared" ref="AL95" si="139">AK95/AJ95</f>
        <v>0</v>
      </c>
      <c r="AM95" s="161">
        <f>3.325+1047.61866-35.975</f>
        <v>1014.9686600000001</v>
      </c>
      <c r="AN95" s="161"/>
      <c r="AO95" s="160">
        <f t="shared" ref="AO95" si="140">AN95/AM95</f>
        <v>0</v>
      </c>
      <c r="AP95" s="158">
        <v>5.2249999999999996</v>
      </c>
      <c r="AQ95" s="156"/>
      <c r="AR95" s="156"/>
      <c r="AS95" s="164" t="s">
        <v>458</v>
      </c>
      <c r="AT95" s="164"/>
      <c r="AU95" s="116">
        <f t="shared" si="122"/>
        <v>1211.9863399999999</v>
      </c>
      <c r="AV95" s="116">
        <f t="shared" si="122"/>
        <v>1211.9863400000002</v>
      </c>
      <c r="AW95" s="168">
        <f t="shared" si="106"/>
        <v>1.0000000000000002</v>
      </c>
      <c r="AX95" s="117">
        <f t="shared" si="99"/>
        <v>390.03999999999996</v>
      </c>
      <c r="AY95" s="117">
        <f t="shared" si="100"/>
        <v>1924.3150000000003</v>
      </c>
      <c r="AZ95" s="117">
        <f t="shared" si="107"/>
        <v>-1102.3686600000001</v>
      </c>
      <c r="BA95" s="117">
        <f t="shared" si="108"/>
        <v>1114.59366</v>
      </c>
    </row>
    <row r="96" spans="1:53" ht="21" customHeight="1">
      <c r="A96" s="112" t="s">
        <v>11</v>
      </c>
      <c r="B96" s="248" t="s">
        <v>307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50"/>
      <c r="AU96" s="116">
        <f t="shared" si="122"/>
        <v>0</v>
      </c>
      <c r="AV96" s="116">
        <f t="shared" si="122"/>
        <v>0</v>
      </c>
      <c r="AW96" s="168"/>
      <c r="AX96" s="117">
        <f t="shared" si="99"/>
        <v>0</v>
      </c>
      <c r="AY96" s="117">
        <f t="shared" si="100"/>
        <v>0</v>
      </c>
      <c r="AZ96" s="117">
        <f t="shared" si="107"/>
        <v>0</v>
      </c>
      <c r="BA96" s="117">
        <f t="shared" si="108"/>
        <v>0</v>
      </c>
    </row>
    <row r="97" spans="1:53" ht="21" customHeight="1">
      <c r="A97" s="189" t="s">
        <v>308</v>
      </c>
      <c r="B97" s="251" t="s">
        <v>293</v>
      </c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3"/>
      <c r="AU97" s="116">
        <f t="shared" si="122"/>
        <v>0</v>
      </c>
      <c r="AV97" s="116">
        <f t="shared" si="122"/>
        <v>0</v>
      </c>
      <c r="AW97" s="168"/>
      <c r="AX97" s="117">
        <f t="shared" si="99"/>
        <v>0</v>
      </c>
      <c r="AY97" s="117">
        <f t="shared" si="100"/>
        <v>0</v>
      </c>
      <c r="AZ97" s="117">
        <f t="shared" si="107"/>
        <v>0</v>
      </c>
      <c r="BA97" s="117">
        <f t="shared" si="108"/>
        <v>0</v>
      </c>
    </row>
    <row r="98" spans="1:53" ht="19.5" customHeight="1">
      <c r="A98" s="230" t="s">
        <v>372</v>
      </c>
      <c r="B98" s="238" t="s">
        <v>339</v>
      </c>
      <c r="C98" s="239" t="s">
        <v>274</v>
      </c>
      <c r="D98" s="242" t="s">
        <v>287</v>
      </c>
      <c r="E98" s="155" t="s">
        <v>42</v>
      </c>
      <c r="F98" s="158">
        <f t="shared" ref="F98:G103" si="141">I98+L98+O98+R98+U98+X98+AA98+AD98+AG98+AJ98+AM98+AP98</f>
        <v>18074.445779999998</v>
      </c>
      <c r="G98" s="158">
        <f t="shared" si="141"/>
        <v>12007.927099999999</v>
      </c>
      <c r="H98" s="160">
        <f t="shared" ref="H98:H103" si="142">G98/F98</f>
        <v>0.66435935276572555</v>
      </c>
      <c r="I98" s="158">
        <f>SUM(I99:I100)</f>
        <v>390</v>
      </c>
      <c r="J98" s="158">
        <f>SUM(J99:J100)</f>
        <v>355</v>
      </c>
      <c r="K98" s="160">
        <f t="shared" ref="K98:K103" si="143">J98/I98</f>
        <v>0.91025641025641024</v>
      </c>
      <c r="L98" s="158">
        <f>SUM(L99:L100)</f>
        <v>1570.394</v>
      </c>
      <c r="M98" s="158">
        <f>SUM(M99:M100)</f>
        <v>1605.394</v>
      </c>
      <c r="N98" s="160">
        <f t="shared" ref="N98:N103" si="144">M98/L98</f>
        <v>1.0222874004867568</v>
      </c>
      <c r="O98" s="158">
        <f>SUM(O99:O100)</f>
        <v>1379.3600000000001</v>
      </c>
      <c r="P98" s="158">
        <f>SUM(P99:P100)</f>
        <v>1379.36</v>
      </c>
      <c r="Q98" s="160">
        <f t="shared" ref="Q98:Q103" si="145">P98/O98</f>
        <v>0.99999999999999989</v>
      </c>
      <c r="R98" s="158">
        <f>SUM(R99:R100)</f>
        <v>1327.6960000000001</v>
      </c>
      <c r="S98" s="158">
        <f>SUM(S99:S100)</f>
        <v>2283.6644799999999</v>
      </c>
      <c r="T98" s="160">
        <f t="shared" ref="T98:T103" si="146">S98/R98</f>
        <v>1.7200206071269324</v>
      </c>
      <c r="U98" s="158">
        <f t="shared" ref="U98:AR98" si="147">SUM(U99:U100)</f>
        <v>1776.3579999999999</v>
      </c>
      <c r="V98" s="158">
        <f t="shared" si="147"/>
        <v>56.044519999999999</v>
      </c>
      <c r="W98" s="160">
        <f t="shared" ref="W98" si="148">V98/U98</f>
        <v>3.1550239309868847E-2</v>
      </c>
      <c r="X98" s="158">
        <f t="shared" si="147"/>
        <v>1800.383</v>
      </c>
      <c r="Y98" s="158">
        <f t="shared" si="147"/>
        <v>2264.7280000000001</v>
      </c>
      <c r="Z98" s="160">
        <f t="shared" ref="Z98:Z103" si="149">Y98/X98</f>
        <v>1.2579145659562438</v>
      </c>
      <c r="AA98" s="158">
        <f t="shared" si="147"/>
        <v>1883.058</v>
      </c>
      <c r="AB98" s="158">
        <f t="shared" si="147"/>
        <v>1633.0579999999991</v>
      </c>
      <c r="AC98" s="160">
        <f t="shared" ref="AC98:AC103" si="150">AB98/AA98</f>
        <v>0.86723722795580327</v>
      </c>
      <c r="AD98" s="158">
        <f t="shared" si="147"/>
        <v>1681.1020000000001</v>
      </c>
      <c r="AE98" s="158">
        <f t="shared" si="147"/>
        <v>1155.5201</v>
      </c>
      <c r="AF98" s="160">
        <f t="shared" ref="AF98:AF103" si="151">AE98/AD98</f>
        <v>0.6873587087517592</v>
      </c>
      <c r="AG98" s="158">
        <f t="shared" ref="AG98:AP98" si="152">SUM(AG99:AG100)</f>
        <v>199.57610000000022</v>
      </c>
      <c r="AH98" s="158">
        <f t="shared" si="152"/>
        <v>1275.1579999999999</v>
      </c>
      <c r="AI98" s="160">
        <f t="shared" ref="AI98:AI103" si="153">AH98/AG98</f>
        <v>6.3893321895757982</v>
      </c>
      <c r="AJ98" s="158">
        <f t="shared" si="152"/>
        <v>1983.7938799999999</v>
      </c>
      <c r="AK98" s="158">
        <f t="shared" si="152"/>
        <v>0</v>
      </c>
      <c r="AL98" s="160">
        <f t="shared" ref="AL98" si="154">AK98/AJ98</f>
        <v>0</v>
      </c>
      <c r="AM98" s="158">
        <f t="shared" si="152"/>
        <v>1429.6819800000001</v>
      </c>
      <c r="AN98" s="158">
        <f t="shared" si="152"/>
        <v>0</v>
      </c>
      <c r="AO98" s="160">
        <f t="shared" ref="AO98" si="155">AN98/AM98</f>
        <v>0</v>
      </c>
      <c r="AP98" s="158">
        <f t="shared" si="152"/>
        <v>2653.0428199999997</v>
      </c>
      <c r="AQ98" s="156">
        <f t="shared" si="147"/>
        <v>0</v>
      </c>
      <c r="AR98" s="156">
        <f t="shared" si="147"/>
        <v>0</v>
      </c>
      <c r="AS98" s="165"/>
      <c r="AT98" s="164"/>
      <c r="AU98" s="116">
        <f t="shared" si="122"/>
        <v>12007.927100000001</v>
      </c>
      <c r="AV98" s="116">
        <f t="shared" si="122"/>
        <v>12007.927099999999</v>
      </c>
      <c r="AW98" s="168">
        <f t="shared" si="106"/>
        <v>0.99999999999999989</v>
      </c>
      <c r="AX98" s="117">
        <f t="shared" si="99"/>
        <v>3339.7539999999999</v>
      </c>
      <c r="AY98" s="117">
        <f t="shared" si="100"/>
        <v>4904.4369999999999</v>
      </c>
      <c r="AZ98" s="117">
        <f t="shared" si="107"/>
        <v>3763.7361000000001</v>
      </c>
      <c r="BA98" s="117">
        <f t="shared" si="108"/>
        <v>6066.5186799999992</v>
      </c>
    </row>
    <row r="99" spans="1:53" ht="19.5" customHeight="1">
      <c r="A99" s="230"/>
      <c r="B99" s="238"/>
      <c r="C99" s="240"/>
      <c r="D99" s="243"/>
      <c r="E99" s="155" t="s">
        <v>3</v>
      </c>
      <c r="F99" s="158">
        <f t="shared" si="141"/>
        <v>20.955780000000001</v>
      </c>
      <c r="G99" s="158">
        <f>J99+M99+P99+S99+V99+Y99+AB99+AE99+AH99+AK99+AN99+AQ99</f>
        <v>0</v>
      </c>
      <c r="H99" s="160"/>
      <c r="I99" s="158"/>
      <c r="J99" s="158"/>
      <c r="K99" s="160"/>
      <c r="L99" s="158"/>
      <c r="M99" s="158"/>
      <c r="N99" s="160"/>
      <c r="O99" s="158"/>
      <c r="P99" s="158"/>
      <c r="Q99" s="160"/>
      <c r="R99" s="158"/>
      <c r="S99" s="158"/>
      <c r="T99" s="160"/>
      <c r="U99" s="161"/>
      <c r="V99" s="161"/>
      <c r="W99" s="161"/>
      <c r="X99" s="161"/>
      <c r="Y99" s="161"/>
      <c r="Z99" s="160"/>
      <c r="AA99" s="161"/>
      <c r="AB99" s="161"/>
      <c r="AC99" s="160"/>
      <c r="AD99" s="161"/>
      <c r="AE99" s="161"/>
      <c r="AF99" s="160"/>
      <c r="AG99" s="161"/>
      <c r="AH99" s="161"/>
      <c r="AI99" s="160"/>
      <c r="AJ99" s="158">
        <v>6.9469799999999999</v>
      </c>
      <c r="AK99" s="158"/>
      <c r="AL99" s="158">
        <v>6.9469799999999999</v>
      </c>
      <c r="AM99" s="158">
        <v>6.9469799999999999</v>
      </c>
      <c r="AN99" s="158"/>
      <c r="AO99" s="158">
        <v>6.9469799999999999</v>
      </c>
      <c r="AP99" s="158">
        <f>6.94698+0.11484</f>
        <v>7.06182</v>
      </c>
      <c r="AQ99" s="156"/>
      <c r="AR99" s="156"/>
      <c r="AS99" s="165"/>
      <c r="AT99" s="164"/>
      <c r="AU99" s="116">
        <f t="shared" si="122"/>
        <v>0</v>
      </c>
      <c r="AV99" s="116">
        <f t="shared" si="122"/>
        <v>0</v>
      </c>
      <c r="AW99" s="168"/>
      <c r="AX99" s="117">
        <f t="shared" si="99"/>
        <v>0</v>
      </c>
      <c r="AY99" s="117">
        <f t="shared" si="100"/>
        <v>0</v>
      </c>
      <c r="AZ99" s="117">
        <f t="shared" si="107"/>
        <v>0</v>
      </c>
      <c r="BA99" s="117">
        <f t="shared" si="108"/>
        <v>20.955780000000001</v>
      </c>
    </row>
    <row r="100" spans="1:53" ht="47.25" customHeight="1">
      <c r="A100" s="230"/>
      <c r="B100" s="238"/>
      <c r="C100" s="241"/>
      <c r="D100" s="244"/>
      <c r="E100" s="155" t="s">
        <v>44</v>
      </c>
      <c r="F100" s="158">
        <f t="shared" si="141"/>
        <v>18053.490000000002</v>
      </c>
      <c r="G100" s="158">
        <f t="shared" si="141"/>
        <v>12007.927099999999</v>
      </c>
      <c r="H100" s="160">
        <f t="shared" ref="H100" si="156">G100/F100</f>
        <v>0.66513051493090802</v>
      </c>
      <c r="I100" s="158">
        <f>355+35</f>
        <v>390</v>
      </c>
      <c r="J100" s="158">
        <v>355</v>
      </c>
      <c r="K100" s="160">
        <f t="shared" ref="K100" si="157">J100/I100</f>
        <v>0.91025641025641024</v>
      </c>
      <c r="L100" s="158">
        <f>1468.136+102.258</f>
        <v>1570.394</v>
      </c>
      <c r="M100" s="158">
        <v>1605.394</v>
      </c>
      <c r="N100" s="160">
        <f t="shared" ref="N100" si="158">M100/L100</f>
        <v>1.0222874004867568</v>
      </c>
      <c r="O100" s="158">
        <f>1277.102+102.258</f>
        <v>1379.3600000000001</v>
      </c>
      <c r="P100" s="158">
        <v>1379.36</v>
      </c>
      <c r="Q100" s="160">
        <f t="shared" ref="Q100" si="159">P100/O100</f>
        <v>0.99999999999999989</v>
      </c>
      <c r="R100" s="158">
        <f>1225.438+102.258</f>
        <v>1327.6960000000001</v>
      </c>
      <c r="S100" s="158">
        <v>2283.6644799999999</v>
      </c>
      <c r="T100" s="160">
        <f t="shared" ref="T100" si="160">S100/R100</f>
        <v>1.7200206071269324</v>
      </c>
      <c r="U100" s="161">
        <f>1652.8+123.558</f>
        <v>1776.3579999999999</v>
      </c>
      <c r="V100" s="161">
        <v>56.044519999999999</v>
      </c>
      <c r="W100" s="160">
        <f t="shared" ref="W100:W103" si="161">V100/U100</f>
        <v>3.1550239309868847E-2</v>
      </c>
      <c r="X100" s="161">
        <f>1695.125+105.258</f>
        <v>1800.383</v>
      </c>
      <c r="Y100" s="161">
        <v>2264.7280000000001</v>
      </c>
      <c r="Z100" s="160">
        <f t="shared" ref="Z100" si="162">Y100/X100</f>
        <v>1.2579145659562438</v>
      </c>
      <c r="AA100" s="161">
        <f>1640.8+242.258</f>
        <v>1883.058</v>
      </c>
      <c r="AB100" s="161">
        <v>1633.0579999999991</v>
      </c>
      <c r="AC100" s="160">
        <f t="shared" ref="AC100" si="163">AB100/AA100</f>
        <v>0.86723722795580327</v>
      </c>
      <c r="AD100" s="161">
        <f>1492.844+188.258</f>
        <v>1681.1020000000001</v>
      </c>
      <c r="AE100" s="161">
        <v>1155.5201</v>
      </c>
      <c r="AF100" s="160">
        <f t="shared" ref="AF100" si="164">AE100/AD100</f>
        <v>0.6873587087517592</v>
      </c>
      <c r="AG100" s="161">
        <f>1172.9+102.258-1075.5819</f>
        <v>199.57610000000022</v>
      </c>
      <c r="AH100" s="161">
        <v>1275.1579999999999</v>
      </c>
      <c r="AI100" s="160">
        <f t="shared" ref="AI100" si="165">AH100/AG100</f>
        <v>6.3893321895757982</v>
      </c>
      <c r="AJ100" s="158">
        <v>1976.8469</v>
      </c>
      <c r="AK100" s="158"/>
      <c r="AL100" s="160">
        <f t="shared" ref="AL100:AL102" si="166">AK100/AJ100</f>
        <v>0</v>
      </c>
      <c r="AM100" s="161">
        <f>1320.477+102.258</f>
        <v>1422.7350000000001</v>
      </c>
      <c r="AN100" s="161"/>
      <c r="AO100" s="160">
        <f t="shared" ref="AO100:AO102" si="167">AN100/AM100</f>
        <v>0</v>
      </c>
      <c r="AP100" s="158">
        <f>2011.878+161.51+472.593</f>
        <v>2645.9809999999998</v>
      </c>
      <c r="AQ100" s="156"/>
      <c r="AR100" s="156"/>
      <c r="AS100" s="164" t="s">
        <v>445</v>
      </c>
      <c r="AT100" s="164"/>
      <c r="AU100" s="116">
        <f t="shared" si="122"/>
        <v>12007.927100000001</v>
      </c>
      <c r="AV100" s="116">
        <f t="shared" si="122"/>
        <v>12007.927099999999</v>
      </c>
      <c r="AW100" s="168">
        <f t="shared" si="106"/>
        <v>0.99999999999999989</v>
      </c>
      <c r="AX100" s="117">
        <f t="shared" si="99"/>
        <v>3339.7539999999999</v>
      </c>
      <c r="AY100" s="117">
        <f t="shared" si="100"/>
        <v>4904.4369999999999</v>
      </c>
      <c r="AZ100" s="117">
        <f t="shared" si="107"/>
        <v>3763.7361000000001</v>
      </c>
      <c r="BA100" s="117">
        <f t="shared" si="108"/>
        <v>6045.5628999999999</v>
      </c>
    </row>
    <row r="101" spans="1:53" ht="19.5" customHeight="1">
      <c r="A101" s="230" t="s">
        <v>373</v>
      </c>
      <c r="B101" s="238" t="s">
        <v>461</v>
      </c>
      <c r="C101" s="239" t="s">
        <v>460</v>
      </c>
      <c r="D101" s="292"/>
      <c r="E101" s="155" t="s">
        <v>42</v>
      </c>
      <c r="F101" s="158">
        <f t="shared" si="141"/>
        <v>28237.219999999998</v>
      </c>
      <c r="G101" s="158">
        <f t="shared" si="141"/>
        <v>20561.352070000001</v>
      </c>
      <c r="H101" s="160">
        <f t="shared" si="142"/>
        <v>0.7281648855659304</v>
      </c>
      <c r="I101" s="158">
        <f>SUM(I102:I103)</f>
        <v>428</v>
      </c>
      <c r="J101" s="158">
        <f>SUM(J102:J103)</f>
        <v>2007.32034</v>
      </c>
      <c r="K101" s="160">
        <f t="shared" si="143"/>
        <v>4.6900007943925237</v>
      </c>
      <c r="L101" s="158">
        <f>SUM(L102:L103)</f>
        <v>4510.1099999999997</v>
      </c>
      <c r="M101" s="158">
        <f>SUM(M102:M103)</f>
        <v>2248.5066299999999</v>
      </c>
      <c r="N101" s="160">
        <f t="shared" si="144"/>
        <v>0.49854806867238272</v>
      </c>
      <c r="O101" s="158">
        <f>SUM(O102:O103)</f>
        <v>2734.4949999999999</v>
      </c>
      <c r="P101" s="158">
        <f>SUM(P102:P103)</f>
        <v>2654.4303599999998</v>
      </c>
      <c r="Q101" s="160">
        <f t="shared" si="145"/>
        <v>0.97072050232309803</v>
      </c>
      <c r="R101" s="158">
        <f>SUM(R102:R103)</f>
        <v>3225</v>
      </c>
      <c r="S101" s="158">
        <f>SUM(S102:S103)</f>
        <v>2902.7778499999999</v>
      </c>
      <c r="T101" s="160">
        <f t="shared" si="146"/>
        <v>0.90008615503875966</v>
      </c>
      <c r="U101" s="158">
        <f>SUM(U102:U103)</f>
        <v>1807.6</v>
      </c>
      <c r="V101" s="158">
        <f>SUM(V102:V103)</f>
        <v>1741.9310800000001</v>
      </c>
      <c r="W101" s="160">
        <f t="shared" si="161"/>
        <v>0.96367065722504985</v>
      </c>
      <c r="X101" s="158">
        <f t="shared" ref="X101:AR101" si="168">SUM(X102:X103)</f>
        <v>1776.8</v>
      </c>
      <c r="Y101" s="158">
        <f t="shared" si="168"/>
        <v>2013.3029799999999</v>
      </c>
      <c r="Z101" s="160">
        <f t="shared" si="149"/>
        <v>1.1331061346240432</v>
      </c>
      <c r="AA101" s="158">
        <f t="shared" si="168"/>
        <v>4261.5</v>
      </c>
      <c r="AB101" s="158">
        <f t="shared" si="168"/>
        <v>3910.7197799999994</v>
      </c>
      <c r="AC101" s="160">
        <f t="shared" si="150"/>
        <v>0.91768620908130927</v>
      </c>
      <c r="AD101" s="158">
        <f t="shared" si="168"/>
        <v>2198.7860000000001</v>
      </c>
      <c r="AE101" s="158">
        <f t="shared" si="168"/>
        <v>1916.3889300000005</v>
      </c>
      <c r="AF101" s="160">
        <f t="shared" si="151"/>
        <v>0.87156682369271066</v>
      </c>
      <c r="AG101" s="158">
        <f t="shared" ref="AG101:AP101" si="169">SUM(AG102:AG103)</f>
        <v>968.08999999999992</v>
      </c>
      <c r="AH101" s="158">
        <f t="shared" si="169"/>
        <v>1165.9741200000001</v>
      </c>
      <c r="AI101" s="160">
        <f t="shared" si="153"/>
        <v>1.2044067390428577</v>
      </c>
      <c r="AJ101" s="158">
        <f t="shared" si="169"/>
        <v>2105</v>
      </c>
      <c r="AK101" s="158">
        <f t="shared" si="169"/>
        <v>0</v>
      </c>
      <c r="AL101" s="160">
        <f t="shared" si="166"/>
        <v>0</v>
      </c>
      <c r="AM101" s="158">
        <f t="shared" si="169"/>
        <v>1437.3</v>
      </c>
      <c r="AN101" s="158">
        <f t="shared" si="169"/>
        <v>0</v>
      </c>
      <c r="AO101" s="160">
        <f t="shared" si="167"/>
        <v>0</v>
      </c>
      <c r="AP101" s="158">
        <f t="shared" si="169"/>
        <v>2784.5390000000002</v>
      </c>
      <c r="AQ101" s="156">
        <f t="shared" si="168"/>
        <v>0</v>
      </c>
      <c r="AR101" s="156">
        <f t="shared" si="168"/>
        <v>0</v>
      </c>
      <c r="AS101" s="165"/>
      <c r="AT101" s="164"/>
      <c r="AU101" s="116">
        <f t="shared" si="122"/>
        <v>21910.380999999998</v>
      </c>
      <c r="AV101" s="116">
        <f t="shared" si="122"/>
        <v>20561.352070000001</v>
      </c>
      <c r="AW101" s="168">
        <f t="shared" si="106"/>
        <v>0.93842969093052298</v>
      </c>
      <c r="AX101" s="117">
        <f t="shared" si="99"/>
        <v>7672.6049999999996</v>
      </c>
      <c r="AY101" s="117">
        <f t="shared" si="100"/>
        <v>6809.4000000000005</v>
      </c>
      <c r="AZ101" s="117">
        <f t="shared" si="107"/>
        <v>7428.3760000000002</v>
      </c>
      <c r="BA101" s="117">
        <f t="shared" si="108"/>
        <v>6326.8389999999999</v>
      </c>
    </row>
    <row r="102" spans="1:53" ht="46.5" customHeight="1">
      <c r="A102" s="230"/>
      <c r="B102" s="238"/>
      <c r="C102" s="240"/>
      <c r="D102" s="293"/>
      <c r="E102" s="155" t="s">
        <v>3</v>
      </c>
      <c r="F102" s="158">
        <f>I102+L102+O102+R102+U102+X102+AA102+AD102+AG102+AJ102+AM102+AP102</f>
        <v>1608</v>
      </c>
      <c r="G102" s="158">
        <f t="shared" si="141"/>
        <v>930</v>
      </c>
      <c r="H102" s="160">
        <f t="shared" si="142"/>
        <v>0.57835820895522383</v>
      </c>
      <c r="I102" s="158">
        <v>20</v>
      </c>
      <c r="J102" s="158">
        <v>12.904299999999999</v>
      </c>
      <c r="K102" s="160">
        <f t="shared" si="143"/>
        <v>0.64521499999999998</v>
      </c>
      <c r="L102" s="158">
        <v>118</v>
      </c>
      <c r="M102" s="158">
        <v>78.935900000000004</v>
      </c>
      <c r="N102" s="160">
        <f t="shared" si="144"/>
        <v>0.66894830508474579</v>
      </c>
      <c r="O102" s="158">
        <v>99</v>
      </c>
      <c r="P102" s="158">
        <v>85.159800000000004</v>
      </c>
      <c r="Q102" s="160">
        <f t="shared" si="145"/>
        <v>0.86020000000000008</v>
      </c>
      <c r="R102" s="158">
        <v>158</v>
      </c>
      <c r="S102" s="158">
        <v>130.85675000000001</v>
      </c>
      <c r="T102" s="160">
        <f t="shared" si="146"/>
        <v>0.82820727848101272</v>
      </c>
      <c r="U102" s="161">
        <v>167</v>
      </c>
      <c r="V102" s="161">
        <v>138.74384000000001</v>
      </c>
      <c r="W102" s="160">
        <f t="shared" si="161"/>
        <v>0.8308014371257485</v>
      </c>
      <c r="X102" s="161">
        <f>204+18</f>
        <v>222</v>
      </c>
      <c r="Y102" s="161">
        <v>115.28908</v>
      </c>
      <c r="Z102" s="160">
        <f t="shared" si="149"/>
        <v>0.51932018018018022</v>
      </c>
      <c r="AA102" s="161">
        <v>186</v>
      </c>
      <c r="AB102" s="161">
        <v>150.37348999999995</v>
      </c>
      <c r="AC102" s="160">
        <f t="shared" si="150"/>
        <v>0.80845962365591373</v>
      </c>
      <c r="AD102" s="161">
        <v>113</v>
      </c>
      <c r="AE102" s="161">
        <v>113.4791</v>
      </c>
      <c r="AF102" s="160">
        <f t="shared" si="151"/>
        <v>1.0042398230088496</v>
      </c>
      <c r="AG102" s="182">
        <f>79+19-251</f>
        <v>-153</v>
      </c>
      <c r="AH102" s="161">
        <v>104.25774</v>
      </c>
      <c r="AI102" s="160">
        <f t="shared" si="153"/>
        <v>-0.681423137254902</v>
      </c>
      <c r="AJ102" s="158">
        <f>154+100</f>
        <v>254</v>
      </c>
      <c r="AK102" s="158"/>
      <c r="AL102" s="160">
        <f t="shared" si="166"/>
        <v>0</v>
      </c>
      <c r="AM102" s="161">
        <f>88+51</f>
        <v>139</v>
      </c>
      <c r="AN102" s="161"/>
      <c r="AO102" s="160">
        <f t="shared" si="167"/>
        <v>0</v>
      </c>
      <c r="AP102" s="158">
        <f>160+25+100</f>
        <v>285</v>
      </c>
      <c r="AQ102" s="156"/>
      <c r="AR102" s="156"/>
      <c r="AS102" s="164" t="s">
        <v>446</v>
      </c>
      <c r="AT102" s="164"/>
      <c r="AU102" s="116">
        <f t="shared" si="122"/>
        <v>930</v>
      </c>
      <c r="AV102" s="116">
        <f t="shared" si="122"/>
        <v>930</v>
      </c>
      <c r="AW102" s="168">
        <f t="shared" si="106"/>
        <v>1</v>
      </c>
      <c r="AX102" s="117">
        <f t="shared" si="99"/>
        <v>237</v>
      </c>
      <c r="AY102" s="117">
        <f t="shared" si="100"/>
        <v>547</v>
      </c>
      <c r="AZ102" s="117">
        <f t="shared" si="107"/>
        <v>146</v>
      </c>
      <c r="BA102" s="117">
        <f t="shared" si="108"/>
        <v>678</v>
      </c>
    </row>
    <row r="103" spans="1:53" ht="156" customHeight="1">
      <c r="A103" s="230"/>
      <c r="B103" s="238"/>
      <c r="C103" s="241"/>
      <c r="D103" s="294"/>
      <c r="E103" s="155" t="s">
        <v>44</v>
      </c>
      <c r="F103" s="158">
        <f t="shared" si="141"/>
        <v>26629.219999999998</v>
      </c>
      <c r="G103" s="158">
        <f t="shared" si="141"/>
        <v>19631.352070000001</v>
      </c>
      <c r="H103" s="160">
        <f t="shared" si="142"/>
        <v>0.73721093107496216</v>
      </c>
      <c r="I103" s="158">
        <v>408</v>
      </c>
      <c r="J103" s="158">
        <v>1994.4160400000001</v>
      </c>
      <c r="K103" s="160">
        <f t="shared" si="143"/>
        <v>4.8882746078431376</v>
      </c>
      <c r="L103" s="158">
        <f>4728.8-342.09+5.4</f>
        <v>4392.1099999999997</v>
      </c>
      <c r="M103" s="158">
        <v>2169.5707299999999</v>
      </c>
      <c r="N103" s="160">
        <f t="shared" si="144"/>
        <v>0.49397003490349745</v>
      </c>
      <c r="O103" s="158">
        <v>2635.4949999999999</v>
      </c>
      <c r="P103" s="158">
        <v>2569.2705599999999</v>
      </c>
      <c r="Q103" s="160">
        <f t="shared" si="145"/>
        <v>0.97487210561962745</v>
      </c>
      <c r="R103" s="158">
        <v>3067</v>
      </c>
      <c r="S103" s="158">
        <v>2771.9211</v>
      </c>
      <c r="T103" s="160">
        <f t="shared" si="146"/>
        <v>0.90378907727420932</v>
      </c>
      <c r="U103" s="161">
        <f>1646-5.4</f>
        <v>1640.6</v>
      </c>
      <c r="V103" s="161">
        <v>1603.18724</v>
      </c>
      <c r="W103" s="160">
        <f t="shared" si="161"/>
        <v>0.97719568450566874</v>
      </c>
      <c r="X103" s="161">
        <v>1554.8</v>
      </c>
      <c r="Y103" s="161">
        <v>1898.0138999999999</v>
      </c>
      <c r="Z103" s="160">
        <f t="shared" si="149"/>
        <v>1.2207447260097761</v>
      </c>
      <c r="AA103" s="161">
        <v>4075.5</v>
      </c>
      <c r="AB103" s="161">
        <v>3760.3462899999995</v>
      </c>
      <c r="AC103" s="160">
        <f t="shared" si="150"/>
        <v>0.92267115445957537</v>
      </c>
      <c r="AD103" s="161">
        <v>2085.7860000000001</v>
      </c>
      <c r="AE103" s="161">
        <v>1802.9098300000005</v>
      </c>
      <c r="AF103" s="160">
        <f t="shared" si="151"/>
        <v>0.86437910217059677</v>
      </c>
      <c r="AG103" s="161">
        <v>1121.0899999999999</v>
      </c>
      <c r="AH103" s="161">
        <v>1061.7163800000001</v>
      </c>
      <c r="AI103" s="160">
        <f t="shared" si="153"/>
        <v>0.94703938131639753</v>
      </c>
      <c r="AJ103" s="158">
        <v>1851</v>
      </c>
      <c r="AK103" s="158"/>
      <c r="AL103" s="160"/>
      <c r="AM103" s="161">
        <v>1298.3</v>
      </c>
      <c r="AN103" s="161"/>
      <c r="AO103" s="160"/>
      <c r="AP103" s="158">
        <v>2499.5390000000002</v>
      </c>
      <c r="AQ103" s="156"/>
      <c r="AR103" s="156"/>
      <c r="AS103" s="164" t="s">
        <v>459</v>
      </c>
      <c r="AT103" s="164" t="s">
        <v>466</v>
      </c>
      <c r="AU103" s="116">
        <f t="shared" si="122"/>
        <v>20980.380999999998</v>
      </c>
      <c r="AV103" s="116">
        <f t="shared" si="122"/>
        <v>19631.352070000001</v>
      </c>
      <c r="AW103" s="168">
        <f t="shared" si="106"/>
        <v>0.93570045605940155</v>
      </c>
      <c r="AX103" s="117">
        <f t="shared" si="99"/>
        <v>7435.6049999999996</v>
      </c>
      <c r="AY103" s="117">
        <f t="shared" si="100"/>
        <v>6262.4000000000005</v>
      </c>
      <c r="AZ103" s="117">
        <f t="shared" si="107"/>
        <v>7282.3760000000002</v>
      </c>
      <c r="BA103" s="117">
        <f t="shared" si="108"/>
        <v>5648.8389999999999</v>
      </c>
    </row>
    <row r="104" spans="1:53" s="102" customFormat="1" ht="19.5" customHeight="1">
      <c r="A104" s="112" t="s">
        <v>309</v>
      </c>
      <c r="B104" s="248" t="s">
        <v>310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50"/>
      <c r="AU104" s="116">
        <f t="shared" si="122"/>
        <v>0</v>
      </c>
      <c r="AV104" s="116">
        <f t="shared" si="122"/>
        <v>0</v>
      </c>
      <c r="AW104" s="168"/>
      <c r="AX104" s="117"/>
      <c r="AY104" s="117"/>
      <c r="AZ104" s="117"/>
      <c r="BA104" s="117"/>
    </row>
    <row r="105" spans="1:53" ht="19.5" customHeight="1">
      <c r="A105" s="189" t="s">
        <v>311</v>
      </c>
      <c r="B105" s="251" t="s">
        <v>312</v>
      </c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3"/>
      <c r="AU105" s="116">
        <f t="shared" si="122"/>
        <v>0</v>
      </c>
      <c r="AV105" s="116">
        <f t="shared" si="122"/>
        <v>0</v>
      </c>
      <c r="AW105" s="168"/>
      <c r="AX105" s="117"/>
      <c r="AY105" s="117"/>
      <c r="AZ105" s="117"/>
      <c r="BA105" s="117"/>
    </row>
    <row r="106" spans="1:53" ht="62.25" customHeight="1">
      <c r="A106" s="230" t="s">
        <v>374</v>
      </c>
      <c r="B106" s="238" t="s">
        <v>340</v>
      </c>
      <c r="C106" s="283" t="s">
        <v>281</v>
      </c>
      <c r="D106" s="242" t="s">
        <v>290</v>
      </c>
      <c r="E106" s="155" t="s">
        <v>42</v>
      </c>
      <c r="F106" s="158">
        <f t="shared" ref="F106:G123" si="170">I106+L106+O106+R106+U106+X106+AA106+AD106+AG106+AJ106+AM106+AP106</f>
        <v>9775.8964000000014</v>
      </c>
      <c r="G106" s="158">
        <f t="shared" si="170"/>
        <v>8813.0373399999989</v>
      </c>
      <c r="H106" s="160">
        <f t="shared" ref="H106:H130" si="171">G106/F106</f>
        <v>0.9015068265248799</v>
      </c>
      <c r="I106" s="156">
        <f t="shared" ref="I106:P106" si="172">SUM(I107:I108)</f>
        <v>0</v>
      </c>
      <c r="J106" s="156">
        <f t="shared" si="172"/>
        <v>0</v>
      </c>
      <c r="K106" s="156">
        <f t="shared" si="172"/>
        <v>0</v>
      </c>
      <c r="L106" s="156">
        <f t="shared" si="172"/>
        <v>0</v>
      </c>
      <c r="M106" s="156">
        <f t="shared" si="172"/>
        <v>0</v>
      </c>
      <c r="N106" s="156">
        <f t="shared" si="172"/>
        <v>0</v>
      </c>
      <c r="O106" s="158">
        <f t="shared" si="172"/>
        <v>400</v>
      </c>
      <c r="P106" s="158">
        <f t="shared" si="172"/>
        <v>400</v>
      </c>
      <c r="Q106" s="160">
        <f t="shared" ref="Q106:Q130" si="173">P106/O106</f>
        <v>1</v>
      </c>
      <c r="R106" s="158">
        <f>SUM(R107:R108)</f>
        <v>1039</v>
      </c>
      <c r="S106" s="158">
        <f>SUM(S107:S108)</f>
        <v>1050.2937999999999</v>
      </c>
      <c r="T106" s="160">
        <f t="shared" ref="T106:T130" si="174">S106/R106</f>
        <v>1.010869874879692</v>
      </c>
      <c r="U106" s="158">
        <f t="shared" ref="U106:AR106" si="175">SUM(U107:U108)</f>
        <v>0</v>
      </c>
      <c r="V106" s="158">
        <f t="shared" si="175"/>
        <v>0</v>
      </c>
      <c r="W106" s="160"/>
      <c r="X106" s="158">
        <f t="shared" si="175"/>
        <v>1020</v>
      </c>
      <c r="Y106" s="158">
        <f t="shared" si="175"/>
        <v>940</v>
      </c>
      <c r="Z106" s="160">
        <f t="shared" ref="Z106:Z111" si="176">Y106/X106</f>
        <v>0.92156862745098034</v>
      </c>
      <c r="AA106" s="158">
        <f t="shared" si="175"/>
        <v>3106.2964000000002</v>
      </c>
      <c r="AB106" s="158">
        <f t="shared" si="175"/>
        <v>3100.64525</v>
      </c>
      <c r="AC106" s="160">
        <f t="shared" ref="AC106:AC111" si="177">AB106/AA106</f>
        <v>0.99818074347315977</v>
      </c>
      <c r="AD106" s="158">
        <f t="shared" si="175"/>
        <v>2329</v>
      </c>
      <c r="AE106" s="158">
        <f t="shared" si="175"/>
        <v>2242.4371900000001</v>
      </c>
      <c r="AF106" s="160">
        <f t="shared" ref="AF106:AF111" si="178">AE106/AD106</f>
        <v>0.96283262773722633</v>
      </c>
      <c r="AG106" s="158">
        <f t="shared" si="175"/>
        <v>918.74094000000002</v>
      </c>
      <c r="AH106" s="158">
        <f t="shared" si="175"/>
        <v>1079.6611</v>
      </c>
      <c r="AI106" s="160">
        <f t="shared" ref="AI106:AI111" si="179">AH106/AG106</f>
        <v>1.1751529217801049</v>
      </c>
      <c r="AJ106" s="158">
        <f t="shared" si="175"/>
        <v>353.17995000000002</v>
      </c>
      <c r="AK106" s="158">
        <f t="shared" si="175"/>
        <v>0</v>
      </c>
      <c r="AL106" s="160">
        <f t="shared" ref="AL106" si="180">AK106/AJ106</f>
        <v>0</v>
      </c>
      <c r="AM106" s="158">
        <f t="shared" si="175"/>
        <v>609.67911000000004</v>
      </c>
      <c r="AN106" s="158">
        <f t="shared" si="175"/>
        <v>0</v>
      </c>
      <c r="AO106" s="160">
        <f t="shared" ref="AO106:AO109" si="181">AN106/AM106</f>
        <v>0</v>
      </c>
      <c r="AP106" s="158">
        <f t="shared" si="175"/>
        <v>0</v>
      </c>
      <c r="AQ106" s="156">
        <f t="shared" si="175"/>
        <v>0</v>
      </c>
      <c r="AR106" s="156">
        <f t="shared" si="175"/>
        <v>0</v>
      </c>
      <c r="AS106" s="165"/>
      <c r="AT106" s="164"/>
      <c r="AU106" s="116">
        <f t="shared" si="122"/>
        <v>8813.0373400000008</v>
      </c>
      <c r="AV106" s="116">
        <f t="shared" si="122"/>
        <v>8813.0373399999989</v>
      </c>
      <c r="AW106" s="168">
        <f t="shared" si="106"/>
        <v>0.99999999999999978</v>
      </c>
      <c r="AX106" s="117">
        <f t="shared" si="99"/>
        <v>400</v>
      </c>
      <c r="AY106" s="117">
        <f t="shared" si="100"/>
        <v>2059</v>
      </c>
      <c r="AZ106" s="117">
        <f t="shared" si="107"/>
        <v>6354.0373399999999</v>
      </c>
      <c r="BA106" s="117">
        <f t="shared" si="108"/>
        <v>962.85906</v>
      </c>
    </row>
    <row r="107" spans="1:53" ht="62.25" customHeight="1">
      <c r="A107" s="230"/>
      <c r="B107" s="238"/>
      <c r="C107" s="284"/>
      <c r="D107" s="243"/>
      <c r="E107" s="155" t="s">
        <v>3</v>
      </c>
      <c r="F107" s="158">
        <f t="shared" si="170"/>
        <v>5360.6963999999998</v>
      </c>
      <c r="G107" s="158">
        <f t="shared" si="170"/>
        <v>4734.7964000000002</v>
      </c>
      <c r="H107" s="160">
        <f t="shared" si="171"/>
        <v>0.88324278166545678</v>
      </c>
      <c r="I107" s="156"/>
      <c r="J107" s="156"/>
      <c r="K107" s="156"/>
      <c r="L107" s="156"/>
      <c r="M107" s="156"/>
      <c r="N107" s="156"/>
      <c r="O107" s="158"/>
      <c r="P107" s="158"/>
      <c r="Q107" s="160"/>
      <c r="R107" s="158">
        <v>776</v>
      </c>
      <c r="S107" s="158">
        <v>776</v>
      </c>
      <c r="T107" s="160">
        <f t="shared" si="174"/>
        <v>1</v>
      </c>
      <c r="U107" s="161"/>
      <c r="V107" s="161"/>
      <c r="W107" s="161"/>
      <c r="X107" s="161"/>
      <c r="Y107" s="161"/>
      <c r="Z107" s="160"/>
      <c r="AA107" s="161">
        <f>1937-70.2036</f>
        <v>1866.7963999999999</v>
      </c>
      <c r="AB107" s="161">
        <v>1866.7963999999999</v>
      </c>
      <c r="AC107" s="160">
        <f t="shared" si="177"/>
        <v>1</v>
      </c>
      <c r="AD107" s="161">
        <v>1340</v>
      </c>
      <c r="AE107" s="161">
        <v>1269.7574500000001</v>
      </c>
      <c r="AF107" s="160">
        <f t="shared" si="178"/>
        <v>0.94758018656716425</v>
      </c>
      <c r="AG107" s="161">
        <v>752</v>
      </c>
      <c r="AH107" s="161">
        <v>822.24255000000005</v>
      </c>
      <c r="AI107" s="160">
        <f t="shared" si="179"/>
        <v>1.0934076462765958</v>
      </c>
      <c r="AJ107" s="158">
        <v>331</v>
      </c>
      <c r="AK107" s="158"/>
      <c r="AL107" s="158"/>
      <c r="AM107" s="161">
        <v>294.89999999999998</v>
      </c>
      <c r="AN107" s="161"/>
      <c r="AO107" s="160">
        <f t="shared" si="181"/>
        <v>0</v>
      </c>
      <c r="AP107" s="158"/>
      <c r="AQ107" s="156"/>
      <c r="AR107" s="156"/>
      <c r="AS107" s="164" t="s">
        <v>425</v>
      </c>
      <c r="AT107" s="164"/>
      <c r="AU107" s="116">
        <f t="shared" si="122"/>
        <v>4734.7964000000002</v>
      </c>
      <c r="AV107" s="116">
        <f t="shared" si="122"/>
        <v>4734.7964000000002</v>
      </c>
      <c r="AW107" s="168">
        <f t="shared" si="106"/>
        <v>1</v>
      </c>
      <c r="AX107" s="117">
        <f t="shared" si="99"/>
        <v>0</v>
      </c>
      <c r="AY107" s="117">
        <f t="shared" si="100"/>
        <v>776</v>
      </c>
      <c r="AZ107" s="117">
        <f t="shared" si="107"/>
        <v>3958.7964000000002</v>
      </c>
      <c r="BA107" s="117">
        <f t="shared" si="108"/>
        <v>625.9</v>
      </c>
    </row>
    <row r="108" spans="1:53" ht="62.25" customHeight="1">
      <c r="A108" s="230"/>
      <c r="B108" s="238"/>
      <c r="C108" s="285"/>
      <c r="D108" s="244"/>
      <c r="E108" s="155" t="s">
        <v>44</v>
      </c>
      <c r="F108" s="158">
        <f t="shared" si="170"/>
        <v>4415.2000000000007</v>
      </c>
      <c r="G108" s="158">
        <f t="shared" si="170"/>
        <v>4078.2409399999997</v>
      </c>
      <c r="H108" s="160">
        <f t="shared" si="171"/>
        <v>0.92368203931871695</v>
      </c>
      <c r="I108" s="156"/>
      <c r="J108" s="156"/>
      <c r="K108" s="156"/>
      <c r="L108" s="156"/>
      <c r="M108" s="156"/>
      <c r="N108" s="156"/>
      <c r="O108" s="158">
        <v>400</v>
      </c>
      <c r="P108" s="158">
        <v>400</v>
      </c>
      <c r="Q108" s="160">
        <f t="shared" si="173"/>
        <v>1</v>
      </c>
      <c r="R108" s="158">
        <v>263</v>
      </c>
      <c r="S108" s="158">
        <v>274.29379999999998</v>
      </c>
      <c r="T108" s="160">
        <f t="shared" si="174"/>
        <v>1.0429422053231938</v>
      </c>
      <c r="U108" s="161"/>
      <c r="V108" s="161"/>
      <c r="W108" s="160"/>
      <c r="X108" s="161">
        <v>1020</v>
      </c>
      <c r="Y108" s="161">
        <f>940</f>
        <v>940</v>
      </c>
      <c r="Z108" s="160">
        <f t="shared" si="176"/>
        <v>0.92156862745098034</v>
      </c>
      <c r="AA108" s="161">
        <f>799.2+559-118.7</f>
        <v>1239.5</v>
      </c>
      <c r="AB108" s="161">
        <v>1233.8488500000001</v>
      </c>
      <c r="AC108" s="160">
        <f t="shared" si="177"/>
        <v>0.99544078257361845</v>
      </c>
      <c r="AD108" s="161">
        <f>282+707</f>
        <v>989</v>
      </c>
      <c r="AE108" s="161">
        <v>972.67974000000004</v>
      </c>
      <c r="AF108" s="160">
        <f t="shared" si="178"/>
        <v>0.98349822042467139</v>
      </c>
      <c r="AG108" s="161">
        <v>166.74093999999999</v>
      </c>
      <c r="AH108" s="161">
        <v>257.41854999999998</v>
      </c>
      <c r="AI108" s="160">
        <f t="shared" si="179"/>
        <v>1.5438233105798731</v>
      </c>
      <c r="AJ108" s="158">
        <v>22.179950000000002</v>
      </c>
      <c r="AK108" s="158"/>
      <c r="AL108" s="160">
        <v>0</v>
      </c>
      <c r="AM108" s="161">
        <v>314.77911</v>
      </c>
      <c r="AN108" s="161"/>
      <c r="AO108" s="160">
        <f t="shared" si="181"/>
        <v>0</v>
      </c>
      <c r="AP108" s="158"/>
      <c r="AQ108" s="156"/>
      <c r="AR108" s="156"/>
      <c r="AS108" s="164" t="s">
        <v>426</v>
      </c>
      <c r="AT108" s="164"/>
      <c r="AU108" s="116">
        <f t="shared" si="122"/>
        <v>4078.2409400000001</v>
      </c>
      <c r="AV108" s="116">
        <f t="shared" si="122"/>
        <v>4078.2409399999997</v>
      </c>
      <c r="AW108" s="168">
        <f t="shared" si="106"/>
        <v>0.99999999999999989</v>
      </c>
      <c r="AX108" s="117">
        <f t="shared" si="99"/>
        <v>400</v>
      </c>
      <c r="AY108" s="117">
        <f t="shared" si="100"/>
        <v>1283</v>
      </c>
      <c r="AZ108" s="117">
        <f t="shared" si="107"/>
        <v>2395.2409400000001</v>
      </c>
      <c r="BA108" s="117">
        <f t="shared" si="108"/>
        <v>336.95906000000002</v>
      </c>
    </row>
    <row r="109" spans="1:53" ht="36" customHeight="1">
      <c r="A109" s="230" t="s">
        <v>375</v>
      </c>
      <c r="B109" s="238" t="s">
        <v>341</v>
      </c>
      <c r="C109" s="283" t="s">
        <v>281</v>
      </c>
      <c r="D109" s="242" t="s">
        <v>290</v>
      </c>
      <c r="E109" s="155" t="s">
        <v>42</v>
      </c>
      <c r="F109" s="158">
        <f t="shared" si="170"/>
        <v>9788.8000000000011</v>
      </c>
      <c r="G109" s="158">
        <f t="shared" si="170"/>
        <v>9782.8859999999986</v>
      </c>
      <c r="H109" s="160">
        <f t="shared" si="171"/>
        <v>0.99939584014383764</v>
      </c>
      <c r="I109" s="156">
        <f t="shared" ref="I109:P109" si="182">SUM(I110:I111)</f>
        <v>0</v>
      </c>
      <c r="J109" s="156">
        <f t="shared" si="182"/>
        <v>0</v>
      </c>
      <c r="K109" s="156">
        <f t="shared" si="182"/>
        <v>0</v>
      </c>
      <c r="L109" s="156">
        <f t="shared" si="182"/>
        <v>0</v>
      </c>
      <c r="M109" s="156">
        <f t="shared" si="182"/>
        <v>0</v>
      </c>
      <c r="N109" s="156">
        <f t="shared" si="182"/>
        <v>0</v>
      </c>
      <c r="O109" s="158">
        <f t="shared" si="182"/>
        <v>8.5</v>
      </c>
      <c r="P109" s="158">
        <f t="shared" si="182"/>
        <v>0</v>
      </c>
      <c r="Q109" s="160">
        <f t="shared" si="173"/>
        <v>0</v>
      </c>
      <c r="R109" s="158">
        <f>SUM(R110:R111)</f>
        <v>85.8</v>
      </c>
      <c r="S109" s="158">
        <f>SUM(S110:S111)</f>
        <v>85.8</v>
      </c>
      <c r="T109" s="160">
        <f t="shared" si="174"/>
        <v>1</v>
      </c>
      <c r="U109" s="158">
        <f t="shared" ref="U109:AR109" si="183">SUM(U110:U111)</f>
        <v>1489.5</v>
      </c>
      <c r="V109" s="158">
        <f t="shared" si="183"/>
        <v>1498</v>
      </c>
      <c r="W109" s="160">
        <f t="shared" ref="W109:W111" si="184">V109/U109</f>
        <v>1.0057066129573682</v>
      </c>
      <c r="X109" s="158">
        <f t="shared" si="183"/>
        <v>4109</v>
      </c>
      <c r="Y109" s="158">
        <f t="shared" si="183"/>
        <v>4109</v>
      </c>
      <c r="Z109" s="160">
        <f t="shared" si="176"/>
        <v>1</v>
      </c>
      <c r="AA109" s="158">
        <f t="shared" si="183"/>
        <v>3103.5</v>
      </c>
      <c r="AB109" s="158">
        <f t="shared" si="183"/>
        <v>3103.5</v>
      </c>
      <c r="AC109" s="160">
        <f t="shared" si="177"/>
        <v>1</v>
      </c>
      <c r="AD109" s="158">
        <f t="shared" si="183"/>
        <v>947.7</v>
      </c>
      <c r="AE109" s="158">
        <f t="shared" si="183"/>
        <v>39</v>
      </c>
      <c r="AF109" s="160">
        <f t="shared" si="178"/>
        <v>4.1152263374485597E-2</v>
      </c>
      <c r="AG109" s="158">
        <f t="shared" si="183"/>
        <v>38.886000000000003</v>
      </c>
      <c r="AH109" s="158">
        <f t="shared" si="183"/>
        <v>947.58600000000001</v>
      </c>
      <c r="AI109" s="160">
        <f t="shared" si="179"/>
        <v>24.368307359975311</v>
      </c>
      <c r="AJ109" s="158">
        <f t="shared" si="183"/>
        <v>0</v>
      </c>
      <c r="AK109" s="158">
        <f t="shared" si="183"/>
        <v>0</v>
      </c>
      <c r="AL109" s="160" t="e">
        <f t="shared" ref="AL109" si="185">AK109/AJ109</f>
        <v>#DIV/0!</v>
      </c>
      <c r="AM109" s="158">
        <f t="shared" si="183"/>
        <v>5.9139999999999997</v>
      </c>
      <c r="AN109" s="158">
        <f t="shared" si="183"/>
        <v>0</v>
      </c>
      <c r="AO109" s="160">
        <f t="shared" si="181"/>
        <v>0</v>
      </c>
      <c r="AP109" s="158">
        <f t="shared" si="183"/>
        <v>0</v>
      </c>
      <c r="AQ109" s="156">
        <f t="shared" si="183"/>
        <v>0</v>
      </c>
      <c r="AR109" s="156">
        <f t="shared" si="183"/>
        <v>0</v>
      </c>
      <c r="AS109" s="165"/>
      <c r="AT109" s="164"/>
      <c r="AU109" s="116">
        <f t="shared" si="122"/>
        <v>9782.8860000000004</v>
      </c>
      <c r="AV109" s="116">
        <f t="shared" si="122"/>
        <v>9782.8859999999986</v>
      </c>
      <c r="AW109" s="168">
        <f t="shared" si="106"/>
        <v>0.99999999999999978</v>
      </c>
      <c r="AX109" s="117">
        <f t="shared" si="99"/>
        <v>8.5</v>
      </c>
      <c r="AY109" s="117">
        <f t="shared" si="100"/>
        <v>5684.3</v>
      </c>
      <c r="AZ109" s="117">
        <f t="shared" si="107"/>
        <v>4090.0859999999998</v>
      </c>
      <c r="BA109" s="117">
        <f t="shared" si="108"/>
        <v>5.9139999999999997</v>
      </c>
    </row>
    <row r="110" spans="1:53" ht="61.5" customHeight="1">
      <c r="A110" s="230"/>
      <c r="B110" s="238"/>
      <c r="C110" s="284"/>
      <c r="D110" s="243"/>
      <c r="E110" s="155" t="s">
        <v>3</v>
      </c>
      <c r="F110" s="158">
        <f t="shared" si="170"/>
        <v>9500.7999999999993</v>
      </c>
      <c r="G110" s="158">
        <f t="shared" si="170"/>
        <v>9500.7999999999993</v>
      </c>
      <c r="H110" s="160">
        <f t="shared" si="171"/>
        <v>1</v>
      </c>
      <c r="I110" s="156"/>
      <c r="J110" s="156"/>
      <c r="K110" s="156"/>
      <c r="L110" s="156"/>
      <c r="M110" s="156"/>
      <c r="N110" s="156"/>
      <c r="O110" s="158"/>
      <c r="P110" s="158"/>
      <c r="Q110" s="160"/>
      <c r="R110" s="158"/>
      <c r="S110" s="158"/>
      <c r="T110" s="160"/>
      <c r="U110" s="161">
        <v>1459.1</v>
      </c>
      <c r="V110" s="161">
        <v>1459.1</v>
      </c>
      <c r="W110" s="160">
        <f t="shared" si="184"/>
        <v>1</v>
      </c>
      <c r="X110" s="161">
        <v>4065.8</v>
      </c>
      <c r="Y110" s="161">
        <v>4065.8</v>
      </c>
      <c r="Z110" s="160">
        <f t="shared" si="176"/>
        <v>1</v>
      </c>
      <c r="AA110" s="161">
        <f>3055.2+12</f>
        <v>3067.2</v>
      </c>
      <c r="AB110" s="161">
        <v>3067.2</v>
      </c>
      <c r="AC110" s="160">
        <f t="shared" si="177"/>
        <v>1</v>
      </c>
      <c r="AD110" s="161">
        <v>908.7</v>
      </c>
      <c r="AE110" s="161">
        <v>0</v>
      </c>
      <c r="AF110" s="160">
        <f t="shared" si="178"/>
        <v>0</v>
      </c>
      <c r="AG110" s="161"/>
      <c r="AH110" s="161">
        <v>908.7</v>
      </c>
      <c r="AI110" s="160"/>
      <c r="AJ110" s="158"/>
      <c r="AK110" s="158"/>
      <c r="AL110" s="158"/>
      <c r="AM110" s="161"/>
      <c r="AN110" s="161"/>
      <c r="AO110" s="158"/>
      <c r="AP110" s="158"/>
      <c r="AQ110" s="156"/>
      <c r="AR110" s="156"/>
      <c r="AS110" s="165" t="s">
        <v>428</v>
      </c>
      <c r="AT110" s="164"/>
      <c r="AU110" s="116">
        <f t="shared" si="122"/>
        <v>9500.7999999999993</v>
      </c>
      <c r="AV110" s="116">
        <f t="shared" si="122"/>
        <v>9500.7999999999993</v>
      </c>
      <c r="AW110" s="168">
        <f t="shared" si="106"/>
        <v>1</v>
      </c>
      <c r="AX110" s="117">
        <f t="shared" si="99"/>
        <v>0</v>
      </c>
      <c r="AY110" s="117">
        <f t="shared" si="100"/>
        <v>5524.9</v>
      </c>
      <c r="AZ110" s="117">
        <f t="shared" si="107"/>
        <v>3975.8999999999996</v>
      </c>
      <c r="BA110" s="117">
        <f t="shared" si="108"/>
        <v>0</v>
      </c>
    </row>
    <row r="111" spans="1:53" ht="90" customHeight="1">
      <c r="A111" s="230"/>
      <c r="B111" s="238"/>
      <c r="C111" s="285"/>
      <c r="D111" s="244"/>
      <c r="E111" s="155" t="s">
        <v>44</v>
      </c>
      <c r="F111" s="158">
        <f t="shared" si="170"/>
        <v>288</v>
      </c>
      <c r="G111" s="158">
        <f t="shared" si="170"/>
        <v>282.08600000000001</v>
      </c>
      <c r="H111" s="160">
        <f t="shared" si="171"/>
        <v>0.97946527777777781</v>
      </c>
      <c r="I111" s="156"/>
      <c r="J111" s="156"/>
      <c r="K111" s="156"/>
      <c r="L111" s="156"/>
      <c r="M111" s="156"/>
      <c r="N111" s="156"/>
      <c r="O111" s="158">
        <v>8.5</v>
      </c>
      <c r="P111" s="158">
        <v>0</v>
      </c>
      <c r="Q111" s="160">
        <f t="shared" si="173"/>
        <v>0</v>
      </c>
      <c r="R111" s="158">
        <v>85.8</v>
      </c>
      <c r="S111" s="158">
        <v>85.8</v>
      </c>
      <c r="T111" s="160">
        <f t="shared" si="174"/>
        <v>1</v>
      </c>
      <c r="U111" s="161">
        <v>30.4</v>
      </c>
      <c r="V111" s="161">
        <v>38.9</v>
      </c>
      <c r="W111" s="160">
        <f t="shared" si="184"/>
        <v>1.2796052631578947</v>
      </c>
      <c r="X111" s="161">
        <v>43.2</v>
      </c>
      <c r="Y111" s="161">
        <v>43.2</v>
      </c>
      <c r="Z111" s="160">
        <f t="shared" si="176"/>
        <v>1</v>
      </c>
      <c r="AA111" s="161">
        <v>36.299999999999997</v>
      </c>
      <c r="AB111" s="161">
        <v>36.299999999999997</v>
      </c>
      <c r="AC111" s="160">
        <f t="shared" si="177"/>
        <v>1</v>
      </c>
      <c r="AD111" s="161">
        <v>39</v>
      </c>
      <c r="AE111" s="161">
        <v>39</v>
      </c>
      <c r="AF111" s="160">
        <f t="shared" si="178"/>
        <v>1</v>
      </c>
      <c r="AG111" s="161">
        <v>38.886000000000003</v>
      </c>
      <c r="AH111" s="161">
        <v>38.886000000000003</v>
      </c>
      <c r="AI111" s="160">
        <f t="shared" si="179"/>
        <v>1</v>
      </c>
      <c r="AJ111" s="158"/>
      <c r="AK111" s="158"/>
      <c r="AL111" s="160" t="e">
        <f t="shared" ref="AL111" si="186">AK111/AJ111</f>
        <v>#DIV/0!</v>
      </c>
      <c r="AM111" s="161">
        <v>5.9139999999999997</v>
      </c>
      <c r="AN111" s="161"/>
      <c r="AO111" s="160">
        <f t="shared" ref="AO111" si="187">AN111/AM111</f>
        <v>0</v>
      </c>
      <c r="AP111" s="158"/>
      <c r="AQ111" s="156"/>
      <c r="AR111" s="156"/>
      <c r="AS111" s="165" t="s">
        <v>429</v>
      </c>
      <c r="AT111" s="164"/>
      <c r="AU111" s="116">
        <f t="shared" si="122"/>
        <v>282.08600000000001</v>
      </c>
      <c r="AV111" s="116">
        <f t="shared" si="122"/>
        <v>282.08600000000001</v>
      </c>
      <c r="AW111" s="168">
        <f t="shared" si="106"/>
        <v>1</v>
      </c>
      <c r="AX111" s="117">
        <f t="shared" si="99"/>
        <v>8.5</v>
      </c>
      <c r="AY111" s="117">
        <f t="shared" si="100"/>
        <v>159.39999999999998</v>
      </c>
      <c r="AZ111" s="117">
        <f t="shared" si="107"/>
        <v>114.18600000000001</v>
      </c>
      <c r="BA111" s="117">
        <f t="shared" si="108"/>
        <v>5.9139999999999997</v>
      </c>
    </row>
    <row r="112" spans="1:53" ht="62.25" customHeight="1">
      <c r="A112" s="230" t="s">
        <v>376</v>
      </c>
      <c r="B112" s="254" t="s">
        <v>342</v>
      </c>
      <c r="C112" s="255" t="s">
        <v>318</v>
      </c>
      <c r="D112" s="242" t="s">
        <v>388</v>
      </c>
      <c r="E112" s="155" t="s">
        <v>42</v>
      </c>
      <c r="F112" s="158">
        <f t="shared" si="170"/>
        <v>0</v>
      </c>
      <c r="G112" s="158">
        <f t="shared" si="170"/>
        <v>0</v>
      </c>
      <c r="H112" s="160"/>
      <c r="I112" s="156">
        <f t="shared" ref="I112:P112" si="188">SUM(I113:I114)</f>
        <v>0</v>
      </c>
      <c r="J112" s="156">
        <f t="shared" si="188"/>
        <v>0</v>
      </c>
      <c r="K112" s="156">
        <f t="shared" si="188"/>
        <v>0</v>
      </c>
      <c r="L112" s="156">
        <f t="shared" si="188"/>
        <v>0</v>
      </c>
      <c r="M112" s="156">
        <f t="shared" si="188"/>
        <v>0</v>
      </c>
      <c r="N112" s="156">
        <f t="shared" si="188"/>
        <v>0</v>
      </c>
      <c r="O112" s="158">
        <f t="shared" si="188"/>
        <v>0</v>
      </c>
      <c r="P112" s="158">
        <f t="shared" si="188"/>
        <v>0</v>
      </c>
      <c r="Q112" s="160" t="e">
        <f t="shared" si="173"/>
        <v>#DIV/0!</v>
      </c>
      <c r="R112" s="158">
        <f>SUM(R113:R114)</f>
        <v>0</v>
      </c>
      <c r="S112" s="158">
        <f>SUM(S113:S114)</f>
        <v>0</v>
      </c>
      <c r="T112" s="160"/>
      <c r="U112" s="158">
        <f t="shared" ref="U112:AR112" si="189">SUM(U113:U114)</f>
        <v>0</v>
      </c>
      <c r="V112" s="158">
        <f t="shared" si="189"/>
        <v>0</v>
      </c>
      <c r="W112" s="158">
        <f t="shared" si="189"/>
        <v>0</v>
      </c>
      <c r="X112" s="158">
        <f t="shared" si="189"/>
        <v>0</v>
      </c>
      <c r="Y112" s="158">
        <f t="shared" si="189"/>
        <v>0</v>
      </c>
      <c r="Z112" s="160"/>
      <c r="AA112" s="158">
        <f t="shared" si="189"/>
        <v>0</v>
      </c>
      <c r="AB112" s="158">
        <f t="shared" si="189"/>
        <v>0</v>
      </c>
      <c r="AC112" s="158">
        <f t="shared" si="189"/>
        <v>0</v>
      </c>
      <c r="AD112" s="158">
        <f t="shared" si="189"/>
        <v>0</v>
      </c>
      <c r="AE112" s="158">
        <f t="shared" si="189"/>
        <v>0</v>
      </c>
      <c r="AF112" s="158">
        <f t="shared" si="189"/>
        <v>0</v>
      </c>
      <c r="AG112" s="158">
        <f t="shared" si="189"/>
        <v>0</v>
      </c>
      <c r="AH112" s="158">
        <f t="shared" si="189"/>
        <v>0</v>
      </c>
      <c r="AI112" s="158">
        <f t="shared" si="189"/>
        <v>0</v>
      </c>
      <c r="AJ112" s="158">
        <f t="shared" si="189"/>
        <v>0</v>
      </c>
      <c r="AK112" s="158">
        <f t="shared" si="189"/>
        <v>0</v>
      </c>
      <c r="AL112" s="158">
        <f t="shared" si="189"/>
        <v>0</v>
      </c>
      <c r="AM112" s="158">
        <f t="shared" si="189"/>
        <v>0</v>
      </c>
      <c r="AN112" s="158">
        <f t="shared" si="189"/>
        <v>0</v>
      </c>
      <c r="AO112" s="158">
        <f t="shared" si="189"/>
        <v>0</v>
      </c>
      <c r="AP112" s="158">
        <f t="shared" si="189"/>
        <v>0</v>
      </c>
      <c r="AQ112" s="156">
        <f t="shared" si="189"/>
        <v>0</v>
      </c>
      <c r="AR112" s="156">
        <f t="shared" si="189"/>
        <v>0</v>
      </c>
      <c r="AS112" s="165"/>
      <c r="AT112" s="164"/>
      <c r="AU112" s="116">
        <f t="shared" si="122"/>
        <v>0</v>
      </c>
      <c r="AV112" s="116">
        <f t="shared" si="122"/>
        <v>0</v>
      </c>
      <c r="AW112" s="168"/>
      <c r="AX112" s="117">
        <f t="shared" si="99"/>
        <v>0</v>
      </c>
      <c r="AY112" s="117">
        <f t="shared" si="100"/>
        <v>0</v>
      </c>
      <c r="AZ112" s="117">
        <f t="shared" si="107"/>
        <v>0</v>
      </c>
      <c r="BA112" s="117">
        <f t="shared" si="108"/>
        <v>0</v>
      </c>
    </row>
    <row r="113" spans="1:53" ht="62.25" customHeight="1">
      <c r="A113" s="230"/>
      <c r="B113" s="254"/>
      <c r="C113" s="256"/>
      <c r="D113" s="243"/>
      <c r="E113" s="155" t="s">
        <v>3</v>
      </c>
      <c r="F113" s="158">
        <f t="shared" si="170"/>
        <v>0</v>
      </c>
      <c r="G113" s="158">
        <f t="shared" si="170"/>
        <v>0</v>
      </c>
      <c r="H113" s="160"/>
      <c r="I113" s="156"/>
      <c r="J113" s="156"/>
      <c r="K113" s="156"/>
      <c r="L113" s="156"/>
      <c r="M113" s="156"/>
      <c r="N113" s="156"/>
      <c r="O113" s="158"/>
      <c r="P113" s="158"/>
      <c r="Q113" s="160" t="e">
        <f t="shared" si="173"/>
        <v>#DIV/0!</v>
      </c>
      <c r="R113" s="158"/>
      <c r="S113" s="158"/>
      <c r="T113" s="160"/>
      <c r="U113" s="161"/>
      <c r="V113" s="161"/>
      <c r="W113" s="161"/>
      <c r="X113" s="161"/>
      <c r="Y113" s="161"/>
      <c r="Z113" s="160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58"/>
      <c r="AK113" s="158"/>
      <c r="AL113" s="158"/>
      <c r="AM113" s="161"/>
      <c r="AN113" s="161"/>
      <c r="AO113" s="161"/>
      <c r="AP113" s="158"/>
      <c r="AQ113" s="156"/>
      <c r="AR113" s="156"/>
      <c r="AS113" s="165"/>
      <c r="AT113" s="164"/>
      <c r="AU113" s="116">
        <f t="shared" si="122"/>
        <v>0</v>
      </c>
      <c r="AV113" s="116">
        <f t="shared" si="122"/>
        <v>0</v>
      </c>
      <c r="AW113" s="168"/>
      <c r="AX113" s="117">
        <f t="shared" si="99"/>
        <v>0</v>
      </c>
      <c r="AY113" s="117">
        <f t="shared" si="100"/>
        <v>0</v>
      </c>
      <c r="AZ113" s="117">
        <f t="shared" si="107"/>
        <v>0</v>
      </c>
      <c r="BA113" s="117">
        <f t="shared" si="108"/>
        <v>0</v>
      </c>
    </row>
    <row r="114" spans="1:53" ht="62.25" customHeight="1">
      <c r="A114" s="230"/>
      <c r="B114" s="254"/>
      <c r="C114" s="257"/>
      <c r="D114" s="244"/>
      <c r="E114" s="155" t="s">
        <v>44</v>
      </c>
      <c r="F114" s="158">
        <f t="shared" si="170"/>
        <v>0</v>
      </c>
      <c r="G114" s="158">
        <f t="shared" si="170"/>
        <v>0</v>
      </c>
      <c r="H114" s="160"/>
      <c r="I114" s="156"/>
      <c r="J114" s="156"/>
      <c r="K114" s="156"/>
      <c r="L114" s="156"/>
      <c r="M114" s="156"/>
      <c r="N114" s="156"/>
      <c r="O114" s="158"/>
      <c r="P114" s="158"/>
      <c r="Q114" s="160" t="e">
        <f t="shared" si="173"/>
        <v>#DIV/0!</v>
      </c>
      <c r="R114" s="158"/>
      <c r="S114" s="158"/>
      <c r="T114" s="160"/>
      <c r="U114" s="161"/>
      <c r="V114" s="161"/>
      <c r="W114" s="161"/>
      <c r="X114" s="161"/>
      <c r="Y114" s="161"/>
      <c r="Z114" s="160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58"/>
      <c r="AK114" s="158"/>
      <c r="AL114" s="158"/>
      <c r="AM114" s="161"/>
      <c r="AN114" s="161"/>
      <c r="AO114" s="161"/>
      <c r="AP114" s="158"/>
      <c r="AQ114" s="156"/>
      <c r="AR114" s="156"/>
      <c r="AS114" s="165"/>
      <c r="AT114" s="164"/>
      <c r="AU114" s="116">
        <f t="shared" si="122"/>
        <v>0</v>
      </c>
      <c r="AV114" s="116">
        <f t="shared" si="122"/>
        <v>0</v>
      </c>
      <c r="AW114" s="168"/>
      <c r="AX114" s="117">
        <f t="shared" si="99"/>
        <v>0</v>
      </c>
      <c r="AY114" s="117">
        <f t="shared" si="100"/>
        <v>0</v>
      </c>
      <c r="AZ114" s="117">
        <f t="shared" si="107"/>
        <v>0</v>
      </c>
      <c r="BA114" s="117">
        <f t="shared" si="108"/>
        <v>0</v>
      </c>
    </row>
    <row r="115" spans="1:53" ht="15" customHeight="1">
      <c r="A115" s="230" t="s">
        <v>377</v>
      </c>
      <c r="B115" s="254" t="s">
        <v>343</v>
      </c>
      <c r="C115" s="255" t="s">
        <v>319</v>
      </c>
      <c r="D115" s="242" t="s">
        <v>388</v>
      </c>
      <c r="E115" s="155" t="s">
        <v>42</v>
      </c>
      <c r="F115" s="158">
        <f t="shared" si="170"/>
        <v>0</v>
      </c>
      <c r="G115" s="158">
        <f t="shared" si="170"/>
        <v>0</v>
      </c>
      <c r="H115" s="160"/>
      <c r="I115" s="156">
        <f t="shared" ref="I115:P115" si="190">SUM(I116:I117)</f>
        <v>0</v>
      </c>
      <c r="J115" s="156">
        <f t="shared" si="190"/>
        <v>0</v>
      </c>
      <c r="K115" s="156">
        <f t="shared" si="190"/>
        <v>0</v>
      </c>
      <c r="L115" s="156">
        <f t="shared" si="190"/>
        <v>0</v>
      </c>
      <c r="M115" s="156">
        <f t="shared" si="190"/>
        <v>0</v>
      </c>
      <c r="N115" s="156">
        <f t="shared" si="190"/>
        <v>0</v>
      </c>
      <c r="O115" s="158">
        <f t="shared" si="190"/>
        <v>0</v>
      </c>
      <c r="P115" s="158">
        <f t="shared" si="190"/>
        <v>0</v>
      </c>
      <c r="Q115" s="160"/>
      <c r="R115" s="158">
        <f>SUM(R116:R117)</f>
        <v>0</v>
      </c>
      <c r="S115" s="158">
        <f>SUM(S116:S117)</f>
        <v>0</v>
      </c>
      <c r="T115" s="160"/>
      <c r="U115" s="158">
        <f>SUM(U116:U117)</f>
        <v>0</v>
      </c>
      <c r="V115" s="158">
        <f>SUM(V116:V117)</f>
        <v>0</v>
      </c>
      <c r="W115" s="158">
        <f>SUM(W116:W117)</f>
        <v>0</v>
      </c>
      <c r="X115" s="158"/>
      <c r="Y115" s="158"/>
      <c r="Z115" s="160"/>
      <c r="AA115" s="158">
        <f t="shared" ref="AA115:AN115" si="191">SUM(AA116:AA117)</f>
        <v>0</v>
      </c>
      <c r="AB115" s="158">
        <f t="shared" si="191"/>
        <v>0</v>
      </c>
      <c r="AC115" s="158">
        <f t="shared" si="191"/>
        <v>0</v>
      </c>
      <c r="AD115" s="158">
        <f t="shared" si="191"/>
        <v>0</v>
      </c>
      <c r="AE115" s="158">
        <f t="shared" si="191"/>
        <v>0</v>
      </c>
      <c r="AF115" s="158">
        <f t="shared" si="191"/>
        <v>0</v>
      </c>
      <c r="AG115" s="158">
        <f t="shared" si="191"/>
        <v>0</v>
      </c>
      <c r="AH115" s="158">
        <f t="shared" si="191"/>
        <v>0</v>
      </c>
      <c r="AI115" s="158">
        <f t="shared" si="191"/>
        <v>0</v>
      </c>
      <c r="AJ115" s="158">
        <f t="shared" si="191"/>
        <v>0</v>
      </c>
      <c r="AK115" s="158">
        <f t="shared" si="191"/>
        <v>0</v>
      </c>
      <c r="AL115" s="158">
        <f t="shared" si="191"/>
        <v>0</v>
      </c>
      <c r="AM115" s="158">
        <f t="shared" si="191"/>
        <v>0</v>
      </c>
      <c r="AN115" s="158">
        <f t="shared" si="191"/>
        <v>0</v>
      </c>
      <c r="AO115" s="158"/>
      <c r="AP115" s="158">
        <f>SUM(AP116:AP117)</f>
        <v>0</v>
      </c>
      <c r="AQ115" s="156">
        <f>SUM(AQ116:AQ117)</f>
        <v>0</v>
      </c>
      <c r="AR115" s="156">
        <f>SUM(AR116:AR117)</f>
        <v>0</v>
      </c>
      <c r="AS115" s="165"/>
      <c r="AT115" s="164"/>
      <c r="AU115" s="116">
        <f t="shared" si="122"/>
        <v>0</v>
      </c>
      <c r="AV115" s="116">
        <f t="shared" si="122"/>
        <v>0</v>
      </c>
      <c r="AW115" s="168"/>
      <c r="AX115" s="117">
        <f t="shared" si="99"/>
        <v>0</v>
      </c>
      <c r="AY115" s="117">
        <f t="shared" si="100"/>
        <v>0</v>
      </c>
      <c r="AZ115" s="117">
        <f t="shared" si="107"/>
        <v>0</v>
      </c>
      <c r="BA115" s="117">
        <f t="shared" si="108"/>
        <v>0</v>
      </c>
    </row>
    <row r="116" spans="1:53" ht="16.5" customHeight="1">
      <c r="A116" s="230"/>
      <c r="B116" s="254"/>
      <c r="C116" s="256"/>
      <c r="D116" s="243"/>
      <c r="E116" s="155" t="s">
        <v>3</v>
      </c>
      <c r="F116" s="158">
        <f t="shared" si="170"/>
        <v>0</v>
      </c>
      <c r="G116" s="158">
        <f t="shared" si="170"/>
        <v>0</v>
      </c>
      <c r="H116" s="160"/>
      <c r="I116" s="156"/>
      <c r="J116" s="156"/>
      <c r="K116" s="156"/>
      <c r="L116" s="156"/>
      <c r="M116" s="156"/>
      <c r="N116" s="156"/>
      <c r="O116" s="158"/>
      <c r="P116" s="158"/>
      <c r="Q116" s="160"/>
      <c r="R116" s="158"/>
      <c r="S116" s="158"/>
      <c r="T116" s="160"/>
      <c r="U116" s="161"/>
      <c r="V116" s="161"/>
      <c r="W116" s="161"/>
      <c r="X116" s="161"/>
      <c r="Y116" s="161"/>
      <c r="Z116" s="160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58"/>
      <c r="AK116" s="158"/>
      <c r="AL116" s="158"/>
      <c r="AM116" s="161"/>
      <c r="AN116" s="161"/>
      <c r="AO116" s="161"/>
      <c r="AP116" s="158"/>
      <c r="AQ116" s="156"/>
      <c r="AR116" s="156"/>
      <c r="AS116" s="165"/>
      <c r="AT116" s="164"/>
      <c r="AU116" s="116">
        <f t="shared" si="122"/>
        <v>0</v>
      </c>
      <c r="AV116" s="116">
        <f t="shared" si="122"/>
        <v>0</v>
      </c>
      <c r="AW116" s="168"/>
      <c r="AX116" s="117">
        <f t="shared" si="99"/>
        <v>0</v>
      </c>
      <c r="AY116" s="117">
        <f t="shared" si="100"/>
        <v>0</v>
      </c>
      <c r="AZ116" s="117">
        <f t="shared" si="107"/>
        <v>0</v>
      </c>
      <c r="BA116" s="117">
        <f t="shared" si="108"/>
        <v>0</v>
      </c>
    </row>
    <row r="117" spans="1:53" ht="18" customHeight="1">
      <c r="A117" s="230"/>
      <c r="B117" s="254"/>
      <c r="C117" s="257"/>
      <c r="D117" s="244"/>
      <c r="E117" s="155" t="s">
        <v>44</v>
      </c>
      <c r="F117" s="158">
        <f t="shared" si="170"/>
        <v>0</v>
      </c>
      <c r="G117" s="158">
        <f t="shared" si="170"/>
        <v>0</v>
      </c>
      <c r="H117" s="160"/>
      <c r="I117" s="156"/>
      <c r="J117" s="156"/>
      <c r="K117" s="156"/>
      <c r="L117" s="156"/>
      <c r="M117" s="156"/>
      <c r="N117" s="156"/>
      <c r="O117" s="158"/>
      <c r="P117" s="158"/>
      <c r="Q117" s="160"/>
      <c r="R117" s="158"/>
      <c r="S117" s="158"/>
      <c r="T117" s="160"/>
      <c r="U117" s="161"/>
      <c r="V117" s="161"/>
      <c r="W117" s="161"/>
      <c r="X117" s="161"/>
      <c r="Y117" s="161"/>
      <c r="Z117" s="160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58"/>
      <c r="AK117" s="158"/>
      <c r="AL117" s="158"/>
      <c r="AM117" s="161"/>
      <c r="AN117" s="161"/>
      <c r="AO117" s="161"/>
      <c r="AP117" s="158"/>
      <c r="AQ117" s="156"/>
      <c r="AR117" s="156"/>
      <c r="AS117" s="165"/>
      <c r="AT117" s="164"/>
      <c r="AU117" s="116">
        <f t="shared" si="122"/>
        <v>0</v>
      </c>
      <c r="AV117" s="116">
        <f t="shared" si="122"/>
        <v>0</v>
      </c>
      <c r="AW117" s="168"/>
      <c r="AX117" s="117">
        <f t="shared" si="99"/>
        <v>0</v>
      </c>
      <c r="AY117" s="117">
        <f t="shared" si="100"/>
        <v>0</v>
      </c>
      <c r="AZ117" s="117">
        <f t="shared" si="107"/>
        <v>0</v>
      </c>
      <c r="BA117" s="117">
        <f t="shared" si="108"/>
        <v>0</v>
      </c>
    </row>
    <row r="118" spans="1:53" ht="21" customHeight="1">
      <c r="A118" s="230" t="s">
        <v>378</v>
      </c>
      <c r="B118" s="254" t="s">
        <v>344</v>
      </c>
      <c r="C118" s="239" t="s">
        <v>282</v>
      </c>
      <c r="D118" s="242" t="s">
        <v>285</v>
      </c>
      <c r="E118" s="155" t="s">
        <v>42</v>
      </c>
      <c r="F118" s="158">
        <f t="shared" si="170"/>
        <v>200</v>
      </c>
      <c r="G118" s="158">
        <f t="shared" si="170"/>
        <v>200</v>
      </c>
      <c r="H118" s="160">
        <f t="shared" si="171"/>
        <v>1</v>
      </c>
      <c r="I118" s="156">
        <f t="shared" ref="I118:P118" si="192">SUM(I119:I120)</f>
        <v>0</v>
      </c>
      <c r="J118" s="156">
        <f t="shared" si="192"/>
        <v>0</v>
      </c>
      <c r="K118" s="156">
        <f t="shared" si="192"/>
        <v>0</v>
      </c>
      <c r="L118" s="156">
        <f t="shared" si="192"/>
        <v>0</v>
      </c>
      <c r="M118" s="156">
        <f t="shared" si="192"/>
        <v>0</v>
      </c>
      <c r="N118" s="156">
        <f t="shared" si="192"/>
        <v>0</v>
      </c>
      <c r="O118" s="158">
        <f t="shared" si="192"/>
        <v>0</v>
      </c>
      <c r="P118" s="158">
        <f t="shared" si="192"/>
        <v>0</v>
      </c>
      <c r="Q118" s="160"/>
      <c r="R118" s="158">
        <f>SUM(R119:R120)</f>
        <v>0</v>
      </c>
      <c r="S118" s="158">
        <f>SUM(S119:S120)</f>
        <v>0</v>
      </c>
      <c r="T118" s="160"/>
      <c r="U118" s="158">
        <f t="shared" ref="U118:AR118" si="193">SUM(U119:U120)</f>
        <v>151.69999999999999</v>
      </c>
      <c r="V118" s="158">
        <f t="shared" si="193"/>
        <v>151.69999999999999</v>
      </c>
      <c r="W118" s="160">
        <f t="shared" ref="W118:W120" si="194">V118/U118</f>
        <v>1</v>
      </c>
      <c r="X118" s="158">
        <f t="shared" si="193"/>
        <v>0</v>
      </c>
      <c r="Y118" s="158">
        <f t="shared" si="193"/>
        <v>0</v>
      </c>
      <c r="Z118" s="160"/>
      <c r="AA118" s="158">
        <f t="shared" si="193"/>
        <v>48.3</v>
      </c>
      <c r="AB118" s="158">
        <f t="shared" si="193"/>
        <v>48.3</v>
      </c>
      <c r="AC118" s="160">
        <f t="shared" ref="AC118:AC120" si="195">AB118/AA118</f>
        <v>1</v>
      </c>
      <c r="AD118" s="158">
        <f t="shared" si="193"/>
        <v>0</v>
      </c>
      <c r="AE118" s="158">
        <f t="shared" si="193"/>
        <v>0</v>
      </c>
      <c r="AF118" s="158">
        <f t="shared" si="193"/>
        <v>0</v>
      </c>
      <c r="AG118" s="158">
        <f t="shared" si="193"/>
        <v>0</v>
      </c>
      <c r="AH118" s="158">
        <f t="shared" si="193"/>
        <v>0</v>
      </c>
      <c r="AI118" s="158">
        <f t="shared" si="193"/>
        <v>0</v>
      </c>
      <c r="AJ118" s="158">
        <f t="shared" si="193"/>
        <v>0</v>
      </c>
      <c r="AK118" s="158">
        <f t="shared" si="193"/>
        <v>0</v>
      </c>
      <c r="AL118" s="158">
        <f t="shared" si="193"/>
        <v>0</v>
      </c>
      <c r="AM118" s="158">
        <f t="shared" si="193"/>
        <v>0</v>
      </c>
      <c r="AN118" s="158">
        <f t="shared" si="193"/>
        <v>0</v>
      </c>
      <c r="AO118" s="158">
        <f t="shared" si="193"/>
        <v>0</v>
      </c>
      <c r="AP118" s="158">
        <f t="shared" si="193"/>
        <v>0</v>
      </c>
      <c r="AQ118" s="156">
        <f t="shared" si="193"/>
        <v>0</v>
      </c>
      <c r="AR118" s="156">
        <f t="shared" si="193"/>
        <v>0</v>
      </c>
      <c r="AS118" s="165"/>
      <c r="AT118" s="164"/>
      <c r="AU118" s="116">
        <f t="shared" si="122"/>
        <v>200</v>
      </c>
      <c r="AV118" s="116">
        <f t="shared" si="122"/>
        <v>200</v>
      </c>
      <c r="AW118" s="168">
        <f t="shared" si="106"/>
        <v>1</v>
      </c>
      <c r="AX118" s="117">
        <f t="shared" si="99"/>
        <v>0</v>
      </c>
      <c r="AY118" s="117">
        <f t="shared" si="100"/>
        <v>151.69999999999999</v>
      </c>
      <c r="AZ118" s="117">
        <f t="shared" si="107"/>
        <v>48.3</v>
      </c>
      <c r="BA118" s="117">
        <f t="shared" si="108"/>
        <v>0</v>
      </c>
    </row>
    <row r="119" spans="1:53" ht="21" customHeight="1">
      <c r="A119" s="230"/>
      <c r="B119" s="254"/>
      <c r="C119" s="240"/>
      <c r="D119" s="243"/>
      <c r="E119" s="155" t="s">
        <v>3</v>
      </c>
      <c r="F119" s="158">
        <f t="shared" si="170"/>
        <v>0</v>
      </c>
      <c r="G119" s="158">
        <f t="shared" si="170"/>
        <v>0</v>
      </c>
      <c r="H119" s="160"/>
      <c r="I119" s="156"/>
      <c r="J119" s="156"/>
      <c r="K119" s="156"/>
      <c r="L119" s="156"/>
      <c r="M119" s="156"/>
      <c r="N119" s="156"/>
      <c r="O119" s="158"/>
      <c r="P119" s="158"/>
      <c r="Q119" s="160"/>
      <c r="R119" s="158"/>
      <c r="S119" s="158"/>
      <c r="T119" s="160"/>
      <c r="U119" s="161"/>
      <c r="V119" s="161"/>
      <c r="W119" s="161"/>
      <c r="X119" s="161"/>
      <c r="Y119" s="161"/>
      <c r="Z119" s="160"/>
      <c r="AA119" s="161"/>
      <c r="AB119" s="161"/>
      <c r="AC119" s="160"/>
      <c r="AD119" s="161"/>
      <c r="AE119" s="161"/>
      <c r="AF119" s="161"/>
      <c r="AG119" s="161"/>
      <c r="AH119" s="161"/>
      <c r="AI119" s="161"/>
      <c r="AJ119" s="158"/>
      <c r="AK119" s="158"/>
      <c r="AL119" s="158"/>
      <c r="AM119" s="161"/>
      <c r="AN119" s="161"/>
      <c r="AO119" s="161"/>
      <c r="AP119" s="158"/>
      <c r="AQ119" s="156"/>
      <c r="AR119" s="156"/>
      <c r="AS119" s="165"/>
      <c r="AT119" s="164"/>
      <c r="AU119" s="116">
        <f t="shared" si="122"/>
        <v>0</v>
      </c>
      <c r="AV119" s="116">
        <f t="shared" si="122"/>
        <v>0</v>
      </c>
      <c r="AW119" s="168"/>
      <c r="AX119" s="117">
        <f t="shared" si="99"/>
        <v>0</v>
      </c>
      <c r="AY119" s="117">
        <f t="shared" si="100"/>
        <v>0</v>
      </c>
      <c r="AZ119" s="117">
        <f t="shared" si="107"/>
        <v>0</v>
      </c>
      <c r="BA119" s="117">
        <f t="shared" si="108"/>
        <v>0</v>
      </c>
    </row>
    <row r="120" spans="1:53" ht="45.75" customHeight="1">
      <c r="A120" s="230"/>
      <c r="B120" s="254"/>
      <c r="C120" s="241"/>
      <c r="D120" s="244"/>
      <c r="E120" s="155" t="s">
        <v>44</v>
      </c>
      <c r="F120" s="158">
        <f t="shared" si="170"/>
        <v>200</v>
      </c>
      <c r="G120" s="158">
        <f t="shared" si="170"/>
        <v>200</v>
      </c>
      <c r="H120" s="160">
        <f t="shared" si="171"/>
        <v>1</v>
      </c>
      <c r="I120" s="156"/>
      <c r="J120" s="156"/>
      <c r="K120" s="156"/>
      <c r="L120" s="156"/>
      <c r="M120" s="156"/>
      <c r="N120" s="156"/>
      <c r="O120" s="158"/>
      <c r="P120" s="158"/>
      <c r="Q120" s="160"/>
      <c r="R120" s="158"/>
      <c r="S120" s="158"/>
      <c r="T120" s="160"/>
      <c r="U120" s="161">
        <v>151.69999999999999</v>
      </c>
      <c r="V120" s="161">
        <v>151.69999999999999</v>
      </c>
      <c r="W120" s="160">
        <f t="shared" si="194"/>
        <v>1</v>
      </c>
      <c r="X120" s="161"/>
      <c r="Y120" s="161"/>
      <c r="Z120" s="160"/>
      <c r="AA120" s="161">
        <v>48.3</v>
      </c>
      <c r="AB120" s="161">
        <v>48.3</v>
      </c>
      <c r="AC120" s="160">
        <f t="shared" si="195"/>
        <v>1</v>
      </c>
      <c r="AD120" s="161"/>
      <c r="AE120" s="161"/>
      <c r="AF120" s="161"/>
      <c r="AG120" s="161"/>
      <c r="AH120" s="161"/>
      <c r="AI120" s="161"/>
      <c r="AJ120" s="158"/>
      <c r="AK120" s="158"/>
      <c r="AL120" s="158"/>
      <c r="AM120" s="161"/>
      <c r="AN120" s="161"/>
      <c r="AO120" s="161"/>
      <c r="AP120" s="158"/>
      <c r="AQ120" s="156"/>
      <c r="AR120" s="156"/>
      <c r="AS120" s="164" t="s">
        <v>427</v>
      </c>
      <c r="AT120" s="164"/>
      <c r="AU120" s="116">
        <f t="shared" si="122"/>
        <v>200</v>
      </c>
      <c r="AV120" s="116">
        <f t="shared" si="122"/>
        <v>200</v>
      </c>
      <c r="AW120" s="168">
        <f t="shared" si="106"/>
        <v>1</v>
      </c>
      <c r="AX120" s="117">
        <f t="shared" si="99"/>
        <v>0</v>
      </c>
      <c r="AY120" s="117">
        <f t="shared" si="100"/>
        <v>151.69999999999999</v>
      </c>
      <c r="AZ120" s="117">
        <f t="shared" si="107"/>
        <v>48.3</v>
      </c>
      <c r="BA120" s="117">
        <f t="shared" si="108"/>
        <v>0</v>
      </c>
    </row>
    <row r="121" spans="1:53" ht="16.5" customHeight="1">
      <c r="A121" s="230" t="s">
        <v>379</v>
      </c>
      <c r="B121" s="238" t="s">
        <v>345</v>
      </c>
      <c r="C121" s="239" t="s">
        <v>273</v>
      </c>
      <c r="D121" s="242" t="s">
        <v>290</v>
      </c>
      <c r="E121" s="155" t="s">
        <v>42</v>
      </c>
      <c r="F121" s="158">
        <f t="shared" si="170"/>
        <v>0</v>
      </c>
      <c r="G121" s="158">
        <f t="shared" si="170"/>
        <v>0</v>
      </c>
      <c r="H121" s="160"/>
      <c r="I121" s="156">
        <f t="shared" ref="I121:P121" si="196">SUM(I122:I123)</f>
        <v>0</v>
      </c>
      <c r="J121" s="156">
        <f t="shared" si="196"/>
        <v>0</v>
      </c>
      <c r="K121" s="156">
        <f t="shared" si="196"/>
        <v>0</v>
      </c>
      <c r="L121" s="156">
        <f t="shared" si="196"/>
        <v>0</v>
      </c>
      <c r="M121" s="156">
        <f t="shared" si="196"/>
        <v>0</v>
      </c>
      <c r="N121" s="156">
        <f t="shared" si="196"/>
        <v>0</v>
      </c>
      <c r="O121" s="158">
        <f t="shared" si="196"/>
        <v>0</v>
      </c>
      <c r="P121" s="158">
        <f t="shared" si="196"/>
        <v>0</v>
      </c>
      <c r="Q121" s="160"/>
      <c r="R121" s="158">
        <f>SUM(R122:R123)</f>
        <v>0</v>
      </c>
      <c r="S121" s="158">
        <f>SUM(S122:S123)</f>
        <v>0</v>
      </c>
      <c r="T121" s="160"/>
      <c r="U121" s="158">
        <f t="shared" ref="U121:AR121" si="197">SUM(U122:U123)</f>
        <v>0</v>
      </c>
      <c r="V121" s="158">
        <f t="shared" si="197"/>
        <v>0</v>
      </c>
      <c r="W121" s="158">
        <f t="shared" si="197"/>
        <v>0</v>
      </c>
      <c r="X121" s="158">
        <f t="shared" si="197"/>
        <v>0</v>
      </c>
      <c r="Y121" s="158">
        <f t="shared" si="197"/>
        <v>0</v>
      </c>
      <c r="Z121" s="160"/>
      <c r="AA121" s="158">
        <f t="shared" si="197"/>
        <v>0</v>
      </c>
      <c r="AB121" s="158">
        <f t="shared" si="197"/>
        <v>0</v>
      </c>
      <c r="AC121" s="160"/>
      <c r="AD121" s="158">
        <f t="shared" si="197"/>
        <v>0</v>
      </c>
      <c r="AE121" s="158">
        <f t="shared" si="197"/>
        <v>0</v>
      </c>
      <c r="AF121" s="158">
        <f t="shared" si="197"/>
        <v>0</v>
      </c>
      <c r="AG121" s="158">
        <f t="shared" si="197"/>
        <v>0</v>
      </c>
      <c r="AH121" s="158">
        <f t="shared" si="197"/>
        <v>0</v>
      </c>
      <c r="AI121" s="158">
        <f t="shared" si="197"/>
        <v>0</v>
      </c>
      <c r="AJ121" s="158">
        <f t="shared" si="197"/>
        <v>0</v>
      </c>
      <c r="AK121" s="158">
        <f t="shared" si="197"/>
        <v>0</v>
      </c>
      <c r="AL121" s="158">
        <f t="shared" si="197"/>
        <v>0</v>
      </c>
      <c r="AM121" s="158">
        <f t="shared" si="197"/>
        <v>0</v>
      </c>
      <c r="AN121" s="158">
        <f t="shared" si="197"/>
        <v>0</v>
      </c>
      <c r="AO121" s="158">
        <f t="shared" si="197"/>
        <v>0</v>
      </c>
      <c r="AP121" s="158">
        <f t="shared" si="197"/>
        <v>0</v>
      </c>
      <c r="AQ121" s="156">
        <f t="shared" si="197"/>
        <v>0</v>
      </c>
      <c r="AR121" s="156">
        <f t="shared" si="197"/>
        <v>0</v>
      </c>
      <c r="AS121" s="165"/>
      <c r="AT121" s="164"/>
      <c r="AU121" s="116">
        <f t="shared" si="122"/>
        <v>0</v>
      </c>
      <c r="AV121" s="116">
        <f t="shared" si="122"/>
        <v>0</v>
      </c>
      <c r="AW121" s="168"/>
      <c r="AX121" s="117">
        <f t="shared" si="99"/>
        <v>0</v>
      </c>
      <c r="AY121" s="117">
        <f t="shared" si="100"/>
        <v>0</v>
      </c>
      <c r="AZ121" s="117">
        <f t="shared" si="107"/>
        <v>0</v>
      </c>
      <c r="BA121" s="117">
        <f t="shared" si="108"/>
        <v>0</v>
      </c>
    </row>
    <row r="122" spans="1:53" ht="16.5" customHeight="1">
      <c r="A122" s="230"/>
      <c r="B122" s="238"/>
      <c r="C122" s="240"/>
      <c r="D122" s="243"/>
      <c r="E122" s="155" t="s">
        <v>3</v>
      </c>
      <c r="F122" s="158">
        <f t="shared" si="170"/>
        <v>0</v>
      </c>
      <c r="G122" s="158">
        <f t="shared" si="170"/>
        <v>0</v>
      </c>
      <c r="H122" s="160"/>
      <c r="I122" s="156"/>
      <c r="J122" s="156"/>
      <c r="K122" s="156"/>
      <c r="L122" s="156"/>
      <c r="M122" s="156"/>
      <c r="N122" s="156"/>
      <c r="O122" s="158"/>
      <c r="P122" s="158"/>
      <c r="Q122" s="160"/>
      <c r="R122" s="158"/>
      <c r="S122" s="158"/>
      <c r="T122" s="160"/>
      <c r="U122" s="161"/>
      <c r="V122" s="161"/>
      <c r="W122" s="161"/>
      <c r="X122" s="161"/>
      <c r="Y122" s="161"/>
      <c r="Z122" s="160"/>
      <c r="AA122" s="161"/>
      <c r="AB122" s="161"/>
      <c r="AC122" s="160"/>
      <c r="AD122" s="161"/>
      <c r="AE122" s="161"/>
      <c r="AF122" s="161"/>
      <c r="AG122" s="161"/>
      <c r="AH122" s="161"/>
      <c r="AI122" s="161"/>
      <c r="AJ122" s="158"/>
      <c r="AK122" s="158"/>
      <c r="AL122" s="158"/>
      <c r="AM122" s="161"/>
      <c r="AN122" s="161"/>
      <c r="AO122" s="161"/>
      <c r="AP122" s="158"/>
      <c r="AQ122" s="156"/>
      <c r="AR122" s="156"/>
      <c r="AS122" s="165"/>
      <c r="AT122" s="164"/>
      <c r="AU122" s="116">
        <f t="shared" si="122"/>
        <v>0</v>
      </c>
      <c r="AV122" s="116">
        <f t="shared" si="122"/>
        <v>0</v>
      </c>
      <c r="AW122" s="168"/>
      <c r="AX122" s="117">
        <f t="shared" si="99"/>
        <v>0</v>
      </c>
      <c r="AY122" s="117">
        <f t="shared" si="100"/>
        <v>0</v>
      </c>
      <c r="AZ122" s="117">
        <f t="shared" si="107"/>
        <v>0</v>
      </c>
      <c r="BA122" s="117">
        <f t="shared" si="108"/>
        <v>0</v>
      </c>
    </row>
    <row r="123" spans="1:53" ht="20.25" customHeight="1">
      <c r="A123" s="230"/>
      <c r="B123" s="238"/>
      <c r="C123" s="241"/>
      <c r="D123" s="244"/>
      <c r="E123" s="155" t="s">
        <v>44</v>
      </c>
      <c r="F123" s="158">
        <f t="shared" si="170"/>
        <v>0</v>
      </c>
      <c r="G123" s="158">
        <f t="shared" si="170"/>
        <v>0</v>
      </c>
      <c r="H123" s="160"/>
      <c r="I123" s="156"/>
      <c r="J123" s="156"/>
      <c r="K123" s="156"/>
      <c r="L123" s="156"/>
      <c r="M123" s="156"/>
      <c r="N123" s="156"/>
      <c r="O123" s="158"/>
      <c r="P123" s="158"/>
      <c r="Q123" s="160"/>
      <c r="R123" s="158"/>
      <c r="S123" s="158"/>
      <c r="T123" s="160"/>
      <c r="U123" s="161"/>
      <c r="V123" s="161"/>
      <c r="W123" s="161"/>
      <c r="X123" s="161"/>
      <c r="Y123" s="161"/>
      <c r="Z123" s="160"/>
      <c r="AA123" s="161"/>
      <c r="AB123" s="161"/>
      <c r="AC123" s="160"/>
      <c r="AD123" s="161"/>
      <c r="AE123" s="161"/>
      <c r="AF123" s="161"/>
      <c r="AG123" s="161"/>
      <c r="AH123" s="161"/>
      <c r="AI123" s="161"/>
      <c r="AJ123" s="158"/>
      <c r="AK123" s="158"/>
      <c r="AL123" s="158"/>
      <c r="AM123" s="161"/>
      <c r="AN123" s="161"/>
      <c r="AO123" s="161"/>
      <c r="AP123" s="158"/>
      <c r="AQ123" s="156"/>
      <c r="AR123" s="156"/>
      <c r="AS123" s="165"/>
      <c r="AT123" s="164"/>
      <c r="AU123" s="116">
        <f t="shared" si="122"/>
        <v>0</v>
      </c>
      <c r="AV123" s="116">
        <f t="shared" si="122"/>
        <v>0</v>
      </c>
      <c r="AW123" s="168"/>
      <c r="AX123" s="117">
        <f t="shared" si="99"/>
        <v>0</v>
      </c>
      <c r="AY123" s="117">
        <f t="shared" si="100"/>
        <v>0</v>
      </c>
      <c r="AZ123" s="117">
        <f t="shared" si="107"/>
        <v>0</v>
      </c>
      <c r="BA123" s="117">
        <f t="shared" si="108"/>
        <v>0</v>
      </c>
    </row>
    <row r="124" spans="1:53" ht="20.25" customHeight="1">
      <c r="A124" s="230" t="s">
        <v>380</v>
      </c>
      <c r="B124" s="254" t="s">
        <v>346</v>
      </c>
      <c r="C124" s="255" t="s">
        <v>273</v>
      </c>
      <c r="D124" s="242" t="s">
        <v>388</v>
      </c>
      <c r="E124" s="155" t="s">
        <v>42</v>
      </c>
      <c r="F124" s="158">
        <f t="shared" ref="F124:G131" si="198">I124+L124+O124+R124+U124+X124+AA124+AD124+AG124+AJ124+AM124+AP124</f>
        <v>188.90359999999998</v>
      </c>
      <c r="G124" s="158">
        <f t="shared" si="198"/>
        <v>0</v>
      </c>
      <c r="H124" s="160">
        <f t="shared" si="171"/>
        <v>0</v>
      </c>
      <c r="I124" s="156">
        <f t="shared" ref="I124:P124" si="199">SUM(I125:I126)</f>
        <v>0</v>
      </c>
      <c r="J124" s="156">
        <f t="shared" si="199"/>
        <v>0</v>
      </c>
      <c r="K124" s="156">
        <f t="shared" si="199"/>
        <v>0</v>
      </c>
      <c r="L124" s="156">
        <f t="shared" si="199"/>
        <v>0</v>
      </c>
      <c r="M124" s="156">
        <f t="shared" si="199"/>
        <v>0</v>
      </c>
      <c r="N124" s="156">
        <f t="shared" si="199"/>
        <v>0</v>
      </c>
      <c r="O124" s="158">
        <f t="shared" si="199"/>
        <v>0</v>
      </c>
      <c r="P124" s="158">
        <f t="shared" si="199"/>
        <v>0</v>
      </c>
      <c r="Q124" s="160"/>
      <c r="R124" s="158">
        <f>SUM(R125:R126)</f>
        <v>0</v>
      </c>
      <c r="S124" s="158">
        <f>SUM(S125:S126)</f>
        <v>0</v>
      </c>
      <c r="T124" s="160"/>
      <c r="U124" s="158">
        <f t="shared" ref="U124:AR124" si="200">SUM(U125:U126)</f>
        <v>0</v>
      </c>
      <c r="V124" s="158">
        <f t="shared" si="200"/>
        <v>0</v>
      </c>
      <c r="W124" s="158">
        <f t="shared" si="200"/>
        <v>0</v>
      </c>
      <c r="X124" s="158">
        <f t="shared" si="200"/>
        <v>0</v>
      </c>
      <c r="Y124" s="158">
        <f t="shared" si="200"/>
        <v>0</v>
      </c>
      <c r="Z124" s="160"/>
      <c r="AA124" s="158">
        <f t="shared" si="200"/>
        <v>188.90359999999998</v>
      </c>
      <c r="AB124" s="158">
        <f t="shared" si="200"/>
        <v>0</v>
      </c>
      <c r="AC124" s="160">
        <f t="shared" ref="AC124:AC126" si="201">AB124/AA124</f>
        <v>0</v>
      </c>
      <c r="AD124" s="158">
        <f t="shared" si="200"/>
        <v>0</v>
      </c>
      <c r="AE124" s="158">
        <f t="shared" si="200"/>
        <v>0</v>
      </c>
      <c r="AF124" s="158">
        <f t="shared" si="200"/>
        <v>0</v>
      </c>
      <c r="AG124" s="158">
        <f t="shared" si="200"/>
        <v>-188.90359999999998</v>
      </c>
      <c r="AH124" s="158">
        <f t="shared" si="200"/>
        <v>0</v>
      </c>
      <c r="AI124" s="158">
        <f t="shared" si="200"/>
        <v>0</v>
      </c>
      <c r="AJ124" s="158">
        <f t="shared" si="200"/>
        <v>0</v>
      </c>
      <c r="AK124" s="158">
        <f t="shared" si="200"/>
        <v>0</v>
      </c>
      <c r="AL124" s="158">
        <f t="shared" si="200"/>
        <v>0</v>
      </c>
      <c r="AM124" s="158">
        <f t="shared" si="200"/>
        <v>188.90359999999998</v>
      </c>
      <c r="AN124" s="158">
        <f t="shared" si="200"/>
        <v>0</v>
      </c>
      <c r="AO124" s="158">
        <f t="shared" si="200"/>
        <v>0</v>
      </c>
      <c r="AP124" s="158">
        <f t="shared" si="200"/>
        <v>0</v>
      </c>
      <c r="AQ124" s="156">
        <f t="shared" si="200"/>
        <v>0</v>
      </c>
      <c r="AR124" s="156">
        <f t="shared" si="200"/>
        <v>0</v>
      </c>
      <c r="AS124" s="165"/>
      <c r="AT124" s="298" t="s">
        <v>435</v>
      </c>
      <c r="AU124" s="116">
        <f t="shared" si="122"/>
        <v>0</v>
      </c>
      <c r="AV124" s="116">
        <f t="shared" si="122"/>
        <v>0</v>
      </c>
      <c r="AW124" s="168"/>
      <c r="AX124" s="117">
        <f t="shared" si="99"/>
        <v>0</v>
      </c>
      <c r="AY124" s="117">
        <f t="shared" si="100"/>
        <v>0</v>
      </c>
      <c r="AZ124" s="117">
        <f t="shared" si="107"/>
        <v>0</v>
      </c>
      <c r="BA124" s="117">
        <f t="shared" si="108"/>
        <v>188.90359999999998</v>
      </c>
    </row>
    <row r="125" spans="1:53" ht="20.25" customHeight="1">
      <c r="A125" s="230"/>
      <c r="B125" s="254"/>
      <c r="C125" s="256"/>
      <c r="D125" s="243"/>
      <c r="E125" s="155" t="s">
        <v>3</v>
      </c>
      <c r="F125" s="158">
        <f t="shared" si="198"/>
        <v>70.203599999999994</v>
      </c>
      <c r="G125" s="158">
        <f t="shared" si="198"/>
        <v>0</v>
      </c>
      <c r="H125" s="160">
        <f t="shared" si="171"/>
        <v>0</v>
      </c>
      <c r="I125" s="156"/>
      <c r="J125" s="156"/>
      <c r="K125" s="156"/>
      <c r="L125" s="156"/>
      <c r="M125" s="156"/>
      <c r="N125" s="156"/>
      <c r="O125" s="158"/>
      <c r="P125" s="158"/>
      <c r="Q125" s="160"/>
      <c r="R125" s="158"/>
      <c r="S125" s="158"/>
      <c r="T125" s="160"/>
      <c r="U125" s="161"/>
      <c r="V125" s="161"/>
      <c r="W125" s="161"/>
      <c r="X125" s="161"/>
      <c r="Y125" s="161"/>
      <c r="Z125" s="160"/>
      <c r="AA125" s="161">
        <v>70.203599999999994</v>
      </c>
      <c r="AB125" s="161"/>
      <c r="AC125" s="160"/>
      <c r="AD125" s="161"/>
      <c r="AE125" s="161"/>
      <c r="AF125" s="161"/>
      <c r="AG125" s="161">
        <v>-70.203599999999994</v>
      </c>
      <c r="AH125" s="161"/>
      <c r="AI125" s="161"/>
      <c r="AJ125" s="158"/>
      <c r="AK125" s="158"/>
      <c r="AL125" s="158"/>
      <c r="AM125" s="161">
        <v>70.203599999999994</v>
      </c>
      <c r="AN125" s="161"/>
      <c r="AO125" s="161"/>
      <c r="AP125" s="158"/>
      <c r="AQ125" s="156"/>
      <c r="AR125" s="156"/>
      <c r="AS125" s="165"/>
      <c r="AT125" s="299"/>
      <c r="AU125" s="116">
        <f t="shared" si="122"/>
        <v>0</v>
      </c>
      <c r="AV125" s="116">
        <f t="shared" si="122"/>
        <v>0</v>
      </c>
      <c r="AW125" s="168"/>
      <c r="AX125" s="117">
        <f t="shared" si="99"/>
        <v>0</v>
      </c>
      <c r="AY125" s="117">
        <f t="shared" si="100"/>
        <v>0</v>
      </c>
      <c r="AZ125" s="117">
        <f t="shared" si="107"/>
        <v>0</v>
      </c>
      <c r="BA125" s="117">
        <f t="shared" si="108"/>
        <v>70.203599999999994</v>
      </c>
    </row>
    <row r="126" spans="1:53" ht="20.25" customHeight="1">
      <c r="A126" s="230"/>
      <c r="B126" s="254"/>
      <c r="C126" s="257"/>
      <c r="D126" s="244"/>
      <c r="E126" s="155" t="s">
        <v>44</v>
      </c>
      <c r="F126" s="158">
        <f t="shared" si="198"/>
        <v>118.7</v>
      </c>
      <c r="G126" s="158">
        <f t="shared" si="198"/>
        <v>0</v>
      </c>
      <c r="H126" s="160">
        <f t="shared" si="171"/>
        <v>0</v>
      </c>
      <c r="I126" s="156"/>
      <c r="J126" s="156"/>
      <c r="K126" s="156"/>
      <c r="L126" s="156"/>
      <c r="M126" s="156"/>
      <c r="N126" s="156"/>
      <c r="O126" s="158"/>
      <c r="P126" s="158"/>
      <c r="Q126" s="160"/>
      <c r="R126" s="158"/>
      <c r="S126" s="158"/>
      <c r="T126" s="160"/>
      <c r="U126" s="161"/>
      <c r="V126" s="161"/>
      <c r="W126" s="161"/>
      <c r="X126" s="161"/>
      <c r="Y126" s="161"/>
      <c r="Z126" s="160"/>
      <c r="AA126" s="161">
        <v>118.7</v>
      </c>
      <c r="AB126" s="161"/>
      <c r="AC126" s="160">
        <f t="shared" si="201"/>
        <v>0</v>
      </c>
      <c r="AD126" s="161"/>
      <c r="AE126" s="161"/>
      <c r="AF126" s="161"/>
      <c r="AG126" s="161">
        <v>-118.7</v>
      </c>
      <c r="AH126" s="161"/>
      <c r="AI126" s="161"/>
      <c r="AJ126" s="158"/>
      <c r="AK126" s="158"/>
      <c r="AL126" s="158"/>
      <c r="AM126" s="161">
        <v>118.7</v>
      </c>
      <c r="AN126" s="161"/>
      <c r="AO126" s="161"/>
      <c r="AP126" s="158"/>
      <c r="AQ126" s="156"/>
      <c r="AR126" s="156"/>
      <c r="AS126" s="165"/>
      <c r="AT126" s="300"/>
      <c r="AU126" s="116">
        <f t="shared" si="122"/>
        <v>0</v>
      </c>
      <c r="AV126" s="116">
        <f t="shared" si="122"/>
        <v>0</v>
      </c>
      <c r="AW126" s="168"/>
      <c r="AX126" s="117">
        <f t="shared" si="99"/>
        <v>0</v>
      </c>
      <c r="AY126" s="117">
        <f t="shared" si="100"/>
        <v>0</v>
      </c>
      <c r="AZ126" s="117">
        <f t="shared" si="107"/>
        <v>0</v>
      </c>
      <c r="BA126" s="117">
        <f t="shared" si="108"/>
        <v>118.7</v>
      </c>
    </row>
    <row r="127" spans="1:53" ht="16.5" customHeight="1">
      <c r="A127" s="112" t="s">
        <v>313</v>
      </c>
      <c r="B127" s="248" t="s">
        <v>314</v>
      </c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50"/>
      <c r="AU127" s="116">
        <f t="shared" si="122"/>
        <v>0</v>
      </c>
      <c r="AV127" s="116">
        <f t="shared" si="122"/>
        <v>0</v>
      </c>
      <c r="AW127" s="168"/>
      <c r="AX127" s="117"/>
      <c r="AY127" s="117"/>
      <c r="AZ127" s="117"/>
      <c r="BA127" s="117"/>
    </row>
    <row r="128" spans="1:53" ht="18" customHeight="1">
      <c r="A128" s="189" t="s">
        <v>315</v>
      </c>
      <c r="B128" s="251" t="s">
        <v>293</v>
      </c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3"/>
      <c r="AU128" s="116">
        <f t="shared" si="122"/>
        <v>0</v>
      </c>
      <c r="AV128" s="116">
        <f t="shared" si="122"/>
        <v>0</v>
      </c>
      <c r="AW128" s="168"/>
      <c r="AX128" s="117"/>
      <c r="AY128" s="117"/>
      <c r="AZ128" s="117"/>
      <c r="BA128" s="117"/>
    </row>
    <row r="129" spans="1:53" ht="18.75" customHeight="1">
      <c r="A129" s="230" t="s">
        <v>381</v>
      </c>
      <c r="B129" s="238" t="s">
        <v>347</v>
      </c>
      <c r="C129" s="239" t="s">
        <v>269</v>
      </c>
      <c r="D129" s="242">
        <v>1.2</v>
      </c>
      <c r="E129" s="155" t="s">
        <v>42</v>
      </c>
      <c r="F129" s="158">
        <f t="shared" si="198"/>
        <v>30316</v>
      </c>
      <c r="G129" s="158">
        <f t="shared" si="198"/>
        <v>17957.809999999998</v>
      </c>
      <c r="H129" s="160">
        <f t="shared" si="171"/>
        <v>0.59235420240137215</v>
      </c>
      <c r="I129" s="156">
        <f>SUM(I130:I131)</f>
        <v>0</v>
      </c>
      <c r="J129" s="156">
        <f>SUM(J130:J131)</f>
        <v>0</v>
      </c>
      <c r="K129" s="160"/>
      <c r="L129" s="158">
        <f>SUM(L130:L131)</f>
        <v>2500</v>
      </c>
      <c r="M129" s="158">
        <f>SUM(M130:M131)</f>
        <v>2758.2579999999998</v>
      </c>
      <c r="N129" s="160">
        <f t="shared" ref="N129:N130" si="202">M129/L129</f>
        <v>1.1033031999999998</v>
      </c>
      <c r="O129" s="158">
        <f>SUM(O130:O131)</f>
        <v>2800</v>
      </c>
      <c r="P129" s="158">
        <f>SUM(P130:P131)</f>
        <v>2438.0659999999998</v>
      </c>
      <c r="Q129" s="160">
        <f t="shared" si="173"/>
        <v>0.87073785714285712</v>
      </c>
      <c r="R129" s="158">
        <f>SUM(R130:R131)</f>
        <v>2900</v>
      </c>
      <c r="S129" s="158">
        <f>SUM(S130:S131)</f>
        <v>2749.9232499999998</v>
      </c>
      <c r="T129" s="160">
        <f t="shared" si="174"/>
        <v>0.94824939655172413</v>
      </c>
      <c r="U129" s="158">
        <f t="shared" ref="U129:AR129" si="203">SUM(U130:U131)</f>
        <v>2900</v>
      </c>
      <c r="V129" s="158">
        <f t="shared" si="203"/>
        <v>2686.80125</v>
      </c>
      <c r="W129" s="160">
        <f t="shared" ref="W129:W130" si="204">V129/U129</f>
        <v>0.9264831896551724</v>
      </c>
      <c r="X129" s="158">
        <f t="shared" si="203"/>
        <v>2500</v>
      </c>
      <c r="Y129" s="158">
        <f t="shared" si="203"/>
        <v>2961.4839999999999</v>
      </c>
      <c r="Z129" s="160">
        <f t="shared" ref="Z129:Z130" si="205">Y129/X129</f>
        <v>1.1845935999999999</v>
      </c>
      <c r="AA129" s="158">
        <f t="shared" si="203"/>
        <v>2000</v>
      </c>
      <c r="AB129" s="158">
        <f t="shared" si="203"/>
        <v>1812.5745000000006</v>
      </c>
      <c r="AC129" s="160">
        <f t="shared" ref="AC129:AC130" si="206">AB129/AA129</f>
        <v>0.90628725000000032</v>
      </c>
      <c r="AD129" s="158">
        <f t="shared" si="203"/>
        <v>2000</v>
      </c>
      <c r="AE129" s="158">
        <f t="shared" si="203"/>
        <v>1194.7762499999999</v>
      </c>
      <c r="AF129" s="160">
        <f t="shared" ref="AF129:AF130" si="207">AE129/AD129</f>
        <v>0.59738812499999994</v>
      </c>
      <c r="AG129" s="158">
        <f t="shared" si="203"/>
        <v>600</v>
      </c>
      <c r="AH129" s="158">
        <f t="shared" si="203"/>
        <v>1355.9267500000001</v>
      </c>
      <c r="AI129" s="160">
        <f t="shared" ref="AI129:AI130" si="208">AH129/AG129</f>
        <v>2.2598779166666669</v>
      </c>
      <c r="AJ129" s="158">
        <f t="shared" si="203"/>
        <v>3000</v>
      </c>
      <c r="AK129" s="158">
        <f t="shared" si="203"/>
        <v>0</v>
      </c>
      <c r="AL129" s="160">
        <f t="shared" ref="AL129:AL130" si="209">AK129/AJ129</f>
        <v>0</v>
      </c>
      <c r="AM129" s="158">
        <f t="shared" si="203"/>
        <v>3000</v>
      </c>
      <c r="AN129" s="158">
        <f t="shared" si="203"/>
        <v>0</v>
      </c>
      <c r="AO129" s="160">
        <f t="shared" ref="AO129:AO130" si="210">AN129/AM129</f>
        <v>0</v>
      </c>
      <c r="AP129" s="158">
        <f t="shared" si="203"/>
        <v>6116</v>
      </c>
      <c r="AQ129" s="156">
        <f t="shared" si="203"/>
        <v>0</v>
      </c>
      <c r="AR129" s="156">
        <f t="shared" si="203"/>
        <v>0</v>
      </c>
      <c r="AS129" s="301" t="s">
        <v>447</v>
      </c>
      <c r="AT129" s="298" t="s">
        <v>437</v>
      </c>
      <c r="AU129" s="116">
        <f t="shared" si="122"/>
        <v>18200</v>
      </c>
      <c r="AV129" s="116">
        <f t="shared" si="122"/>
        <v>17957.809999999998</v>
      </c>
      <c r="AW129" s="168">
        <f t="shared" si="106"/>
        <v>0.98669285714285704</v>
      </c>
      <c r="AX129" s="117">
        <f t="shared" si="99"/>
        <v>5300</v>
      </c>
      <c r="AY129" s="117">
        <f t="shared" si="100"/>
        <v>8300</v>
      </c>
      <c r="AZ129" s="117">
        <f t="shared" si="107"/>
        <v>4600</v>
      </c>
      <c r="BA129" s="117">
        <f t="shared" si="108"/>
        <v>12116</v>
      </c>
    </row>
    <row r="130" spans="1:53" ht="18.75" customHeight="1">
      <c r="A130" s="230"/>
      <c r="B130" s="238"/>
      <c r="C130" s="240"/>
      <c r="D130" s="243"/>
      <c r="E130" s="155" t="s">
        <v>3</v>
      </c>
      <c r="F130" s="158">
        <f t="shared" si="198"/>
        <v>30316</v>
      </c>
      <c r="G130" s="158">
        <f t="shared" si="198"/>
        <v>17957.809999999998</v>
      </c>
      <c r="H130" s="160">
        <f t="shared" si="171"/>
        <v>0.59235420240137215</v>
      </c>
      <c r="I130" s="156"/>
      <c r="J130" s="156"/>
      <c r="K130" s="160"/>
      <c r="L130" s="158">
        <v>2500</v>
      </c>
      <c r="M130" s="158">
        <v>2758.2579999999998</v>
      </c>
      <c r="N130" s="160">
        <f t="shared" si="202"/>
        <v>1.1033031999999998</v>
      </c>
      <c r="O130" s="158">
        <v>2800</v>
      </c>
      <c r="P130" s="158">
        <v>2438.0659999999998</v>
      </c>
      <c r="Q130" s="160">
        <f t="shared" si="173"/>
        <v>0.87073785714285712</v>
      </c>
      <c r="R130" s="158">
        <v>2900</v>
      </c>
      <c r="S130" s="158">
        <v>2749.9232499999998</v>
      </c>
      <c r="T130" s="160">
        <f t="shared" si="174"/>
        <v>0.94824939655172413</v>
      </c>
      <c r="U130" s="161">
        <v>2900</v>
      </c>
      <c r="V130" s="161">
        <v>2686.80125</v>
      </c>
      <c r="W130" s="160">
        <f t="shared" si="204"/>
        <v>0.9264831896551724</v>
      </c>
      <c r="X130" s="161">
        <v>2500</v>
      </c>
      <c r="Y130" s="161">
        <v>2961.4839999999999</v>
      </c>
      <c r="Z130" s="160">
        <f t="shared" si="205"/>
        <v>1.1845935999999999</v>
      </c>
      <c r="AA130" s="161">
        <v>2000</v>
      </c>
      <c r="AB130" s="161">
        <v>1812.5745000000006</v>
      </c>
      <c r="AC130" s="160">
        <f t="shared" si="206"/>
        <v>0.90628725000000032</v>
      </c>
      <c r="AD130" s="161">
        <v>2000</v>
      </c>
      <c r="AE130" s="161">
        <v>1194.7762499999999</v>
      </c>
      <c r="AF130" s="160">
        <f t="shared" si="207"/>
        <v>0.59738812499999994</v>
      </c>
      <c r="AG130" s="161">
        <v>600</v>
      </c>
      <c r="AH130" s="161">
        <v>1355.9267500000001</v>
      </c>
      <c r="AI130" s="160">
        <f t="shared" si="208"/>
        <v>2.2598779166666669</v>
      </c>
      <c r="AJ130" s="158">
        <v>3000</v>
      </c>
      <c r="AK130" s="158"/>
      <c r="AL130" s="160">
        <f t="shared" si="209"/>
        <v>0</v>
      </c>
      <c r="AM130" s="161">
        <v>3000</v>
      </c>
      <c r="AN130" s="161"/>
      <c r="AO130" s="160">
        <f t="shared" si="210"/>
        <v>0</v>
      </c>
      <c r="AP130" s="158">
        <v>6116</v>
      </c>
      <c r="AQ130" s="156"/>
      <c r="AR130" s="156"/>
      <c r="AS130" s="302"/>
      <c r="AT130" s="299"/>
      <c r="AU130" s="116">
        <f t="shared" si="122"/>
        <v>18200</v>
      </c>
      <c r="AV130" s="116">
        <f t="shared" si="122"/>
        <v>17957.809999999998</v>
      </c>
      <c r="AW130" s="168">
        <f t="shared" si="106"/>
        <v>0.98669285714285704</v>
      </c>
      <c r="AX130" s="117">
        <f t="shared" si="99"/>
        <v>5300</v>
      </c>
      <c r="AY130" s="117">
        <f t="shared" si="100"/>
        <v>8300</v>
      </c>
      <c r="AZ130" s="117">
        <f t="shared" si="107"/>
        <v>4600</v>
      </c>
      <c r="BA130" s="117">
        <f t="shared" si="108"/>
        <v>12116</v>
      </c>
    </row>
    <row r="131" spans="1:53" ht="18.75" customHeight="1">
      <c r="A131" s="230"/>
      <c r="B131" s="238"/>
      <c r="C131" s="241"/>
      <c r="D131" s="244"/>
      <c r="E131" s="155" t="s">
        <v>44</v>
      </c>
      <c r="F131" s="158">
        <f t="shared" si="198"/>
        <v>0</v>
      </c>
      <c r="G131" s="158">
        <f t="shared" si="198"/>
        <v>0</v>
      </c>
      <c r="H131" s="160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94"/>
      <c r="V131" s="94"/>
      <c r="W131" s="94"/>
      <c r="X131" s="94"/>
      <c r="Y131" s="94"/>
      <c r="Z131" s="160"/>
      <c r="AA131" s="94"/>
      <c r="AB131" s="94"/>
      <c r="AC131" s="160"/>
      <c r="AD131" s="94"/>
      <c r="AE131" s="94"/>
      <c r="AF131" s="160"/>
      <c r="AG131" s="94"/>
      <c r="AH131" s="94"/>
      <c r="AI131" s="94"/>
      <c r="AJ131" s="156"/>
      <c r="AK131" s="156"/>
      <c r="AL131" s="156"/>
      <c r="AM131" s="94"/>
      <c r="AN131" s="94"/>
      <c r="AO131" s="94"/>
      <c r="AP131" s="156"/>
      <c r="AQ131" s="156"/>
      <c r="AR131" s="156"/>
      <c r="AS131" s="303"/>
      <c r="AT131" s="300"/>
      <c r="AU131" s="116">
        <f t="shared" si="122"/>
        <v>0</v>
      </c>
      <c r="AV131" s="116">
        <f t="shared" si="122"/>
        <v>0</v>
      </c>
      <c r="AW131" s="168"/>
      <c r="AX131" s="117">
        <f t="shared" si="99"/>
        <v>0</v>
      </c>
      <c r="AY131" s="117">
        <f t="shared" si="100"/>
        <v>0</v>
      </c>
      <c r="AZ131" s="117">
        <f t="shared" si="107"/>
        <v>0</v>
      </c>
      <c r="BA131" s="117">
        <f t="shared" si="108"/>
        <v>0</v>
      </c>
    </row>
    <row r="132" spans="1:53" s="102" customFormat="1" ht="18.75" customHeight="1">
      <c r="A132" s="112" t="s">
        <v>13</v>
      </c>
      <c r="B132" s="295" t="s">
        <v>316</v>
      </c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297"/>
      <c r="AU132" s="116">
        <f t="shared" si="122"/>
        <v>0</v>
      </c>
      <c r="AV132" s="116">
        <f t="shared" si="122"/>
        <v>0</v>
      </c>
      <c r="AW132" s="168"/>
      <c r="AX132" s="117"/>
      <c r="AY132" s="117"/>
      <c r="AZ132" s="117"/>
      <c r="BA132" s="117"/>
    </row>
    <row r="133" spans="1:53" ht="15" customHeight="1">
      <c r="A133" s="189" t="s">
        <v>317</v>
      </c>
      <c r="B133" s="251" t="s">
        <v>306</v>
      </c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3"/>
      <c r="AU133" s="116">
        <f t="shared" si="122"/>
        <v>0</v>
      </c>
      <c r="AV133" s="116">
        <f t="shared" si="122"/>
        <v>0</v>
      </c>
      <c r="AW133" s="168"/>
      <c r="AX133" s="117"/>
      <c r="AY133" s="117"/>
      <c r="AZ133" s="117"/>
      <c r="BA133" s="117"/>
    </row>
    <row r="134" spans="1:53" ht="18.75" customHeight="1">
      <c r="A134" s="305" t="s">
        <v>382</v>
      </c>
      <c r="B134" s="306" t="s">
        <v>348</v>
      </c>
      <c r="C134" s="239" t="s">
        <v>272</v>
      </c>
      <c r="D134" s="245">
        <v>8</v>
      </c>
      <c r="E134" s="155" t="s">
        <v>42</v>
      </c>
      <c r="F134" s="158">
        <f t="shared" ref="F134:G136" si="211">I134+L134+O134+R134+U134+X134+AA134+AD134+AG134+AJ134+AM134+AP134</f>
        <v>61157.399999999994</v>
      </c>
      <c r="G134" s="158">
        <f t="shared" si="211"/>
        <v>22771.431400000001</v>
      </c>
      <c r="H134" s="160">
        <f t="shared" ref="H134:H136" si="212">G134/F134</f>
        <v>0.37234139122984306</v>
      </c>
      <c r="I134" s="156">
        <f>SUM(I135:I136)</f>
        <v>0</v>
      </c>
      <c r="J134" s="156">
        <f>SUM(J135:J136)</f>
        <v>0</v>
      </c>
      <c r="K134" s="156">
        <f>SUM(K135:K136)</f>
        <v>0</v>
      </c>
      <c r="L134" s="158">
        <f>SUM(L135:L136)</f>
        <v>7199.3919999999998</v>
      </c>
      <c r="M134" s="158">
        <f>SUM(M135:M136)</f>
        <v>5404.2547999999997</v>
      </c>
      <c r="N134" s="160">
        <f t="shared" ref="N134:N136" si="213">M134/L134</f>
        <v>0.75065433303256712</v>
      </c>
      <c r="O134" s="158">
        <f>SUM(O135:O136)</f>
        <v>7674.9</v>
      </c>
      <c r="P134" s="158">
        <f>SUM(P135:P136)</f>
        <v>1684.2821999999999</v>
      </c>
      <c r="Q134" s="160">
        <f t="shared" ref="Q134:Q136" si="214">P134/O134</f>
        <v>0.21945330883790015</v>
      </c>
      <c r="R134" s="158">
        <f>SUM(R135:R136)</f>
        <v>6663.8220000000001</v>
      </c>
      <c r="S134" s="158">
        <f>SUM(S135:S136)</f>
        <v>5883.6750000000002</v>
      </c>
      <c r="T134" s="160">
        <f t="shared" ref="T134:T136" si="215">S134/R134</f>
        <v>0.88292799537562683</v>
      </c>
      <c r="U134" s="158">
        <f t="shared" ref="U134:AR134" si="216">SUM(U135:U136)</f>
        <v>8145</v>
      </c>
      <c r="V134" s="158">
        <f t="shared" si="216"/>
        <v>3301.1277999999998</v>
      </c>
      <c r="W134" s="160">
        <f t="shared" ref="W134:W136" si="217">V134/U134</f>
        <v>0.40529500306936767</v>
      </c>
      <c r="X134" s="158">
        <f t="shared" si="216"/>
        <v>5742.1880000000001</v>
      </c>
      <c r="Y134" s="158">
        <f t="shared" si="216"/>
        <v>6498.0916000000007</v>
      </c>
      <c r="Z134" s="160">
        <f t="shared" ref="Z134:Z136" si="218">Y134/X134</f>
        <v>1.1316403433673716</v>
      </c>
      <c r="AA134" s="158">
        <f t="shared" si="216"/>
        <v>0</v>
      </c>
      <c r="AB134" s="158">
        <f t="shared" si="216"/>
        <v>0</v>
      </c>
      <c r="AC134" s="160"/>
      <c r="AD134" s="158">
        <f t="shared" si="216"/>
        <v>0</v>
      </c>
      <c r="AE134" s="158">
        <f t="shared" si="216"/>
        <v>0</v>
      </c>
      <c r="AF134" s="158">
        <f t="shared" si="216"/>
        <v>0</v>
      </c>
      <c r="AG134" s="158">
        <f t="shared" si="216"/>
        <v>0</v>
      </c>
      <c r="AH134" s="158">
        <f t="shared" si="216"/>
        <v>0</v>
      </c>
      <c r="AI134" s="158">
        <f t="shared" si="216"/>
        <v>0</v>
      </c>
      <c r="AJ134" s="158">
        <f t="shared" si="216"/>
        <v>0</v>
      </c>
      <c r="AK134" s="158">
        <f t="shared" si="216"/>
        <v>0</v>
      </c>
      <c r="AL134" s="160" t="e">
        <f t="shared" ref="AL134:AL136" si="219">AK134/AJ134</f>
        <v>#DIV/0!</v>
      </c>
      <c r="AM134" s="158">
        <f t="shared" si="216"/>
        <v>4258.4969999999994</v>
      </c>
      <c r="AN134" s="158">
        <f t="shared" si="216"/>
        <v>0</v>
      </c>
      <c r="AO134" s="160">
        <f t="shared" ref="AO134:AO136" si="220">AN134/AM134</f>
        <v>0</v>
      </c>
      <c r="AP134" s="158">
        <f t="shared" si="216"/>
        <v>21473.600999999999</v>
      </c>
      <c r="AQ134" s="156">
        <f t="shared" si="216"/>
        <v>0</v>
      </c>
      <c r="AR134" s="156">
        <f t="shared" si="216"/>
        <v>0</v>
      </c>
      <c r="AS134" s="298" t="s">
        <v>414</v>
      </c>
      <c r="AT134" s="298" t="s">
        <v>419</v>
      </c>
      <c r="AU134" s="116">
        <f t="shared" si="122"/>
        <v>35425.302000000003</v>
      </c>
      <c r="AV134" s="116">
        <f t="shared" si="122"/>
        <v>22771.431400000001</v>
      </c>
      <c r="AW134" s="168">
        <f t="shared" si="106"/>
        <v>0.64280133448121346</v>
      </c>
      <c r="AX134" s="117">
        <f t="shared" si="99"/>
        <v>14874.291999999999</v>
      </c>
      <c r="AY134" s="117">
        <f t="shared" si="100"/>
        <v>20551.010000000002</v>
      </c>
      <c r="AZ134" s="117">
        <f t="shared" si="107"/>
        <v>0</v>
      </c>
      <c r="BA134" s="117">
        <f t="shared" si="108"/>
        <v>25732.097999999998</v>
      </c>
    </row>
    <row r="135" spans="1:53" ht="18.75">
      <c r="A135" s="305"/>
      <c r="B135" s="307"/>
      <c r="C135" s="240"/>
      <c r="D135" s="246"/>
      <c r="E135" s="155" t="s">
        <v>3</v>
      </c>
      <c r="F135" s="158">
        <f t="shared" si="211"/>
        <v>59247.399999999994</v>
      </c>
      <c r="G135" s="158">
        <f t="shared" si="211"/>
        <v>22258.799800000001</v>
      </c>
      <c r="H135" s="160">
        <f t="shared" si="212"/>
        <v>0.37569243207296865</v>
      </c>
      <c r="I135" s="156"/>
      <c r="J135" s="156"/>
      <c r="K135" s="156"/>
      <c r="L135" s="158">
        <v>6969.4</v>
      </c>
      <c r="M135" s="158">
        <v>5283.1909999999998</v>
      </c>
      <c r="N135" s="160">
        <f t="shared" si="213"/>
        <v>0.75805535627170206</v>
      </c>
      <c r="O135" s="158">
        <v>7478.9</v>
      </c>
      <c r="P135" s="158">
        <v>1655.3753999999999</v>
      </c>
      <c r="Q135" s="160">
        <f t="shared" si="214"/>
        <v>0.22133942157269118</v>
      </c>
      <c r="R135" s="158">
        <v>6497.8220000000001</v>
      </c>
      <c r="S135" s="158">
        <v>5731.3176000000003</v>
      </c>
      <c r="T135" s="160">
        <f t="shared" si="215"/>
        <v>0.88203671938074024</v>
      </c>
      <c r="U135" s="161">
        <v>7938</v>
      </c>
      <c r="V135" s="161">
        <v>3226.2087999999999</v>
      </c>
      <c r="W135" s="160">
        <f t="shared" si="217"/>
        <v>0.40642590073066265</v>
      </c>
      <c r="X135" s="161">
        <v>5543.4679999999998</v>
      </c>
      <c r="Y135" s="161">
        <v>6362.7070000000003</v>
      </c>
      <c r="Z135" s="160">
        <f t="shared" si="218"/>
        <v>1.1477845637424082</v>
      </c>
      <c r="AA135" s="161"/>
      <c r="AB135" s="161"/>
      <c r="AC135" s="160"/>
      <c r="AD135" s="161"/>
      <c r="AE135" s="161"/>
      <c r="AF135" s="161"/>
      <c r="AG135" s="161"/>
      <c r="AH135" s="161"/>
      <c r="AI135" s="161"/>
      <c r="AJ135" s="158"/>
      <c r="AK135" s="158"/>
      <c r="AL135" s="160" t="e">
        <f t="shared" si="219"/>
        <v>#DIV/0!</v>
      </c>
      <c r="AM135" s="161">
        <f>8204-3945.503</f>
        <v>4258.4969999999994</v>
      </c>
      <c r="AN135" s="161"/>
      <c r="AO135" s="160">
        <f t="shared" si="220"/>
        <v>0</v>
      </c>
      <c r="AP135" s="158">
        <v>20561.312999999998</v>
      </c>
      <c r="AQ135" s="156"/>
      <c r="AR135" s="156"/>
      <c r="AS135" s="299"/>
      <c r="AT135" s="299"/>
      <c r="AU135" s="116">
        <f t="shared" si="122"/>
        <v>34427.589999999997</v>
      </c>
      <c r="AV135" s="116">
        <f t="shared" si="122"/>
        <v>22258.799800000001</v>
      </c>
      <c r="AW135" s="168">
        <f t="shared" si="106"/>
        <v>0.64653958641891585</v>
      </c>
      <c r="AX135" s="117">
        <f t="shared" si="99"/>
        <v>14448.3</v>
      </c>
      <c r="AY135" s="117">
        <f t="shared" si="100"/>
        <v>19979.29</v>
      </c>
      <c r="AZ135" s="117">
        <f t="shared" si="107"/>
        <v>0</v>
      </c>
      <c r="BA135" s="117">
        <f t="shared" si="108"/>
        <v>24819.809999999998</v>
      </c>
    </row>
    <row r="136" spans="1:53" ht="18.75">
      <c r="A136" s="305"/>
      <c r="B136" s="308"/>
      <c r="C136" s="241"/>
      <c r="D136" s="247"/>
      <c r="E136" s="155" t="s">
        <v>44</v>
      </c>
      <c r="F136" s="158">
        <f t="shared" si="211"/>
        <v>1910</v>
      </c>
      <c r="G136" s="158">
        <f t="shared" si="211"/>
        <v>512.63159999999993</v>
      </c>
      <c r="H136" s="160">
        <f t="shared" si="212"/>
        <v>0.2683935078534031</v>
      </c>
      <c r="I136" s="156"/>
      <c r="J136" s="156"/>
      <c r="K136" s="156"/>
      <c r="L136" s="158">
        <f>187+42.992</f>
        <v>229.99199999999999</v>
      </c>
      <c r="M136" s="158">
        <v>121.0638</v>
      </c>
      <c r="N136" s="160">
        <f t="shared" si="213"/>
        <v>0.52638265678806218</v>
      </c>
      <c r="O136" s="158">
        <v>196</v>
      </c>
      <c r="P136" s="158">
        <v>28.9068</v>
      </c>
      <c r="Q136" s="160">
        <f t="shared" si="214"/>
        <v>0.14748367346938776</v>
      </c>
      <c r="R136" s="158">
        <v>166</v>
      </c>
      <c r="S136" s="158">
        <v>152.35740000000001</v>
      </c>
      <c r="T136" s="160">
        <f t="shared" si="215"/>
        <v>0.91781566265060244</v>
      </c>
      <c r="U136" s="161">
        <v>207</v>
      </c>
      <c r="V136" s="161">
        <v>74.918999999999997</v>
      </c>
      <c r="W136" s="160">
        <f t="shared" si="217"/>
        <v>0.36192753623188406</v>
      </c>
      <c r="X136" s="161">
        <v>198.72</v>
      </c>
      <c r="Y136" s="161">
        <v>135.38460000000001</v>
      </c>
      <c r="Z136" s="160">
        <f t="shared" si="218"/>
        <v>0.68128321256038649</v>
      </c>
      <c r="AA136" s="161"/>
      <c r="AB136" s="161"/>
      <c r="AC136" s="160"/>
      <c r="AD136" s="161"/>
      <c r="AE136" s="161"/>
      <c r="AF136" s="161"/>
      <c r="AG136" s="161"/>
      <c r="AH136" s="161"/>
      <c r="AI136" s="161"/>
      <c r="AJ136" s="158"/>
      <c r="AK136" s="158"/>
      <c r="AL136" s="160" t="e">
        <f t="shared" si="219"/>
        <v>#DIV/0!</v>
      </c>
      <c r="AM136" s="161"/>
      <c r="AN136" s="161"/>
      <c r="AO136" s="160" t="e">
        <f t="shared" si="220"/>
        <v>#DIV/0!</v>
      </c>
      <c r="AP136" s="158">
        <v>912.28800000000001</v>
      </c>
      <c r="AQ136" s="156"/>
      <c r="AR136" s="156"/>
      <c r="AS136" s="300"/>
      <c r="AT136" s="300"/>
      <c r="AU136" s="116">
        <f t="shared" si="122"/>
        <v>997.71199999999999</v>
      </c>
      <c r="AV136" s="116">
        <f t="shared" si="122"/>
        <v>512.63159999999993</v>
      </c>
      <c r="AW136" s="168">
        <f t="shared" si="106"/>
        <v>0.5138071908526709</v>
      </c>
      <c r="AX136" s="117">
        <f t="shared" si="99"/>
        <v>425.99199999999996</v>
      </c>
      <c r="AY136" s="117">
        <f t="shared" si="100"/>
        <v>571.72</v>
      </c>
      <c r="AZ136" s="117">
        <f t="shared" si="107"/>
        <v>0</v>
      </c>
      <c r="BA136" s="117">
        <f t="shared" si="108"/>
        <v>912.28800000000001</v>
      </c>
    </row>
    <row r="137" spans="1:53" s="102" customFormat="1" ht="18.75" customHeight="1">
      <c r="A137" s="112" t="s">
        <v>394</v>
      </c>
      <c r="B137" s="248" t="s">
        <v>397</v>
      </c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50"/>
      <c r="AU137" s="116">
        <f t="shared" si="122"/>
        <v>0</v>
      </c>
      <c r="AV137" s="116">
        <f t="shared" si="122"/>
        <v>0</v>
      </c>
      <c r="AW137" s="168"/>
      <c r="AX137" s="117"/>
      <c r="AY137" s="117"/>
      <c r="AZ137" s="117"/>
      <c r="BA137" s="117"/>
    </row>
    <row r="138" spans="1:53" ht="15" customHeight="1">
      <c r="A138" s="189" t="s">
        <v>395</v>
      </c>
      <c r="B138" s="251" t="s">
        <v>293</v>
      </c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3"/>
      <c r="AU138" s="116">
        <f t="shared" si="122"/>
        <v>0</v>
      </c>
      <c r="AV138" s="116">
        <f t="shared" si="122"/>
        <v>0</v>
      </c>
      <c r="AW138" s="168"/>
      <c r="AX138" s="117"/>
      <c r="AY138" s="117"/>
      <c r="AZ138" s="117"/>
      <c r="BA138" s="117"/>
    </row>
    <row r="139" spans="1:53" ht="24.75" customHeight="1">
      <c r="A139" s="305" t="s">
        <v>396</v>
      </c>
      <c r="B139" s="306" t="s">
        <v>401</v>
      </c>
      <c r="C139" s="239" t="s">
        <v>399</v>
      </c>
      <c r="D139" s="245" t="s">
        <v>398</v>
      </c>
      <c r="E139" s="155" t="s">
        <v>42</v>
      </c>
      <c r="F139" s="158">
        <f t="shared" ref="F139:G141" si="221">I139+L139+O139+R139+U139+X139+AA139+AD139+AG139+AJ139+AM139+AP139</f>
        <v>33750.116249999999</v>
      </c>
      <c r="G139" s="158">
        <f t="shared" si="221"/>
        <v>17524.21501</v>
      </c>
      <c r="H139" s="160">
        <f t="shared" ref="H139:H144" si="222">G139/F139</f>
        <v>0.51923421182290008</v>
      </c>
      <c r="I139" s="158">
        <f>SUM(I140:I141)</f>
        <v>2315.5709999999999</v>
      </c>
      <c r="J139" s="156">
        <f>SUM(J140:J141)</f>
        <v>0</v>
      </c>
      <c r="K139" s="160">
        <f t="shared" ref="K139:K144" si="223">J139/I139</f>
        <v>0</v>
      </c>
      <c r="L139" s="158">
        <f>SUM(L140:L141)</f>
        <v>3997.2997700000005</v>
      </c>
      <c r="M139" s="158">
        <f>SUM(M140:M141)</f>
        <v>5737.9003499999999</v>
      </c>
      <c r="N139" s="160">
        <f t="shared" ref="N139:N144" si="224">M139/L139</f>
        <v>1.4354440948020266</v>
      </c>
      <c r="O139" s="158">
        <f>SUM(O140:O141)</f>
        <v>3673.165</v>
      </c>
      <c r="P139" s="158">
        <f>SUM(P140:P141)</f>
        <v>3213.3503500000002</v>
      </c>
      <c r="Q139" s="160">
        <f t="shared" ref="Q139:Q144" si="225">P139/O139</f>
        <v>0.87481786143557405</v>
      </c>
      <c r="R139" s="158">
        <f>SUM(R140:R141)</f>
        <v>3653.5550000000003</v>
      </c>
      <c r="S139" s="158">
        <f>SUM(S140:S141)</f>
        <v>3268.5230299999998</v>
      </c>
      <c r="T139" s="160">
        <f t="shared" ref="T139:T144" si="226">S139/R139</f>
        <v>0.89461443169734667</v>
      </c>
      <c r="U139" s="158">
        <f t="shared" ref="U139:AR139" si="227">SUM(U140:U141)</f>
        <v>3672.759</v>
      </c>
      <c r="V139" s="158">
        <f t="shared" si="227"/>
        <v>3113.3123900000001</v>
      </c>
      <c r="W139" s="160">
        <f t="shared" ref="W139:W144" si="228">V139/U139</f>
        <v>0.84767674383208913</v>
      </c>
      <c r="X139" s="158">
        <f t="shared" si="227"/>
        <v>211.86523999999986</v>
      </c>
      <c r="Y139" s="158">
        <f t="shared" si="227"/>
        <v>682.16754000000003</v>
      </c>
      <c r="Z139" s="160">
        <f t="shared" ref="Z139:Z144" si="229">Y139/X139</f>
        <v>3.2198181258992769</v>
      </c>
      <c r="AA139" s="158">
        <f t="shared" si="227"/>
        <v>0</v>
      </c>
      <c r="AB139" s="158">
        <f t="shared" si="227"/>
        <v>166.13200000000001</v>
      </c>
      <c r="AC139" s="160"/>
      <c r="AD139" s="158">
        <f t="shared" si="227"/>
        <v>0</v>
      </c>
      <c r="AE139" s="158">
        <f t="shared" si="227"/>
        <v>0</v>
      </c>
      <c r="AF139" s="158">
        <f t="shared" si="227"/>
        <v>0</v>
      </c>
      <c r="AG139" s="158">
        <f t="shared" si="227"/>
        <v>0</v>
      </c>
      <c r="AH139" s="158">
        <f t="shared" si="227"/>
        <v>1342.82935</v>
      </c>
      <c r="AI139" s="160" t="e">
        <f t="shared" ref="AI139:AI144" si="230">AH139/AG139</f>
        <v>#DIV/0!</v>
      </c>
      <c r="AJ139" s="158">
        <f t="shared" si="227"/>
        <v>4652.5550000000003</v>
      </c>
      <c r="AK139" s="158">
        <f t="shared" si="227"/>
        <v>0</v>
      </c>
      <c r="AL139" s="160">
        <f t="shared" ref="AL139:AL144" si="231">AK139/AJ139</f>
        <v>0</v>
      </c>
      <c r="AM139" s="158">
        <f t="shared" si="227"/>
        <v>4653.5550000000003</v>
      </c>
      <c r="AN139" s="158">
        <f t="shared" si="227"/>
        <v>0</v>
      </c>
      <c r="AO139" s="160">
        <f t="shared" ref="AO139:AO144" si="232">AN139/AM139</f>
        <v>0</v>
      </c>
      <c r="AP139" s="158">
        <f t="shared" si="227"/>
        <v>6919.7912400000005</v>
      </c>
      <c r="AQ139" s="156">
        <f t="shared" si="227"/>
        <v>0</v>
      </c>
      <c r="AR139" s="156">
        <f t="shared" si="227"/>
        <v>0</v>
      </c>
      <c r="AS139" s="301" t="s">
        <v>415</v>
      </c>
      <c r="AT139" s="298"/>
      <c r="AU139" s="116">
        <f t="shared" si="122"/>
        <v>17524.21501</v>
      </c>
      <c r="AV139" s="116">
        <f t="shared" si="122"/>
        <v>17524.21501</v>
      </c>
      <c r="AW139" s="168">
        <f t="shared" si="106"/>
        <v>1</v>
      </c>
      <c r="AX139" s="117">
        <f t="shared" ref="AX139:AX144" si="233">I139+L139+O139</f>
        <v>9986.0357700000004</v>
      </c>
      <c r="AY139" s="117">
        <f t="shared" ref="AY139:AY144" si="234">R139+U139+X139</f>
        <v>7538.1792400000004</v>
      </c>
      <c r="AZ139" s="117">
        <f t="shared" si="107"/>
        <v>0</v>
      </c>
      <c r="BA139" s="117">
        <f t="shared" si="108"/>
        <v>16225.901240000001</v>
      </c>
    </row>
    <row r="140" spans="1:53" ht="21.75" customHeight="1">
      <c r="A140" s="305"/>
      <c r="B140" s="307"/>
      <c r="C140" s="240"/>
      <c r="D140" s="246"/>
      <c r="E140" s="155" t="s">
        <v>3</v>
      </c>
      <c r="F140" s="158">
        <f t="shared" si="221"/>
        <v>0</v>
      </c>
      <c r="G140" s="158">
        <f t="shared" si="221"/>
        <v>0</v>
      </c>
      <c r="H140" s="160"/>
      <c r="I140" s="158"/>
      <c r="J140" s="156"/>
      <c r="K140" s="160"/>
      <c r="L140" s="158"/>
      <c r="M140" s="158"/>
      <c r="N140" s="160"/>
      <c r="O140" s="158"/>
      <c r="P140" s="158"/>
      <c r="Q140" s="160"/>
      <c r="R140" s="158"/>
      <c r="S140" s="158"/>
      <c r="T140" s="160"/>
      <c r="U140" s="161"/>
      <c r="V140" s="161"/>
      <c r="W140" s="160"/>
      <c r="X140" s="161"/>
      <c r="Y140" s="161"/>
      <c r="Z140" s="160"/>
      <c r="AA140" s="161"/>
      <c r="AB140" s="161"/>
      <c r="AC140" s="160"/>
      <c r="AD140" s="161"/>
      <c r="AE140" s="161"/>
      <c r="AF140" s="161"/>
      <c r="AG140" s="161"/>
      <c r="AH140" s="161"/>
      <c r="AI140" s="160"/>
      <c r="AJ140" s="158"/>
      <c r="AK140" s="158"/>
      <c r="AL140" s="160"/>
      <c r="AM140" s="161"/>
      <c r="AN140" s="161"/>
      <c r="AO140" s="160"/>
      <c r="AP140" s="158"/>
      <c r="AQ140" s="156"/>
      <c r="AR140" s="156"/>
      <c r="AS140" s="302"/>
      <c r="AT140" s="299"/>
      <c r="AU140" s="116">
        <f t="shared" si="122"/>
        <v>0</v>
      </c>
      <c r="AV140" s="116">
        <f t="shared" si="122"/>
        <v>0</v>
      </c>
      <c r="AW140" s="168"/>
      <c r="AX140" s="117">
        <f t="shared" si="233"/>
        <v>0</v>
      </c>
      <c r="AY140" s="117">
        <f t="shared" si="234"/>
        <v>0</v>
      </c>
      <c r="AZ140" s="117">
        <f t="shared" si="107"/>
        <v>0</v>
      </c>
      <c r="BA140" s="117">
        <f t="shared" si="108"/>
        <v>0</v>
      </c>
    </row>
    <row r="141" spans="1:53" ht="27.75" customHeight="1">
      <c r="A141" s="305"/>
      <c r="B141" s="308"/>
      <c r="C141" s="241"/>
      <c r="D141" s="247"/>
      <c r="E141" s="155" t="s">
        <v>44</v>
      </c>
      <c r="F141" s="158">
        <f t="shared" si="221"/>
        <v>33750.116249999999</v>
      </c>
      <c r="G141" s="158">
        <f t="shared" si="221"/>
        <v>17524.21501</v>
      </c>
      <c r="H141" s="160">
        <f t="shared" si="222"/>
        <v>0.51923421182290008</v>
      </c>
      <c r="I141" s="158">
        <f>2203+20.2+92.371</f>
        <v>2315.5709999999999</v>
      </c>
      <c r="J141" s="156"/>
      <c r="K141" s="160">
        <f t="shared" si="223"/>
        <v>0</v>
      </c>
      <c r="L141" s="158">
        <f>3504+343.74477+57.184+92.371</f>
        <v>3997.2997700000005</v>
      </c>
      <c r="M141" s="158">
        <v>5737.9003499999999</v>
      </c>
      <c r="N141" s="160">
        <f t="shared" si="224"/>
        <v>1.4354440948020266</v>
      </c>
      <c r="O141" s="158">
        <f>3504+76.794+92.371</f>
        <v>3673.165</v>
      </c>
      <c r="P141" s="158">
        <v>3213.3503500000002</v>
      </c>
      <c r="Q141" s="160">
        <f t="shared" si="225"/>
        <v>0.87481786143557405</v>
      </c>
      <c r="R141" s="158">
        <f>3504+57.184+92.371</f>
        <v>3653.5550000000003</v>
      </c>
      <c r="S141" s="158">
        <v>3268.5230299999998</v>
      </c>
      <c r="T141" s="160">
        <f t="shared" si="226"/>
        <v>0.89461443169734667</v>
      </c>
      <c r="U141" s="161">
        <f>3503+77.388+92.371</f>
        <v>3672.759</v>
      </c>
      <c r="V141" s="161">
        <v>3113.3123900000001</v>
      </c>
      <c r="W141" s="160">
        <f t="shared" si="228"/>
        <v>0.84767674383208913</v>
      </c>
      <c r="X141" s="161">
        <f>1362+16.771+349.90016-1516.80592</f>
        <v>211.86523999999986</v>
      </c>
      <c r="Y141" s="161">
        <v>682.16754000000003</v>
      </c>
      <c r="Z141" s="160">
        <f t="shared" si="229"/>
        <v>3.2198181258992769</v>
      </c>
      <c r="AA141" s="161"/>
      <c r="AB141" s="161">
        <v>166.13200000000001</v>
      </c>
      <c r="AC141" s="160"/>
      <c r="AD141" s="161"/>
      <c r="AE141" s="161"/>
      <c r="AF141" s="161"/>
      <c r="AG141" s="187">
        <f>2898.55+20.81+92.371-3011.731</f>
        <v>0</v>
      </c>
      <c r="AH141" s="161">
        <v>1342.82935</v>
      </c>
      <c r="AI141" s="160" t="e">
        <f t="shared" si="230"/>
        <v>#DIV/0!</v>
      </c>
      <c r="AJ141" s="158">
        <f>3503+57.184+92.371+1000</f>
        <v>4652.5550000000003</v>
      </c>
      <c r="AK141" s="158"/>
      <c r="AL141" s="160">
        <f t="shared" si="231"/>
        <v>0</v>
      </c>
      <c r="AM141" s="161">
        <f>3504+57.184+92.371+1000</f>
        <v>4653.5550000000003</v>
      </c>
      <c r="AN141" s="161"/>
      <c r="AO141" s="160">
        <f t="shared" si="232"/>
        <v>0</v>
      </c>
      <c r="AP141" s="158">
        <f>4204.7+94.16945+92.371+0.01387+2528.53692</f>
        <v>6919.7912400000005</v>
      </c>
      <c r="AQ141" s="156"/>
      <c r="AR141" s="156"/>
      <c r="AS141" s="303"/>
      <c r="AT141" s="300"/>
      <c r="AU141" s="116">
        <f t="shared" si="122"/>
        <v>17524.21501</v>
      </c>
      <c r="AV141" s="116">
        <f t="shared" si="122"/>
        <v>17524.21501</v>
      </c>
      <c r="AW141" s="168">
        <f t="shared" ref="AW141:AW144" si="235">(J141+M141+P141+S141+V141+Y141+AB141+AE141+AH141)/(I141+L141+O141+R141+U141+X141+AA141+AD141+AG141)*100%</f>
        <v>1</v>
      </c>
      <c r="AX141" s="117">
        <f t="shared" si="233"/>
        <v>9986.0357700000004</v>
      </c>
      <c r="AY141" s="117">
        <f t="shared" si="234"/>
        <v>7538.1792400000004</v>
      </c>
      <c r="AZ141" s="117">
        <f t="shared" si="107"/>
        <v>0</v>
      </c>
      <c r="BA141" s="117">
        <f t="shared" si="108"/>
        <v>16225.901240000001</v>
      </c>
    </row>
    <row r="142" spans="1:53" s="102" customFormat="1" ht="20.25" customHeight="1">
      <c r="A142" s="309" t="s">
        <v>384</v>
      </c>
      <c r="B142" s="309"/>
      <c r="C142" s="309"/>
      <c r="D142" s="309"/>
      <c r="E142" s="101" t="s">
        <v>42</v>
      </c>
      <c r="F142" s="159">
        <f t="shared" ref="F142:G144" si="236">F8+F11+F14+F17+F20+F23+F26+F29+F32+F35+F38+F48+F51+F56+F59+F62+F65+F68+F73+F77+F80+F83+F87+F90+F93+F98+F101+F106+F109+F112+F115+F118+F121+F124+F129+F134+F139</f>
        <v>1421486.4014899996</v>
      </c>
      <c r="G142" s="159">
        <f t="shared" si="236"/>
        <v>990798.34285000036</v>
      </c>
      <c r="H142" s="111">
        <f t="shared" si="222"/>
        <v>0.69701570258529888</v>
      </c>
      <c r="I142" s="159">
        <f t="shared" ref="I142:J144" si="237">I8+I11+I14+I17+I20+I23+I26+I29+I32+I35+I38+I48+I51+I56+I59+I62+I65+I68+I73+I77+I80+I83+I87+I90+I93+I98+I101+I106+I109+I112+I115+I118+I121+I124+I129+I134+I139</f>
        <v>31818.234999999997</v>
      </c>
      <c r="J142" s="159">
        <f t="shared" si="237"/>
        <v>31046.984339999995</v>
      </c>
      <c r="K142" s="111">
        <f t="shared" si="223"/>
        <v>0.97576073405705877</v>
      </c>
      <c r="L142" s="159">
        <f t="shared" ref="L142:M144" si="238">L8+L11+L14+L17+L20+L23+L26+L29+L32+L35+L38+L48+L51+L56+L59+L62+L65+L68+L73+L77+L80+L83+L87+L90+L93+L98+L101+L106+L109+L112+L115+L118+L121+L124+L129+L134+L139</f>
        <v>114960.95999999998</v>
      </c>
      <c r="M142" s="159">
        <f t="shared" si="238"/>
        <v>106941.52184999999</v>
      </c>
      <c r="N142" s="111">
        <f t="shared" si="224"/>
        <v>0.93024207391796321</v>
      </c>
      <c r="O142" s="159">
        <f t="shared" ref="O142:P144" si="239">O8+O11+O14+O17+O20+O23+O26+O29+O32+O35+O38+O48+O51+O56+O59+O62+O65+O68+O73+O77+O80+O83+O87+O90+O93+O98+O101+O106+O109+O112+O115+O118+O121+O124+O129+O134+O139</f>
        <v>123165.13099999998</v>
      </c>
      <c r="P142" s="159">
        <f t="shared" si="239"/>
        <v>119648.81512999999</v>
      </c>
      <c r="Q142" s="111">
        <f t="shared" si="225"/>
        <v>0.97145039475498962</v>
      </c>
      <c r="R142" s="159">
        <f t="shared" ref="R142:S144" si="240">R8+R11+R14+R17+R20+R23+R26+R29+R32+R35+R38+R48+R51+R56+R59+R62+R65+R68+R73+R77+R80+R83+R87+R90+R93+R98+R101+R106+R109+R112+R115+R118+R121+R124+R129+R134+R139</f>
        <v>132674.986</v>
      </c>
      <c r="S142" s="159">
        <f t="shared" si="240"/>
        <v>125349.22818999999</v>
      </c>
      <c r="T142" s="111">
        <f t="shared" si="226"/>
        <v>0.94478418252857388</v>
      </c>
      <c r="U142" s="159">
        <f t="shared" ref="U142:V144" si="241">U8+U11+U14+U17+U20+U23+U26+U29+U32+U35+U38+U48+U51+U56+U59+U62+U65+U68+U73+U77+U80+U83+U87+U90+U93+U98+U101+U106+U109+U112+U115+U118+U121+U124+U129+U134+U139</f>
        <v>151451.91090000002</v>
      </c>
      <c r="V142" s="159">
        <f t="shared" si="241"/>
        <v>150474.86707000001</v>
      </c>
      <c r="W142" s="111">
        <f t="shared" si="228"/>
        <v>0.99354881807569184</v>
      </c>
      <c r="X142" s="159">
        <f t="shared" ref="X142:Y144" si="242">X8+X11+X14+X17+X20+X23+X26+X29+X32+X35+X38+X48+X51+X56+X59+X62+X65+X68+X73+X77+X80+X83+X87+X90+X93+X98+X101+X106+X109+X112+X115+X118+X121+X124+X129+X134+X139</f>
        <v>195201.16823999997</v>
      </c>
      <c r="Y142" s="159">
        <f t="shared" si="242"/>
        <v>197406.27299000003</v>
      </c>
      <c r="Z142" s="111">
        <f t="shared" si="229"/>
        <v>1.0112965755783228</v>
      </c>
      <c r="AA142" s="159">
        <f t="shared" ref="AA142:AB144" si="243">AA8+AA11+AA14+AA17+AA20+AA23+AA26+AA29+AA32+AA35+AA38+AA48+AA51+AA56+AA59+AA62+AA65+AA68+AA73+AA77+AA80+AA83+AA87+AA90+AA93+AA98+AA101+AA106+AA109+AA112+AA115+AA118+AA121+AA124+AA129+AA134+AA139</f>
        <v>114786.24686000001</v>
      </c>
      <c r="AB142" s="159">
        <f t="shared" si="243"/>
        <v>116034.97378000001</v>
      </c>
      <c r="AC142" s="111">
        <f t="shared" ref="AC142:AC144" si="244">AB142/AA142</f>
        <v>1.0108787154747121</v>
      </c>
      <c r="AD142" s="159">
        <f t="shared" ref="AD142:AE144" si="245">AD8+AD11+AD14+AD17+AD20+AD23+AD26+AD29+AD32+AD35+AD38+AD48+AD51+AD56+AD59+AD62+AD65+AD68+AD73+AD77+AD80+AD83+AD87+AD90+AD93+AD98+AD101+AD106+AD109+AD112+AD115+AD118+AD121+AD124+AD129+AD134+AD139</f>
        <v>68638.000240000008</v>
      </c>
      <c r="AE142" s="159">
        <f t="shared" si="245"/>
        <v>64717.886849999995</v>
      </c>
      <c r="AF142" s="111">
        <f t="shared" ref="AF142:AF144" si="246">AE142/AD142</f>
        <v>0.94288712700992272</v>
      </c>
      <c r="AG142" s="159">
        <f t="shared" ref="AG142:AH144" si="247">AG8+AG11+AG14+AG17+AG20+AG23+AG26+AG29+AG32+AG35+AG38+AG48+AG51+AG56+AG59+AG62+AG65+AG68+AG73+AG77+AG80+AG83+AG87+AG90+AG93+AG98+AG101+AG106+AG109+AG112+AG115+AG118+AG121+AG124+AG129+AG134+AG139</f>
        <v>73907.906640000001</v>
      </c>
      <c r="AH142" s="159">
        <f t="shared" si="247"/>
        <v>79177.792649999988</v>
      </c>
      <c r="AI142" s="111">
        <f t="shared" si="230"/>
        <v>1.0713034132554886</v>
      </c>
      <c r="AJ142" s="159">
        <f t="shared" ref="AJ142:AK144" si="248">AJ8+AJ11+AJ14+AJ17+AJ20+AJ23+AJ26+AJ29+AJ32+AJ35+AJ38+AJ48+AJ51+AJ56+AJ59+AJ62+AJ65+AJ68+AJ73+AJ77+AJ80+AJ83+AJ87+AJ90+AJ93+AJ98+AJ101+AJ106+AJ109+AJ112+AJ115+AJ118+AJ121+AJ124+AJ129+AJ134+AJ139</f>
        <v>103718.56166000001</v>
      </c>
      <c r="AK142" s="159">
        <f t="shared" si="248"/>
        <v>0</v>
      </c>
      <c r="AL142" s="111">
        <f t="shared" si="231"/>
        <v>0</v>
      </c>
      <c r="AM142" s="159">
        <f t="shared" ref="AM142:AN144" si="249">AM8+AM11+AM14+AM17+AM20+AM23+AM26+AM29+AM32+AM35+AM38+AM48+AM51+AM56+AM59+AM62+AM65+AM68+AM73+AM77+AM80+AM83+AM87+AM90+AM93+AM98+AM101+AM106+AM109+AM112+AM115+AM118+AM121+AM124+AM129+AM134+AM139</f>
        <v>114916.63986</v>
      </c>
      <c r="AN142" s="159">
        <f t="shared" si="249"/>
        <v>0</v>
      </c>
      <c r="AO142" s="111">
        <f t="shared" si="232"/>
        <v>0</v>
      </c>
      <c r="AP142" s="159">
        <f t="shared" ref="AP142:AQ144" si="250">AP8+AP11+AP14+AP17+AP20+AP23+AP26+AP29+AP32+AP35+AP38+AP48+AP51+AP56+AP59+AP62+AP65+AP68+AP73+AP77+AP80+AP83+AP87+AP90+AP93+AP98+AP101+AP106+AP109+AP112+AP115+AP118+AP121+AP124+AP129+AP134+AP139</f>
        <v>196246.65509000001</v>
      </c>
      <c r="AQ142" s="159">
        <f t="shared" si="250"/>
        <v>0</v>
      </c>
      <c r="AR142" s="111">
        <f t="shared" ref="AR142:AR144" si="251">AQ142/AP142</f>
        <v>0</v>
      </c>
      <c r="AS142" s="103"/>
      <c r="AT142" s="103"/>
      <c r="AU142" s="116">
        <f t="shared" si="122"/>
        <v>1006604.5448799999</v>
      </c>
      <c r="AV142" s="116">
        <f t="shared" si="122"/>
        <v>990798.3428499999</v>
      </c>
      <c r="AW142" s="168">
        <f t="shared" si="235"/>
        <v>0.98429750579768704</v>
      </c>
      <c r="AX142" s="117">
        <f t="shared" si="233"/>
        <v>269944.32599999994</v>
      </c>
      <c r="AY142" s="117">
        <f t="shared" si="234"/>
        <v>479328.06514000002</v>
      </c>
      <c r="AZ142" s="117">
        <f t="shared" ref="AZ142:AZ144" si="252">AA142+AD142+AG142</f>
        <v>257332.15374000004</v>
      </c>
      <c r="BA142" s="117">
        <f t="shared" ref="BA142:BA144" si="253">AJ142+AM142+AP142</f>
        <v>414881.85661000002</v>
      </c>
    </row>
    <row r="143" spans="1:53" s="102" customFormat="1" ht="24">
      <c r="A143" s="309"/>
      <c r="B143" s="309"/>
      <c r="C143" s="309"/>
      <c r="D143" s="309"/>
      <c r="E143" s="104" t="s">
        <v>3</v>
      </c>
      <c r="F143" s="159">
        <f t="shared" si="236"/>
        <v>1163541.6413599998</v>
      </c>
      <c r="G143" s="159">
        <f t="shared" si="236"/>
        <v>816859.31264000002</v>
      </c>
      <c r="H143" s="111">
        <f t="shared" si="222"/>
        <v>0.70204561968681944</v>
      </c>
      <c r="I143" s="159">
        <f t="shared" si="237"/>
        <v>23179.773000000001</v>
      </c>
      <c r="J143" s="159">
        <f t="shared" si="237"/>
        <v>23172.677299999999</v>
      </c>
      <c r="K143" s="111">
        <f t="shared" si="223"/>
        <v>0.9996938839737558</v>
      </c>
      <c r="L143" s="159">
        <f t="shared" si="238"/>
        <v>90642.8</v>
      </c>
      <c r="M143" s="159">
        <f t="shared" si="238"/>
        <v>83521.308900000004</v>
      </c>
      <c r="N143" s="111">
        <f t="shared" si="224"/>
        <v>0.92143346079335586</v>
      </c>
      <c r="O143" s="159">
        <f t="shared" si="239"/>
        <v>96956.900000000009</v>
      </c>
      <c r="P143" s="159">
        <f t="shared" si="239"/>
        <v>95630.077200000014</v>
      </c>
      <c r="Q143" s="111">
        <f t="shared" si="225"/>
        <v>0.98631533392672421</v>
      </c>
      <c r="R143" s="159">
        <f t="shared" si="240"/>
        <v>107623.94200000001</v>
      </c>
      <c r="S143" s="159">
        <f t="shared" si="240"/>
        <v>98772.577600000004</v>
      </c>
      <c r="T143" s="111">
        <f t="shared" si="226"/>
        <v>0.91775654900282311</v>
      </c>
      <c r="U143" s="159">
        <f t="shared" si="241"/>
        <v>128070.98</v>
      </c>
      <c r="V143" s="159">
        <f t="shared" si="241"/>
        <v>130763.55324000001</v>
      </c>
      <c r="W143" s="111">
        <f t="shared" si="228"/>
        <v>1.0210240699337196</v>
      </c>
      <c r="X143" s="159">
        <f t="shared" si="242"/>
        <v>176586.43999999997</v>
      </c>
      <c r="Y143" s="159">
        <f t="shared" si="242"/>
        <v>177593.64317999996</v>
      </c>
      <c r="Z143" s="111">
        <f t="shared" si="229"/>
        <v>1.0057037402192375</v>
      </c>
      <c r="AA143" s="159">
        <f t="shared" si="243"/>
        <v>90533.077999999994</v>
      </c>
      <c r="AB143" s="159">
        <f t="shared" si="243"/>
        <v>91409.118560000003</v>
      </c>
      <c r="AC143" s="111">
        <f t="shared" si="244"/>
        <v>1.009676469411545</v>
      </c>
      <c r="AD143" s="159">
        <f t="shared" si="245"/>
        <v>52367.705000000002</v>
      </c>
      <c r="AE143" s="159">
        <f t="shared" si="245"/>
        <v>49936.425299999995</v>
      </c>
      <c r="AF143" s="111">
        <f t="shared" si="246"/>
        <v>0.95357291865282223</v>
      </c>
      <c r="AG143" s="159">
        <f t="shared" si="247"/>
        <v>63704.600719999995</v>
      </c>
      <c r="AH143" s="159">
        <f t="shared" si="247"/>
        <v>66059.931360000002</v>
      </c>
      <c r="AI143" s="111">
        <f t="shared" si="230"/>
        <v>1.0369726929198153</v>
      </c>
      <c r="AJ143" s="159">
        <f t="shared" si="248"/>
        <v>80197.007809999996</v>
      </c>
      <c r="AK143" s="159">
        <f t="shared" si="248"/>
        <v>0</v>
      </c>
      <c r="AL143" s="111">
        <f t="shared" si="231"/>
        <v>0</v>
      </c>
      <c r="AM143" s="159">
        <f t="shared" si="249"/>
        <v>94265.502089999994</v>
      </c>
      <c r="AN143" s="159">
        <f t="shared" si="249"/>
        <v>0</v>
      </c>
      <c r="AO143" s="111">
        <f t="shared" si="232"/>
        <v>0</v>
      </c>
      <c r="AP143" s="159">
        <f t="shared" si="250"/>
        <v>159412.91274</v>
      </c>
      <c r="AQ143" s="159">
        <f t="shared" si="250"/>
        <v>0</v>
      </c>
      <c r="AR143" s="111">
        <f t="shared" si="251"/>
        <v>0</v>
      </c>
      <c r="AS143" s="103"/>
      <c r="AT143" s="103"/>
      <c r="AU143" s="116">
        <f t="shared" si="122"/>
        <v>829666.21871999989</v>
      </c>
      <c r="AV143" s="116">
        <f t="shared" si="122"/>
        <v>816859.31264000002</v>
      </c>
      <c r="AW143" s="168">
        <f t="shared" si="235"/>
        <v>0.98456378506074615</v>
      </c>
      <c r="AX143" s="117">
        <f t="shared" si="233"/>
        <v>210779.473</v>
      </c>
      <c r="AY143" s="117">
        <f t="shared" si="234"/>
        <v>412281.36199999996</v>
      </c>
      <c r="AZ143" s="117">
        <f t="shared" si="252"/>
        <v>206605.38371999998</v>
      </c>
      <c r="BA143" s="117">
        <f t="shared" si="253"/>
        <v>333875.42264</v>
      </c>
    </row>
    <row r="144" spans="1:53" s="102" customFormat="1" ht="18.75">
      <c r="A144" s="309"/>
      <c r="B144" s="309"/>
      <c r="C144" s="309"/>
      <c r="D144" s="309"/>
      <c r="E144" s="104" t="s">
        <v>44</v>
      </c>
      <c r="F144" s="159">
        <f t="shared" si="236"/>
        <v>257944.76013000001</v>
      </c>
      <c r="G144" s="159">
        <f t="shared" si="236"/>
        <v>173939.03021</v>
      </c>
      <c r="H144" s="111">
        <f t="shared" si="222"/>
        <v>0.67432666638522731</v>
      </c>
      <c r="I144" s="159">
        <f t="shared" si="237"/>
        <v>8638.4619999999995</v>
      </c>
      <c r="J144" s="159">
        <f t="shared" si="237"/>
        <v>7874.3070399999997</v>
      </c>
      <c r="K144" s="111">
        <f t="shared" si="223"/>
        <v>0.91154039225964067</v>
      </c>
      <c r="L144" s="159">
        <f t="shared" si="238"/>
        <v>24318.16</v>
      </c>
      <c r="M144" s="159">
        <f t="shared" si="238"/>
        <v>23420.212950000001</v>
      </c>
      <c r="N144" s="111">
        <f t="shared" si="224"/>
        <v>0.96307504145050449</v>
      </c>
      <c r="O144" s="159">
        <f t="shared" si="239"/>
        <v>26208.231000000007</v>
      </c>
      <c r="P144" s="159">
        <f t="shared" si="239"/>
        <v>24018.737930000007</v>
      </c>
      <c r="Q144" s="111">
        <f t="shared" si="225"/>
        <v>0.91645780785433406</v>
      </c>
      <c r="R144" s="159">
        <f t="shared" si="240"/>
        <v>25051.044000000002</v>
      </c>
      <c r="S144" s="159">
        <f t="shared" si="240"/>
        <v>26576.650589999997</v>
      </c>
      <c r="T144" s="111">
        <f t="shared" si="226"/>
        <v>1.0608999205781602</v>
      </c>
      <c r="U144" s="159">
        <f t="shared" si="241"/>
        <v>23380.930899999999</v>
      </c>
      <c r="V144" s="159">
        <f t="shared" si="241"/>
        <v>19711.313829999996</v>
      </c>
      <c r="W144" s="111">
        <f t="shared" si="228"/>
        <v>0.84305085688440218</v>
      </c>
      <c r="X144" s="159">
        <f t="shared" si="242"/>
        <v>18614.72824</v>
      </c>
      <c r="Y144" s="159">
        <f t="shared" si="242"/>
        <v>19812.629810000002</v>
      </c>
      <c r="Z144" s="111">
        <f t="shared" si="229"/>
        <v>1.064352353392187</v>
      </c>
      <c r="AA144" s="159">
        <f t="shared" si="243"/>
        <v>24253.168859999998</v>
      </c>
      <c r="AB144" s="159">
        <f t="shared" si="243"/>
        <v>24625.855220000005</v>
      </c>
      <c r="AC144" s="111">
        <f t="shared" si="244"/>
        <v>1.0153665016786597</v>
      </c>
      <c r="AD144" s="159">
        <f t="shared" si="245"/>
        <v>16270.295240000001</v>
      </c>
      <c r="AE144" s="159">
        <f t="shared" si="245"/>
        <v>14781.46155</v>
      </c>
      <c r="AF144" s="111">
        <f t="shared" si="246"/>
        <v>0.90849375084849404</v>
      </c>
      <c r="AG144" s="159">
        <f t="shared" si="247"/>
        <v>10203.305920000001</v>
      </c>
      <c r="AH144" s="159">
        <f t="shared" si="247"/>
        <v>13117.861289999999</v>
      </c>
      <c r="AI144" s="111">
        <f t="shared" si="230"/>
        <v>1.285648141185989</v>
      </c>
      <c r="AJ144" s="159">
        <f t="shared" si="248"/>
        <v>23521.55385</v>
      </c>
      <c r="AK144" s="159">
        <f t="shared" si="248"/>
        <v>0</v>
      </c>
      <c r="AL144" s="111">
        <f t="shared" si="231"/>
        <v>0</v>
      </c>
      <c r="AM144" s="159">
        <f t="shared" si="249"/>
        <v>20651.137770000001</v>
      </c>
      <c r="AN144" s="159">
        <f t="shared" si="249"/>
        <v>0</v>
      </c>
      <c r="AO144" s="111">
        <f t="shared" si="232"/>
        <v>0</v>
      </c>
      <c r="AP144" s="159">
        <f t="shared" si="250"/>
        <v>36833.74235</v>
      </c>
      <c r="AQ144" s="159">
        <f t="shared" si="250"/>
        <v>0</v>
      </c>
      <c r="AR144" s="111">
        <f t="shared" si="251"/>
        <v>0</v>
      </c>
      <c r="AS144" s="103"/>
      <c r="AT144" s="103"/>
      <c r="AU144" s="116">
        <f t="shared" si="122"/>
        <v>176938.32616000003</v>
      </c>
      <c r="AV144" s="116">
        <f t="shared" si="122"/>
        <v>173939.03021000003</v>
      </c>
      <c r="AW144" s="168">
        <f t="shared" si="235"/>
        <v>0.98304891871030908</v>
      </c>
      <c r="AX144" s="117">
        <f t="shared" si="233"/>
        <v>59164.85300000001</v>
      </c>
      <c r="AY144" s="117">
        <f t="shared" si="234"/>
        <v>67046.703139999998</v>
      </c>
      <c r="AZ144" s="117">
        <f t="shared" si="252"/>
        <v>50726.770019999996</v>
      </c>
      <c r="BA144" s="117">
        <f t="shared" si="253"/>
        <v>81006.433969999998</v>
      </c>
    </row>
    <row r="145" spans="1:53" s="102" customFormat="1" ht="18.75">
      <c r="A145" s="309"/>
      <c r="B145" s="309"/>
      <c r="C145" s="309"/>
      <c r="D145" s="309"/>
      <c r="E145" s="104" t="s">
        <v>418</v>
      </c>
      <c r="F145" s="159"/>
      <c r="G145" s="159">
        <f>G76+G86</f>
        <v>6174.3293300000005</v>
      </c>
      <c r="H145" s="111"/>
      <c r="I145" s="159">
        <f>I76</f>
        <v>0</v>
      </c>
      <c r="J145" s="159">
        <f t="shared" ref="J145:AP145" si="254">J76</f>
        <v>0</v>
      </c>
      <c r="K145" s="159">
        <f t="shared" si="254"/>
        <v>0</v>
      </c>
      <c r="L145" s="159">
        <f t="shared" si="254"/>
        <v>0</v>
      </c>
      <c r="M145" s="159">
        <f t="shared" si="254"/>
        <v>0</v>
      </c>
      <c r="N145" s="159">
        <f t="shared" si="254"/>
        <v>0</v>
      </c>
      <c r="O145" s="159">
        <f t="shared" si="254"/>
        <v>0</v>
      </c>
      <c r="P145" s="159">
        <f t="shared" si="254"/>
        <v>0</v>
      </c>
      <c r="Q145" s="159">
        <f t="shared" si="254"/>
        <v>0</v>
      </c>
      <c r="R145" s="159">
        <f t="shared" si="254"/>
        <v>0</v>
      </c>
      <c r="S145" s="159">
        <f>S76+S86</f>
        <v>3720.1837500000001</v>
      </c>
      <c r="T145" s="159">
        <f t="shared" si="254"/>
        <v>0</v>
      </c>
      <c r="U145" s="159">
        <f t="shared" si="254"/>
        <v>0</v>
      </c>
      <c r="V145" s="159">
        <f>V76+V86</f>
        <v>0</v>
      </c>
      <c r="W145" s="159">
        <f t="shared" si="254"/>
        <v>0</v>
      </c>
      <c r="X145" s="159">
        <f t="shared" si="254"/>
        <v>0</v>
      </c>
      <c r="Y145" s="159">
        <f>Y76+Y86</f>
        <v>0</v>
      </c>
      <c r="Z145" s="159">
        <f t="shared" si="254"/>
        <v>0</v>
      </c>
      <c r="AA145" s="159">
        <f t="shared" si="254"/>
        <v>0</v>
      </c>
      <c r="AB145" s="159">
        <f>AB76+AB86</f>
        <v>296.78550000000001</v>
      </c>
      <c r="AC145" s="159">
        <f t="shared" si="254"/>
        <v>0</v>
      </c>
      <c r="AD145" s="159">
        <f t="shared" si="254"/>
        <v>0</v>
      </c>
      <c r="AE145" s="159">
        <f>AE76+AE86</f>
        <v>0</v>
      </c>
      <c r="AF145" s="159">
        <f t="shared" si="254"/>
        <v>0</v>
      </c>
      <c r="AG145" s="159">
        <f t="shared" si="254"/>
        <v>0</v>
      </c>
      <c r="AH145" s="159">
        <f>AH76+AH86</f>
        <v>2157.3600799999999</v>
      </c>
      <c r="AI145" s="159">
        <f t="shared" si="254"/>
        <v>0</v>
      </c>
      <c r="AJ145" s="159">
        <f t="shared" si="254"/>
        <v>0</v>
      </c>
      <c r="AK145" s="159">
        <f t="shared" si="254"/>
        <v>0</v>
      </c>
      <c r="AL145" s="159">
        <f t="shared" si="254"/>
        <v>0</v>
      </c>
      <c r="AM145" s="159">
        <f t="shared" si="254"/>
        <v>0</v>
      </c>
      <c r="AN145" s="159">
        <f t="shared" si="254"/>
        <v>0</v>
      </c>
      <c r="AO145" s="159">
        <f t="shared" si="254"/>
        <v>0</v>
      </c>
      <c r="AP145" s="159">
        <f t="shared" si="254"/>
        <v>0</v>
      </c>
      <c r="AQ145" s="159"/>
      <c r="AR145" s="111"/>
      <c r="AS145" s="103"/>
      <c r="AT145" s="103"/>
      <c r="AU145" s="116">
        <f t="shared" si="122"/>
        <v>0</v>
      </c>
      <c r="AV145" s="116">
        <f t="shared" si="122"/>
        <v>6174.3293300000005</v>
      </c>
      <c r="AW145" s="168"/>
      <c r="AX145" s="117"/>
      <c r="AY145" s="117"/>
      <c r="AZ145" s="117"/>
      <c r="BA145" s="117"/>
    </row>
    <row r="146" spans="1:53" s="102" customFormat="1" ht="15">
      <c r="A146" s="125"/>
      <c r="B146" s="125"/>
      <c r="C146" s="126"/>
      <c r="D146" s="125"/>
      <c r="E146" s="188"/>
      <c r="F146" s="127"/>
      <c r="G146" s="127"/>
      <c r="H146" s="128"/>
      <c r="I146" s="127"/>
      <c r="J146" s="127"/>
      <c r="K146" s="128"/>
      <c r="L146" s="127"/>
      <c r="M146" s="127"/>
      <c r="N146" s="128"/>
      <c r="O146" s="127"/>
      <c r="P146" s="127"/>
      <c r="Q146" s="128"/>
      <c r="R146" s="127"/>
      <c r="S146" s="127"/>
      <c r="T146" s="128"/>
      <c r="U146" s="127"/>
      <c r="V146" s="127"/>
      <c r="W146" s="128"/>
      <c r="X146" s="127"/>
      <c r="Y146" s="127"/>
      <c r="Z146" s="128"/>
      <c r="AA146" s="127"/>
      <c r="AB146" s="127"/>
      <c r="AC146" s="128"/>
      <c r="AD146" s="127"/>
      <c r="AE146" s="127"/>
      <c r="AF146" s="128"/>
      <c r="AG146" s="127"/>
      <c r="AH146" s="127"/>
      <c r="AI146" s="128"/>
      <c r="AJ146" s="127"/>
      <c r="AK146" s="127"/>
      <c r="AL146" s="128"/>
      <c r="AM146" s="127"/>
      <c r="AN146" s="127"/>
      <c r="AO146" s="128"/>
      <c r="AP146" s="127"/>
      <c r="AQ146" s="127"/>
      <c r="AR146" s="128"/>
      <c r="AS146" s="129"/>
      <c r="AT146" s="129"/>
      <c r="AU146" s="129"/>
      <c r="AV146" s="129"/>
      <c r="AW146" s="153"/>
      <c r="AX146" s="100"/>
      <c r="AY146" s="100"/>
      <c r="AZ146" s="100"/>
      <c r="BA146" s="100"/>
    </row>
    <row r="147" spans="1:53" s="135" customFormat="1" ht="68.25" customHeight="1">
      <c r="A147" s="130"/>
      <c r="B147" s="131" t="s">
        <v>402</v>
      </c>
      <c r="C147" s="131"/>
      <c r="D147" s="131"/>
      <c r="E147" s="132"/>
      <c r="F147" s="133" t="s">
        <v>403</v>
      </c>
      <c r="G147" s="134"/>
      <c r="H147" s="130"/>
      <c r="J147" s="136"/>
      <c r="K147" s="136"/>
      <c r="L147" s="136"/>
      <c r="M147" s="136"/>
      <c r="N147" s="136"/>
      <c r="O147" s="131"/>
      <c r="P147" s="131"/>
      <c r="Q147" s="137" t="s">
        <v>417</v>
      </c>
      <c r="R147" s="131"/>
      <c r="S147" s="96"/>
      <c r="T147" s="96"/>
      <c r="U147" s="138"/>
      <c r="V147" s="138"/>
      <c r="W147" s="138"/>
      <c r="X147" s="137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53"/>
      <c r="AU147" s="153"/>
      <c r="AV147" s="153"/>
      <c r="AW147" s="153"/>
      <c r="AX147" s="185">
        <f>AX135+AY135+AJ135+AM135</f>
        <v>38686.087</v>
      </c>
    </row>
    <row r="148" spans="1:53" s="135" customFormat="1" ht="86.25" hidden="1" customHeight="1">
      <c r="A148" s="130"/>
      <c r="B148" s="131" t="s">
        <v>404</v>
      </c>
      <c r="C148" s="131"/>
      <c r="D148" s="131"/>
      <c r="E148" s="132"/>
      <c r="F148" s="133" t="s">
        <v>431</v>
      </c>
      <c r="G148" s="140"/>
      <c r="H148" s="141"/>
      <c r="J148" s="136"/>
      <c r="K148" s="136"/>
      <c r="L148" s="136"/>
      <c r="M148" s="136"/>
      <c r="N148" s="136"/>
      <c r="O148" s="131"/>
      <c r="P148" s="131"/>
      <c r="R148" s="131"/>
      <c r="S148" s="96"/>
      <c r="T148" s="96"/>
      <c r="U148" s="138"/>
      <c r="V148" s="138"/>
      <c r="W148" s="138"/>
      <c r="X148" s="138"/>
      <c r="Y148" s="138"/>
      <c r="Z148" s="138"/>
      <c r="AA148" s="179" t="s">
        <v>417</v>
      </c>
      <c r="AB148" s="138"/>
      <c r="AC148" s="138"/>
      <c r="AD148" s="138"/>
      <c r="AE148" s="138"/>
      <c r="AF148" s="138"/>
      <c r="AG148" s="138"/>
      <c r="AH148" s="138"/>
      <c r="AI148" s="138"/>
      <c r="AJ148" s="141"/>
      <c r="AK148" s="141"/>
      <c r="AL148" s="141"/>
      <c r="AM148" s="141"/>
      <c r="AN148" s="141"/>
      <c r="AO148" s="141"/>
      <c r="AP148" s="141"/>
      <c r="AQ148" s="142"/>
      <c r="AR148" s="142"/>
      <c r="AS148" s="142"/>
      <c r="AT148" s="153"/>
      <c r="AU148" s="153"/>
      <c r="AV148" s="153"/>
      <c r="AW148" s="153"/>
      <c r="AX148" s="185">
        <f t="shared" ref="AX148" si="255">AX136+AY136+AJ136</f>
        <v>997.71199999999999</v>
      </c>
    </row>
    <row r="149" spans="1:53" ht="80.25" customHeight="1">
      <c r="A149" s="130"/>
      <c r="B149" s="131" t="s">
        <v>405</v>
      </c>
      <c r="C149" s="131"/>
      <c r="D149" s="131"/>
      <c r="E149" s="132"/>
      <c r="F149" s="133" t="s">
        <v>406</v>
      </c>
      <c r="G149" s="133"/>
      <c r="H149" s="131"/>
      <c r="I149" s="135"/>
      <c r="J149" s="136"/>
      <c r="K149" s="136"/>
      <c r="L149" s="136"/>
      <c r="M149" s="136"/>
      <c r="N149" s="136"/>
      <c r="O149" s="131"/>
      <c r="P149" s="131"/>
      <c r="Q149" s="139" t="s">
        <v>407</v>
      </c>
      <c r="R149" s="131"/>
      <c r="S149" s="96"/>
      <c r="T149" s="96"/>
      <c r="U149" s="138"/>
      <c r="V149" s="138"/>
      <c r="W149" s="138"/>
      <c r="X149" s="139"/>
      <c r="Y149" s="138"/>
      <c r="Z149" s="138"/>
      <c r="AA149" s="139"/>
      <c r="AB149" s="138"/>
      <c r="AC149" s="138"/>
      <c r="AD149" s="138"/>
      <c r="AE149" s="138"/>
      <c r="AF149" s="138"/>
      <c r="AG149" s="138"/>
      <c r="AH149" s="138"/>
      <c r="AI149" s="138"/>
      <c r="AJ149" s="96">
        <f>AJ148+AM148+AP148</f>
        <v>0</v>
      </c>
      <c r="AK149" s="96"/>
      <c r="AL149" s="96"/>
      <c r="AM149" s="138"/>
      <c r="AN149" s="138"/>
      <c r="AO149" s="138"/>
      <c r="AP149" s="142"/>
      <c r="AQ149" s="142"/>
      <c r="AR149" s="142"/>
      <c r="AS149" s="142"/>
      <c r="AT149" s="153"/>
      <c r="AU149" s="153"/>
      <c r="AV149" s="153"/>
      <c r="AX149" s="185">
        <f>AX136+AY136+AJ136+AM136</f>
        <v>997.71199999999999</v>
      </c>
    </row>
    <row r="150" spans="1:53" ht="45" hidden="1" customHeight="1">
      <c r="A150" s="105"/>
      <c r="B150" s="96" t="s">
        <v>408</v>
      </c>
      <c r="C150" s="96"/>
      <c r="D150" s="96"/>
      <c r="E150" s="143"/>
      <c r="F150" s="144" t="s">
        <v>409</v>
      </c>
      <c r="G150" s="145"/>
      <c r="H150" s="96"/>
      <c r="I150" s="152"/>
      <c r="J150" s="142"/>
      <c r="K150" s="142"/>
      <c r="L150" s="142"/>
      <c r="M150" s="142"/>
      <c r="N150" s="142"/>
      <c r="O150" s="96"/>
      <c r="P150" s="96"/>
      <c r="Q150" s="139" t="s">
        <v>407</v>
      </c>
      <c r="R150" s="96"/>
      <c r="S150" s="96"/>
      <c r="T150" s="96"/>
      <c r="U150" s="138"/>
      <c r="V150" s="138"/>
      <c r="W150" s="138"/>
      <c r="X150" s="138"/>
      <c r="Y150" s="138"/>
      <c r="Z150" s="138"/>
      <c r="AB150" s="138"/>
      <c r="AC150" s="138"/>
      <c r="AD150" s="138"/>
      <c r="AE150" s="138"/>
      <c r="AF150" s="138"/>
      <c r="AG150" s="138"/>
      <c r="AH150" s="138"/>
      <c r="AI150" s="138"/>
      <c r="AJ150" s="96"/>
      <c r="AK150" s="96"/>
      <c r="AL150" s="96"/>
      <c r="AM150" s="138"/>
      <c r="AN150" s="138"/>
      <c r="AO150" s="138"/>
      <c r="AP150" s="142"/>
      <c r="AQ150" s="142"/>
      <c r="AR150" s="142"/>
      <c r="AS150" s="142"/>
      <c r="AT150" s="153"/>
      <c r="AU150" s="153"/>
      <c r="AV150" s="153"/>
    </row>
    <row r="151" spans="1:53" ht="15.75">
      <c r="A151" s="105"/>
      <c r="B151" s="146"/>
      <c r="C151" s="146"/>
      <c r="D151" s="146"/>
      <c r="E151" s="147"/>
      <c r="F151" s="144"/>
      <c r="G151" s="144"/>
      <c r="H151" s="96"/>
      <c r="I151" s="96"/>
      <c r="J151" s="96"/>
      <c r="K151" s="96"/>
      <c r="L151" s="96"/>
      <c r="M151" s="96"/>
      <c r="N151" s="96"/>
      <c r="O151" s="96"/>
      <c r="P151" s="96"/>
      <c r="Q151" s="139" t="s">
        <v>430</v>
      </c>
      <c r="R151" s="96"/>
      <c r="S151" s="96"/>
      <c r="T151" s="96"/>
      <c r="U151" s="138"/>
      <c r="V151" s="138"/>
      <c r="W151" s="138"/>
      <c r="X151" s="139"/>
      <c r="Y151" s="138"/>
      <c r="Z151" s="138"/>
      <c r="AA151" s="139"/>
      <c r="AB151" s="138"/>
      <c r="AC151" s="138"/>
      <c r="AD151" s="138"/>
      <c r="AE151" s="138"/>
      <c r="AF151" s="138"/>
      <c r="AG151" s="138"/>
      <c r="AH151" s="138"/>
      <c r="AI151" s="138"/>
      <c r="AJ151" s="96"/>
      <c r="AK151" s="96"/>
      <c r="AL151" s="96"/>
      <c r="AM151" s="138"/>
      <c r="AN151" s="138"/>
      <c r="AO151" s="138"/>
      <c r="AP151" s="142"/>
      <c r="AQ151" s="142"/>
      <c r="AR151" s="142"/>
      <c r="AS151" s="142"/>
      <c r="AT151" s="153"/>
      <c r="AU151" s="153"/>
      <c r="AV151" s="153"/>
    </row>
    <row r="152" spans="1:53" ht="14.25" customHeight="1">
      <c r="A152" s="304" t="s">
        <v>410</v>
      </c>
      <c r="B152" s="304"/>
      <c r="C152" s="188"/>
      <c r="D152" s="188"/>
      <c r="E152" s="147"/>
      <c r="F152" s="148"/>
      <c r="G152" s="148"/>
      <c r="H152" s="10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138"/>
      <c r="V152" s="138"/>
      <c r="W152" s="138"/>
      <c r="X152" s="138"/>
      <c r="Y152" s="138"/>
      <c r="Z152" s="138"/>
      <c r="AA152" s="139"/>
      <c r="AB152" s="138"/>
      <c r="AC152" s="138"/>
      <c r="AD152" s="138"/>
      <c r="AE152" s="138"/>
      <c r="AF152" s="138"/>
      <c r="AG152" s="138"/>
      <c r="AH152" s="138"/>
      <c r="AI152" s="138"/>
      <c r="AJ152" s="96"/>
      <c r="AK152" s="96"/>
      <c r="AL152" s="96"/>
      <c r="AM152" s="138"/>
      <c r="AN152" s="138"/>
      <c r="AO152" s="138"/>
      <c r="AP152" s="142"/>
      <c r="AQ152" s="142"/>
      <c r="AR152" s="142"/>
      <c r="AS152" s="142"/>
      <c r="AT152" s="153"/>
      <c r="AU152" s="153"/>
      <c r="AV152" s="153"/>
      <c r="AW152" s="157"/>
    </row>
    <row r="153" spans="1:53" ht="15" customHeight="1">
      <c r="A153" s="304" t="s">
        <v>411</v>
      </c>
      <c r="B153" s="304"/>
      <c r="C153" s="304"/>
      <c r="D153" s="304"/>
      <c r="E153" s="304"/>
      <c r="F153" s="304"/>
      <c r="G153" s="304"/>
      <c r="H153" s="304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96"/>
      <c r="AK153" s="96"/>
      <c r="AL153" s="96"/>
      <c r="AM153" s="138"/>
      <c r="AN153" s="138"/>
      <c r="AO153" s="138"/>
      <c r="AP153" s="142"/>
      <c r="AQ153" s="142"/>
      <c r="AR153" s="142"/>
      <c r="AS153" s="142"/>
      <c r="AT153" s="153"/>
      <c r="AU153" s="153"/>
      <c r="AV153" s="153"/>
    </row>
    <row r="154" spans="1:53">
      <c r="G154" s="186"/>
    </row>
    <row r="155" spans="1:53">
      <c r="B155" s="149">
        <v>1</v>
      </c>
      <c r="F155" s="166">
        <f>F8+F11+F14+F17+F20+F23+F26+F29+F32+F35+F38+F48+F51+F98+F101+F129+F139</f>
        <v>1332415.6158399996</v>
      </c>
      <c r="G155" s="166">
        <f>G8+G11+G14+G17+G20+G23+G26+G29+G32+G35+G38+G48+G51+G98+G101+G129+G139</f>
        <v>944714.11687000014</v>
      </c>
      <c r="I155" s="166">
        <f>I8+I11+I14+I17+I20+I23+I26+I29+I32+I35+I38+I48+I51+I98+I101+I129+I139</f>
        <v>31753.734999999997</v>
      </c>
      <c r="J155" s="166"/>
      <c r="K155" s="166"/>
      <c r="L155" s="166">
        <f t="shared" ref="L155:AR155" si="256">L8+L11+L14+L17+L20+L23+L26+L29+L32+L35+L38+L48+L51+L98+L101+L129+L139</f>
        <v>107409.30299999999</v>
      </c>
      <c r="M155" s="166"/>
      <c r="N155" s="166"/>
      <c r="O155" s="166">
        <f t="shared" si="256"/>
        <v>114808.96599999999</v>
      </c>
      <c r="P155" s="166"/>
      <c r="Q155" s="166"/>
      <c r="R155" s="166">
        <f t="shared" si="256"/>
        <v>124344.58900000001</v>
      </c>
      <c r="S155" s="166">
        <f t="shared" si="256"/>
        <v>117892.52975</v>
      </c>
      <c r="T155" s="166">
        <f t="shared" si="256"/>
        <v>10.565596538629361</v>
      </c>
      <c r="U155" s="166">
        <f t="shared" si="256"/>
        <v>137736.46599999999</v>
      </c>
      <c r="V155" s="166">
        <f t="shared" si="256"/>
        <v>143641.36752</v>
      </c>
      <c r="W155" s="166">
        <f t="shared" si="256"/>
        <v>8.5760904459015936</v>
      </c>
      <c r="X155" s="166">
        <f t="shared" si="256"/>
        <v>184182.70523999998</v>
      </c>
      <c r="Y155" s="166">
        <f t="shared" si="256"/>
        <v>185594.33139000001</v>
      </c>
      <c r="Z155" s="166">
        <f t="shared" si="256"/>
        <v>11.763297292125159</v>
      </c>
      <c r="AA155" s="166">
        <f t="shared" si="256"/>
        <v>108436.24686</v>
      </c>
      <c r="AB155" s="166">
        <f t="shared" si="256"/>
        <v>108969.36853000001</v>
      </c>
      <c r="AC155" s="166">
        <f t="shared" si="256"/>
        <v>6.7332312992650163</v>
      </c>
      <c r="AD155" s="166">
        <f t="shared" si="256"/>
        <v>65001.219240000006</v>
      </c>
      <c r="AE155" s="166">
        <f t="shared" si="256"/>
        <v>62012.628660000002</v>
      </c>
      <c r="AF155" s="166">
        <f t="shared" si="256"/>
        <v>7.1052709583474138</v>
      </c>
      <c r="AG155" s="166">
        <f t="shared" si="256"/>
        <v>73779.017309999996</v>
      </c>
      <c r="AH155" s="166">
        <f t="shared" si="256"/>
        <v>76752.010899999994</v>
      </c>
      <c r="AI155" s="166" t="e">
        <f t="shared" si="256"/>
        <v>#DIV/0!</v>
      </c>
      <c r="AJ155" s="166">
        <f t="shared" si="256"/>
        <v>103070.98170999999</v>
      </c>
      <c r="AK155" s="166">
        <f t="shared" si="256"/>
        <v>0</v>
      </c>
      <c r="AL155" s="166" t="e">
        <f t="shared" si="256"/>
        <v>#DIV/0!</v>
      </c>
      <c r="AM155" s="166">
        <f t="shared" si="256"/>
        <v>108823.67749</v>
      </c>
      <c r="AN155" s="166">
        <f t="shared" si="256"/>
        <v>0</v>
      </c>
      <c r="AO155" s="166" t="e">
        <f t="shared" si="256"/>
        <v>#DIV/0!</v>
      </c>
      <c r="AP155" s="166">
        <f t="shared" si="256"/>
        <v>173068.70899000001</v>
      </c>
      <c r="AQ155" s="166">
        <f t="shared" si="256"/>
        <v>0</v>
      </c>
      <c r="AR155" s="166">
        <f t="shared" si="256"/>
        <v>0</v>
      </c>
    </row>
    <row r="156" spans="1:53">
      <c r="B156" s="149">
        <v>2</v>
      </c>
      <c r="F156" s="166">
        <f>F56+F59+F62+F65+F68</f>
        <v>550</v>
      </c>
      <c r="G156" s="166">
        <f>G56+G59+G62+G65+G68</f>
        <v>307.3</v>
      </c>
      <c r="I156" s="166">
        <f>I56+I59+I62+I65+I68</f>
        <v>30</v>
      </c>
      <c r="J156" s="166"/>
      <c r="K156" s="166"/>
      <c r="L156" s="166">
        <f t="shared" ref="L156:AR156" si="257">L56+L59+L62+L65+L68</f>
        <v>0</v>
      </c>
      <c r="M156" s="166"/>
      <c r="N156" s="166"/>
      <c r="O156" s="166">
        <f t="shared" si="257"/>
        <v>269.49</v>
      </c>
      <c r="P156" s="166"/>
      <c r="Q156" s="166"/>
      <c r="R156" s="166">
        <f t="shared" si="257"/>
        <v>142.5</v>
      </c>
      <c r="S156" s="166">
        <f t="shared" si="257"/>
        <v>45</v>
      </c>
      <c r="T156" s="166">
        <f t="shared" si="257"/>
        <v>0.31578947368421051</v>
      </c>
      <c r="U156" s="166">
        <f t="shared" si="257"/>
        <v>0</v>
      </c>
      <c r="V156" s="166">
        <f t="shared" si="257"/>
        <v>-45</v>
      </c>
      <c r="W156" s="166">
        <f t="shared" si="257"/>
        <v>0</v>
      </c>
      <c r="X156" s="166">
        <f t="shared" si="257"/>
        <v>0</v>
      </c>
      <c r="Y156" s="166">
        <f t="shared" si="257"/>
        <v>0</v>
      </c>
      <c r="Z156" s="166">
        <f t="shared" si="257"/>
        <v>0</v>
      </c>
      <c r="AA156" s="166">
        <f t="shared" si="257"/>
        <v>-97.5</v>
      </c>
      <c r="AB156" s="166">
        <f t="shared" si="257"/>
        <v>45</v>
      </c>
      <c r="AC156" s="166">
        <f t="shared" si="257"/>
        <v>1</v>
      </c>
      <c r="AD156" s="166">
        <f t="shared" si="257"/>
        <v>0</v>
      </c>
      <c r="AE156" s="166">
        <f t="shared" si="257"/>
        <v>0</v>
      </c>
      <c r="AF156" s="166">
        <f t="shared" si="257"/>
        <v>0</v>
      </c>
      <c r="AG156" s="166">
        <f t="shared" si="257"/>
        <v>110.31</v>
      </c>
      <c r="AH156" s="166">
        <f t="shared" si="257"/>
        <v>12.81</v>
      </c>
      <c r="AI156" s="166">
        <f t="shared" si="257"/>
        <v>0.2679355783308931</v>
      </c>
      <c r="AJ156" s="166">
        <f t="shared" si="257"/>
        <v>0</v>
      </c>
      <c r="AK156" s="166">
        <f t="shared" si="257"/>
        <v>0</v>
      </c>
      <c r="AL156" s="166" t="e">
        <f t="shared" si="257"/>
        <v>#DIV/0!</v>
      </c>
      <c r="AM156" s="166">
        <f t="shared" si="257"/>
        <v>15</v>
      </c>
      <c r="AN156" s="166">
        <f t="shared" si="257"/>
        <v>0</v>
      </c>
      <c r="AO156" s="166" t="e">
        <f t="shared" si="257"/>
        <v>#DIV/0!</v>
      </c>
      <c r="AP156" s="166">
        <f t="shared" si="257"/>
        <v>80.2</v>
      </c>
      <c r="AQ156" s="166">
        <f t="shared" si="257"/>
        <v>0</v>
      </c>
      <c r="AR156" s="166">
        <f t="shared" si="257"/>
        <v>0</v>
      </c>
    </row>
    <row r="157" spans="1:53">
      <c r="B157" s="149">
        <v>3</v>
      </c>
      <c r="F157" s="166">
        <f>F73+F77+F80+F83+F87+F90+F93+F134</f>
        <v>68567.185649999999</v>
      </c>
      <c r="G157" s="166">
        <f>G73+G77+G80+G83+G87+G90+G93+G134</f>
        <v>26981.002639999999</v>
      </c>
      <c r="I157" s="166">
        <f>I73+I77+I80+I83+I87+I90+I93+I134</f>
        <v>34.5</v>
      </c>
      <c r="J157" s="166"/>
      <c r="K157" s="166"/>
      <c r="L157" s="166">
        <f t="shared" ref="L157:AR157" si="258">L73+L77+L80+L83+L87+L90+L93+L134</f>
        <v>7551.6570000000002</v>
      </c>
      <c r="M157" s="166"/>
      <c r="N157" s="166"/>
      <c r="O157" s="166">
        <f t="shared" si="258"/>
        <v>7678.1749999999993</v>
      </c>
      <c r="P157" s="166"/>
      <c r="Q157" s="166"/>
      <c r="R157" s="166">
        <f t="shared" si="258"/>
        <v>7063.0969999999998</v>
      </c>
      <c r="S157" s="166">
        <f t="shared" si="258"/>
        <v>6275.6046400000005</v>
      </c>
      <c r="T157" s="166">
        <f t="shared" si="258"/>
        <v>2.7668417053716761</v>
      </c>
      <c r="U157" s="166">
        <f t="shared" si="258"/>
        <v>12074.2449</v>
      </c>
      <c r="V157" s="166">
        <f t="shared" si="258"/>
        <v>5228.7995499999997</v>
      </c>
      <c r="W157" s="166">
        <f t="shared" si="258"/>
        <v>2.6526447794811459</v>
      </c>
      <c r="X157" s="166">
        <f t="shared" si="258"/>
        <v>5889.4629999999997</v>
      </c>
      <c r="Y157" s="166">
        <f t="shared" si="258"/>
        <v>6762.941600000001</v>
      </c>
      <c r="Z157" s="166">
        <f t="shared" si="258"/>
        <v>5.014910063469153</v>
      </c>
      <c r="AA157" s="166">
        <f t="shared" si="258"/>
        <v>0.5</v>
      </c>
      <c r="AB157" s="166">
        <f t="shared" si="258"/>
        <v>768.16000000000008</v>
      </c>
      <c r="AC157" s="166">
        <f t="shared" si="258"/>
        <v>428.32000000000005</v>
      </c>
      <c r="AD157" s="166">
        <f t="shared" si="258"/>
        <v>360.08100000000002</v>
      </c>
      <c r="AE157" s="166">
        <f t="shared" si="258"/>
        <v>423.82100000000003</v>
      </c>
      <c r="AF157" s="166">
        <f t="shared" si="258"/>
        <v>1</v>
      </c>
      <c r="AG157" s="166">
        <f t="shared" si="258"/>
        <v>-750.14401000000009</v>
      </c>
      <c r="AH157" s="166">
        <f t="shared" si="258"/>
        <v>385.72465</v>
      </c>
      <c r="AI157" s="166">
        <f t="shared" si="258"/>
        <v>3</v>
      </c>
      <c r="AJ157" s="166">
        <f t="shared" si="258"/>
        <v>294.39999999999998</v>
      </c>
      <c r="AK157" s="166">
        <f t="shared" si="258"/>
        <v>0</v>
      </c>
      <c r="AL157" s="166" t="e">
        <f t="shared" si="258"/>
        <v>#DIV/0!</v>
      </c>
      <c r="AM157" s="166">
        <f t="shared" si="258"/>
        <v>5273.4656599999998</v>
      </c>
      <c r="AN157" s="166">
        <f t="shared" si="258"/>
        <v>0</v>
      </c>
      <c r="AO157" s="166" t="e">
        <f t="shared" si="258"/>
        <v>#DIV/0!</v>
      </c>
      <c r="AP157" s="166">
        <f t="shared" si="258"/>
        <v>23097.7461</v>
      </c>
      <c r="AQ157" s="166">
        <f t="shared" si="258"/>
        <v>0</v>
      </c>
      <c r="AR157" s="166">
        <f t="shared" si="258"/>
        <v>0</v>
      </c>
    </row>
    <row r="158" spans="1:53">
      <c r="B158" s="149">
        <v>4</v>
      </c>
      <c r="F158" s="166">
        <f>F106+F109+F112+F115+F118+F121+F124</f>
        <v>19953.600000000002</v>
      </c>
      <c r="G158" s="166">
        <f>G106+G109+G112+G115+G118+G121+G124</f>
        <v>18795.923339999998</v>
      </c>
      <c r="I158" s="166">
        <f>I106+I109+I112+I115+I118+I121+I124</f>
        <v>0</v>
      </c>
      <c r="J158" s="166"/>
      <c r="K158" s="166"/>
      <c r="L158" s="166">
        <f t="shared" ref="L158:AR158" si="259">L106+L109+L112+L115+L118+L121+L124</f>
        <v>0</v>
      </c>
      <c r="M158" s="166"/>
      <c r="N158" s="166"/>
      <c r="O158" s="166">
        <f t="shared" si="259"/>
        <v>408.5</v>
      </c>
      <c r="P158" s="166"/>
      <c r="Q158" s="166"/>
      <c r="R158" s="166">
        <f t="shared" si="259"/>
        <v>1124.8</v>
      </c>
      <c r="S158" s="166">
        <f t="shared" si="259"/>
        <v>1136.0937999999999</v>
      </c>
      <c r="T158" s="166">
        <f t="shared" si="259"/>
        <v>2.0108698748796918</v>
      </c>
      <c r="U158" s="166">
        <f t="shared" si="259"/>
        <v>1641.2</v>
      </c>
      <c r="V158" s="166">
        <f t="shared" si="259"/>
        <v>1649.7</v>
      </c>
      <c r="W158" s="166">
        <f t="shared" si="259"/>
        <v>2.0057066129573684</v>
      </c>
      <c r="X158" s="166">
        <f t="shared" si="259"/>
        <v>5129</v>
      </c>
      <c r="Y158" s="166">
        <f t="shared" si="259"/>
        <v>5049</v>
      </c>
      <c r="Z158" s="166">
        <f t="shared" si="259"/>
        <v>1.9215686274509802</v>
      </c>
      <c r="AA158" s="166">
        <f t="shared" si="259"/>
        <v>6447</v>
      </c>
      <c r="AB158" s="166">
        <f t="shared" si="259"/>
        <v>6252.4452499999998</v>
      </c>
      <c r="AC158" s="166">
        <f t="shared" si="259"/>
        <v>2.99818074347316</v>
      </c>
      <c r="AD158" s="166">
        <f t="shared" si="259"/>
        <v>3276.7</v>
      </c>
      <c r="AE158" s="166">
        <f t="shared" si="259"/>
        <v>2281.4371900000001</v>
      </c>
      <c r="AF158" s="166">
        <f t="shared" si="259"/>
        <v>1.003984891111712</v>
      </c>
      <c r="AG158" s="166">
        <f t="shared" si="259"/>
        <v>768.72334000000001</v>
      </c>
      <c r="AH158" s="166">
        <f t="shared" si="259"/>
        <v>2027.2471</v>
      </c>
      <c r="AI158" s="166">
        <f t="shared" si="259"/>
        <v>25.543460281755415</v>
      </c>
      <c r="AJ158" s="166">
        <f t="shared" si="259"/>
        <v>353.17995000000002</v>
      </c>
      <c r="AK158" s="166">
        <f t="shared" si="259"/>
        <v>0</v>
      </c>
      <c r="AL158" s="166" t="e">
        <f t="shared" si="259"/>
        <v>#DIV/0!</v>
      </c>
      <c r="AM158" s="166">
        <f t="shared" si="259"/>
        <v>804.49671000000001</v>
      </c>
      <c r="AN158" s="166">
        <f t="shared" si="259"/>
        <v>0</v>
      </c>
      <c r="AO158" s="166">
        <f t="shared" si="259"/>
        <v>0</v>
      </c>
      <c r="AP158" s="166">
        <f t="shared" si="259"/>
        <v>0</v>
      </c>
      <c r="AQ158" s="166">
        <f t="shared" si="259"/>
        <v>0</v>
      </c>
      <c r="AR158" s="166">
        <f t="shared" si="259"/>
        <v>0</v>
      </c>
    </row>
    <row r="159" spans="1:53">
      <c r="F159" s="166">
        <f>SUM(F155:F158)</f>
        <v>1421486.4014899996</v>
      </c>
      <c r="G159" s="166">
        <f>SUM(G155:G158)</f>
        <v>990798.34285000013</v>
      </c>
      <c r="I159" s="166">
        <f>SUM(I155:I158)</f>
        <v>31818.234999999997</v>
      </c>
      <c r="J159" s="166"/>
      <c r="K159" s="166"/>
      <c r="L159" s="166">
        <f t="shared" ref="L159:AR159" si="260">SUM(L155:L158)</f>
        <v>114960.95999999999</v>
      </c>
      <c r="M159" s="166"/>
      <c r="N159" s="166"/>
      <c r="O159" s="166">
        <f t="shared" si="260"/>
        <v>123165.13099999999</v>
      </c>
      <c r="P159" s="166"/>
      <c r="Q159" s="166"/>
      <c r="R159" s="166">
        <f t="shared" si="260"/>
        <v>132674.986</v>
      </c>
      <c r="S159" s="166">
        <f t="shared" si="260"/>
        <v>125349.22819000001</v>
      </c>
      <c r="T159" s="166">
        <f t="shared" si="260"/>
        <v>15.65909759256494</v>
      </c>
      <c r="U159" s="166">
        <f t="shared" si="260"/>
        <v>151451.91089999999</v>
      </c>
      <c r="V159" s="166">
        <f t="shared" si="260"/>
        <v>150474.86707000001</v>
      </c>
      <c r="W159" s="166">
        <f t="shared" si="260"/>
        <v>13.234441838340107</v>
      </c>
      <c r="X159" s="166">
        <f t="shared" si="260"/>
        <v>195201.16823999997</v>
      </c>
      <c r="Y159" s="166">
        <f t="shared" si="260"/>
        <v>197406.27299</v>
      </c>
      <c r="Z159" s="166">
        <f t="shared" si="260"/>
        <v>18.699775983045292</v>
      </c>
      <c r="AA159" s="166">
        <f t="shared" si="260"/>
        <v>114786.24686</v>
      </c>
      <c r="AB159" s="166">
        <f t="shared" si="260"/>
        <v>116034.97378000001</v>
      </c>
      <c r="AC159" s="166">
        <f t="shared" si="260"/>
        <v>439.05141204273821</v>
      </c>
      <c r="AD159" s="166">
        <f t="shared" si="260"/>
        <v>68638.000240000008</v>
      </c>
      <c r="AE159" s="166">
        <f t="shared" si="260"/>
        <v>64717.886850000003</v>
      </c>
      <c r="AF159" s="166">
        <f t="shared" si="260"/>
        <v>9.1092558494591263</v>
      </c>
      <c r="AG159" s="166">
        <f t="shared" si="260"/>
        <v>73907.906639999987</v>
      </c>
      <c r="AH159" s="166">
        <f t="shared" si="260"/>
        <v>79177.792649999988</v>
      </c>
      <c r="AI159" s="166" t="e">
        <f t="shared" si="260"/>
        <v>#DIV/0!</v>
      </c>
      <c r="AJ159" s="166">
        <f t="shared" si="260"/>
        <v>103718.56165999999</v>
      </c>
      <c r="AK159" s="166">
        <f t="shared" si="260"/>
        <v>0</v>
      </c>
      <c r="AL159" s="166" t="e">
        <f t="shared" si="260"/>
        <v>#DIV/0!</v>
      </c>
      <c r="AM159" s="166">
        <f t="shared" si="260"/>
        <v>114916.63986000001</v>
      </c>
      <c r="AN159" s="166">
        <f t="shared" si="260"/>
        <v>0</v>
      </c>
      <c r="AO159" s="166" t="e">
        <f t="shared" si="260"/>
        <v>#DIV/0!</v>
      </c>
      <c r="AP159" s="166">
        <f t="shared" si="260"/>
        <v>196246.65509000001</v>
      </c>
      <c r="AQ159" s="166">
        <f t="shared" si="260"/>
        <v>0</v>
      </c>
      <c r="AR159" s="166">
        <f t="shared" si="260"/>
        <v>0</v>
      </c>
    </row>
    <row r="160" spans="1:53" ht="15">
      <c r="G160" s="150"/>
      <c r="R160" s="171"/>
    </row>
    <row r="161" spans="2:27">
      <c r="B161" s="106" t="s">
        <v>432</v>
      </c>
      <c r="F161" s="157">
        <v>463.1</v>
      </c>
      <c r="I161" s="108">
        <f>I155+L155+O155</f>
        <v>253972.00399999996</v>
      </c>
      <c r="R161" s="171">
        <f>R155+U155+X155</f>
        <v>446263.76023999997</v>
      </c>
      <c r="AA161" s="109">
        <f>AA155+AD155+AG155</f>
        <v>247216.48341000002</v>
      </c>
    </row>
    <row r="162" spans="2:27">
      <c r="F162" s="157">
        <v>3711.5</v>
      </c>
      <c r="I162" s="108">
        <f t="shared" ref="I162" si="261">I156+L156+O156</f>
        <v>299.49</v>
      </c>
      <c r="R162" s="171">
        <f t="shared" ref="R162" si="262">R156+U156+X156</f>
        <v>142.5</v>
      </c>
      <c r="AA162" s="109">
        <f t="shared" ref="AA162" si="263">AA156+AD156+AG156</f>
        <v>12.810000000000002</v>
      </c>
    </row>
    <row r="163" spans="2:27">
      <c r="F163" s="157">
        <v>1650.6</v>
      </c>
      <c r="R163" s="171"/>
      <c r="AA163" s="109"/>
    </row>
    <row r="164" spans="2:27">
      <c r="F164" s="157">
        <f>SUM(F161:F163)</f>
        <v>5825.2000000000007</v>
      </c>
      <c r="G164" s="169"/>
      <c r="I164" s="108">
        <f>I157+L157+O157</f>
        <v>15264.331999999999</v>
      </c>
      <c r="R164" s="171">
        <f>R157+U157+X157</f>
        <v>25026.804899999999</v>
      </c>
      <c r="AA164" s="109">
        <f>AA157+AD157+AG157</f>
        <v>-389.56301000000008</v>
      </c>
    </row>
    <row r="165" spans="2:27">
      <c r="F165" s="180">
        <f>F159-F164</f>
        <v>1415661.2014899997</v>
      </c>
      <c r="I165" s="108">
        <f>I158+L158+O158</f>
        <v>408.5</v>
      </c>
      <c r="R165" s="171">
        <f>R158+U158+X158</f>
        <v>7895</v>
      </c>
      <c r="AA165" s="109">
        <f>AA158+AD158+AG158</f>
        <v>10492.423340000001</v>
      </c>
    </row>
    <row r="166" spans="2:27">
      <c r="F166" s="170"/>
      <c r="I166" s="108">
        <f>I159+L159+O159</f>
        <v>269944.326</v>
      </c>
      <c r="R166" s="171">
        <f>R159+U159+X159</f>
        <v>479328.06513999996</v>
      </c>
      <c r="AA166" s="109">
        <f>AA159+AD159+AG159</f>
        <v>257332.15373999998</v>
      </c>
    </row>
    <row r="167" spans="2:27">
      <c r="I167" s="108">
        <f>I160+L160+O160</f>
        <v>0</v>
      </c>
      <c r="R167" s="171">
        <f>R143+U143+X143</f>
        <v>412281.36199999996</v>
      </c>
      <c r="AA167" s="109">
        <f>AA143+AD143+AG143</f>
        <v>206605.38371999998</v>
      </c>
    </row>
    <row r="168" spans="2:27">
      <c r="I168" s="108">
        <f>I144+L144+O144</f>
        <v>59164.85300000001</v>
      </c>
      <c r="R168" s="171">
        <f>R144+U144+X144</f>
        <v>67046.703139999998</v>
      </c>
      <c r="AA168" s="109">
        <f>AA144+AD144+AG144</f>
        <v>50726.770019999996</v>
      </c>
    </row>
    <row r="170" spans="2:27">
      <c r="R170" s="172"/>
      <c r="AA170" s="109">
        <v>264634147</v>
      </c>
    </row>
    <row r="171" spans="2:27">
      <c r="AA171" s="108">
        <f>AA170/1000-AA166</f>
        <v>7301.9932600000175</v>
      </c>
    </row>
  </sheetData>
  <mergeCells count="246">
    <mergeCell ref="A152:B152"/>
    <mergeCell ref="A153:H153"/>
    <mergeCell ref="B137:AT137"/>
    <mergeCell ref="B138:AT138"/>
    <mergeCell ref="A139:A141"/>
    <mergeCell ref="B139:B141"/>
    <mergeCell ref="C139:C141"/>
    <mergeCell ref="D139:D141"/>
    <mergeCell ref="AS134:AS136"/>
    <mergeCell ref="AT134:AT136"/>
    <mergeCell ref="AS139:AS141"/>
    <mergeCell ref="AT139:AT141"/>
    <mergeCell ref="A134:A136"/>
    <mergeCell ref="B134:B136"/>
    <mergeCell ref="C134:C136"/>
    <mergeCell ref="D134:D136"/>
    <mergeCell ref="A142:D145"/>
    <mergeCell ref="A129:A131"/>
    <mergeCell ref="B129:B131"/>
    <mergeCell ref="C129:C131"/>
    <mergeCell ref="D129:D131"/>
    <mergeCell ref="B132:AT132"/>
    <mergeCell ref="B133:AT133"/>
    <mergeCell ref="A124:A126"/>
    <mergeCell ref="B124:B126"/>
    <mergeCell ref="C124:C126"/>
    <mergeCell ref="D124:D126"/>
    <mergeCell ref="B127:AT127"/>
    <mergeCell ref="B128:AT128"/>
    <mergeCell ref="AT129:AT131"/>
    <mergeCell ref="AS129:AS131"/>
    <mergeCell ref="AT124:AT126"/>
    <mergeCell ref="A118:A120"/>
    <mergeCell ref="B118:B120"/>
    <mergeCell ref="C118:C120"/>
    <mergeCell ref="D118:D120"/>
    <mergeCell ref="A121:A123"/>
    <mergeCell ref="B121:B123"/>
    <mergeCell ref="C121:C123"/>
    <mergeCell ref="D121:D123"/>
    <mergeCell ref="A112:A114"/>
    <mergeCell ref="B112:B114"/>
    <mergeCell ref="C112:C114"/>
    <mergeCell ref="D112:D114"/>
    <mergeCell ref="A115:A117"/>
    <mergeCell ref="B115:B117"/>
    <mergeCell ref="C115:C117"/>
    <mergeCell ref="D115:D117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1:A103"/>
    <mergeCell ref="B101:B103"/>
    <mergeCell ref="C101:C103"/>
    <mergeCell ref="D101:D103"/>
    <mergeCell ref="B104:AT104"/>
    <mergeCell ref="B105:AT105"/>
    <mergeCell ref="B96:AT96"/>
    <mergeCell ref="B97:AT97"/>
    <mergeCell ref="A98:A100"/>
    <mergeCell ref="B98:B100"/>
    <mergeCell ref="C98:C100"/>
    <mergeCell ref="D98:D100"/>
    <mergeCell ref="A90:A92"/>
    <mergeCell ref="B90:B92"/>
    <mergeCell ref="C90:C92"/>
    <mergeCell ref="D90:D92"/>
    <mergeCell ref="A93:A95"/>
    <mergeCell ref="B93:B95"/>
    <mergeCell ref="C93:C95"/>
    <mergeCell ref="D93:D95"/>
    <mergeCell ref="A73:A76"/>
    <mergeCell ref="B73:B76"/>
    <mergeCell ref="C73:C76"/>
    <mergeCell ref="D73:D76"/>
    <mergeCell ref="A87:A89"/>
    <mergeCell ref="B87:B89"/>
    <mergeCell ref="C87:C89"/>
    <mergeCell ref="D87:D89"/>
    <mergeCell ref="A77:A79"/>
    <mergeCell ref="B77:B79"/>
    <mergeCell ref="C77:C79"/>
    <mergeCell ref="D77:D79"/>
    <mergeCell ref="A80:A82"/>
    <mergeCell ref="B80:B82"/>
    <mergeCell ref="C80:C82"/>
    <mergeCell ref="D80:D82"/>
    <mergeCell ref="A83:A86"/>
    <mergeCell ref="B83:B86"/>
    <mergeCell ref="C83:C86"/>
    <mergeCell ref="D83:D86"/>
    <mergeCell ref="B71:AT71"/>
    <mergeCell ref="B72:AT72"/>
    <mergeCell ref="A65:A67"/>
    <mergeCell ref="B65:B67"/>
    <mergeCell ref="C65:C67"/>
    <mergeCell ref="D65:D67"/>
    <mergeCell ref="A68:A70"/>
    <mergeCell ref="B68:B70"/>
    <mergeCell ref="C68:C70"/>
    <mergeCell ref="D68:D70"/>
    <mergeCell ref="A59:A61"/>
    <mergeCell ref="B59:B61"/>
    <mergeCell ref="C59:C61"/>
    <mergeCell ref="D59:D61"/>
    <mergeCell ref="A62:A64"/>
    <mergeCell ref="B62:B64"/>
    <mergeCell ref="C62:C64"/>
    <mergeCell ref="D62:D64"/>
    <mergeCell ref="B54:AT54"/>
    <mergeCell ref="B55:AT55"/>
    <mergeCell ref="A56:A58"/>
    <mergeCell ref="B56:B58"/>
    <mergeCell ref="C56:C58"/>
    <mergeCell ref="D56:D58"/>
    <mergeCell ref="B47:AT47"/>
    <mergeCell ref="A48:A50"/>
    <mergeCell ref="B48:B50"/>
    <mergeCell ref="C48:C50"/>
    <mergeCell ref="D48:D50"/>
    <mergeCell ref="A51:A53"/>
    <mergeCell ref="B51:B53"/>
    <mergeCell ref="C51:C53"/>
    <mergeCell ref="D51:D53"/>
    <mergeCell ref="AO43:AO45"/>
    <mergeCell ref="AP43:AP45"/>
    <mergeCell ref="AT43:AT45"/>
    <mergeCell ref="B46:AT46"/>
    <mergeCell ref="AG43:AG45"/>
    <mergeCell ref="AH43:AH45"/>
    <mergeCell ref="AI43:AI45"/>
    <mergeCell ref="AJ43:AJ45"/>
    <mergeCell ref="AK43:AK45"/>
    <mergeCell ref="AL43:AL45"/>
    <mergeCell ref="AA43:AA45"/>
    <mergeCell ref="AB43:AB45"/>
    <mergeCell ref="AC43:AC45"/>
    <mergeCell ref="AD43:AD45"/>
    <mergeCell ref="AE43:AE45"/>
    <mergeCell ref="AF43:AF45"/>
    <mergeCell ref="U43:U45"/>
    <mergeCell ref="V43:V45"/>
    <mergeCell ref="W43:W45"/>
    <mergeCell ref="X43:X45"/>
    <mergeCell ref="Y43:Y45"/>
    <mergeCell ref="Z43:Z45"/>
    <mergeCell ref="AS43:AS45"/>
    <mergeCell ref="B41:AT41"/>
    <mergeCell ref="B42:AT42"/>
    <mergeCell ref="A43:A45"/>
    <mergeCell ref="B43:B45"/>
    <mergeCell ref="C43:C45"/>
    <mergeCell ref="D43:D45"/>
    <mergeCell ref="E43:E45"/>
    <mergeCell ref="F43:F45"/>
    <mergeCell ref="G43:G45"/>
    <mergeCell ref="H43:H45"/>
    <mergeCell ref="O43:O45"/>
    <mergeCell ref="P43:P45"/>
    <mergeCell ref="Q43:Q45"/>
    <mergeCell ref="R43:R45"/>
    <mergeCell ref="S43:S45"/>
    <mergeCell ref="T43:T45"/>
    <mergeCell ref="I43:I45"/>
    <mergeCell ref="J43:J45"/>
    <mergeCell ref="K43:K45"/>
    <mergeCell ref="L43:L45"/>
    <mergeCell ref="M43:M45"/>
    <mergeCell ref="N43:N45"/>
    <mergeCell ref="AM43:AM45"/>
    <mergeCell ref="AN43:AN45"/>
    <mergeCell ref="A35:A37"/>
    <mergeCell ref="B35:B37"/>
    <mergeCell ref="C35:C37"/>
    <mergeCell ref="D35:D37"/>
    <mergeCell ref="A38:A40"/>
    <mergeCell ref="B38:B40"/>
    <mergeCell ref="C38:C40"/>
    <mergeCell ref="D38:D40"/>
    <mergeCell ref="A29:A31"/>
    <mergeCell ref="B29:B31"/>
    <mergeCell ref="C29:C31"/>
    <mergeCell ref="D29:D31"/>
    <mergeCell ref="A32:A34"/>
    <mergeCell ref="B32:B34"/>
    <mergeCell ref="C32:C34"/>
    <mergeCell ref="D32:D34"/>
    <mergeCell ref="A23:A25"/>
    <mergeCell ref="B23:B25"/>
    <mergeCell ref="C23:C25"/>
    <mergeCell ref="D23:D25"/>
    <mergeCell ref="A26:A28"/>
    <mergeCell ref="B26:B28"/>
    <mergeCell ref="C26:C28"/>
    <mergeCell ref="D26:D28"/>
    <mergeCell ref="A17:A19"/>
    <mergeCell ref="B17:B19"/>
    <mergeCell ref="C17:C19"/>
    <mergeCell ref="D17:D19"/>
    <mergeCell ref="A20:A22"/>
    <mergeCell ref="B20:B22"/>
    <mergeCell ref="C20:C22"/>
    <mergeCell ref="D20:D22"/>
    <mergeCell ref="A11:A13"/>
    <mergeCell ref="B11:B13"/>
    <mergeCell ref="C11:C13"/>
    <mergeCell ref="D11:D13"/>
    <mergeCell ref="A14:A16"/>
    <mergeCell ref="B14:B16"/>
    <mergeCell ref="C14:C16"/>
    <mergeCell ref="D14:D16"/>
    <mergeCell ref="B5:AT5"/>
    <mergeCell ref="B6:AT6"/>
    <mergeCell ref="B7:AT7"/>
    <mergeCell ref="A8:A10"/>
    <mergeCell ref="B8:B10"/>
    <mergeCell ref="C8:C10"/>
    <mergeCell ref="D8:D10"/>
    <mergeCell ref="AT8:AT10"/>
    <mergeCell ref="AG3:AI3"/>
    <mergeCell ref="AJ3:AL3"/>
    <mergeCell ref="AM3:AO3"/>
    <mergeCell ref="AP3:AR3"/>
    <mergeCell ref="AS3:AS4"/>
    <mergeCell ref="AT3:AT4"/>
    <mergeCell ref="O3:Q3"/>
    <mergeCell ref="R3:T3"/>
    <mergeCell ref="U3:W3"/>
    <mergeCell ref="X3:Z3"/>
    <mergeCell ref="AA3:AC3"/>
    <mergeCell ref="AD3:AF3"/>
    <mergeCell ref="A1:Z1"/>
    <mergeCell ref="A2:Z2"/>
    <mergeCell ref="A3:A4"/>
    <mergeCell ref="B3:B4"/>
    <mergeCell ref="C3:C4"/>
    <mergeCell ref="D3:D4"/>
    <mergeCell ref="E3:E4"/>
    <mergeCell ref="F3:H3"/>
    <mergeCell ref="I3:K3"/>
    <mergeCell ref="L3:N3"/>
  </mergeCells>
  <conditionalFormatting sqref="I146:AV146 F137:G140 I137:J140 K137:K138 L137:M140 O142:AT145 N137:N138 L142:M145 O137:P140 Q137:Q138 R137:S140 T137:T138 I142:J145 U137:V140 W137:W138 X137:Y140 Z137:Z138 AA137:AB140 AD137:AT140 AC137:AC138 J145:AP145 F142:G146">
    <cfRule type="cellIs" dxfId="5" priority="69" stopIfTrue="1" operator="notEqual">
      <formula>#REF!</formula>
    </cfRule>
  </conditionalFormatting>
  <conditionalFormatting sqref="AS139:AS140">
    <cfRule type="cellIs" dxfId="4" priority="3" stopIfTrue="1" operator="notEqual">
      <formula>#REF!</formula>
    </cfRule>
  </conditionalFormatting>
  <conditionalFormatting sqref="I146:AV146 F137:G140 I137:J140 K137:K138 L137:M140 O142:AT145 N137:N138 L142:M145 O137:P140 Q137:Q138 R137:S140 T137:T138 I142:J145 U137:V140 W137:W138 X137:Y140 Z137:Z138 AA137:AB140 AD137:AT140 AC137:AC138 K145 N145 F142:G146">
    <cfRule type="cellIs" dxfId="3" priority="2" stopIfTrue="1" operator="notEqual">
      <formula>#REF!</formula>
    </cfRule>
  </conditionalFormatting>
  <conditionalFormatting sqref="AS139:AS140">
    <cfRule type="cellIs" dxfId="1" priority="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21" fitToHeight="4" orientation="landscape" r:id="rId1"/>
  <rowBreaks count="2" manualBreakCount="2">
    <brk id="70" max="45" man="1"/>
    <brk id="131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по подпрограммам</vt:lpstr>
      <vt:lpstr>оценка эффективности</vt:lpstr>
      <vt:lpstr>Выполнение работ</vt:lpstr>
      <vt:lpstr>сентябрь</vt:lpstr>
      <vt:lpstr>'Выполнение работ'!Заголовки_для_печати</vt:lpstr>
      <vt:lpstr>'Выполнение работ'!Область_печати</vt:lpstr>
      <vt:lpstr>сентябрь!Область_печати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Галина Станиславовна Ли</cp:lastModifiedBy>
  <cp:lastPrinted>2018-10-12T04:35:18Z</cp:lastPrinted>
  <dcterms:created xsi:type="dcterms:W3CDTF">2011-05-17T05:04:33Z</dcterms:created>
  <dcterms:modified xsi:type="dcterms:W3CDTF">2018-10-15T04:26:12Z</dcterms:modified>
</cp:coreProperties>
</file>