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5" windowWidth="13785" windowHeight="9765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1 квартал" sheetId="15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Area" localSheetId="3">'1 квартал'!$A$1:$AT$151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R36" i="15"/>
  <c r="AA36"/>
  <c r="AJ36"/>
  <c r="AJ12"/>
  <c r="AA12"/>
  <c r="R12"/>
  <c r="AP100" l="1"/>
  <c r="AG100"/>
  <c r="X100"/>
  <c r="AA108"/>
  <c r="Q12"/>
  <c r="AW74" l="1"/>
  <c r="AW77"/>
  <c r="AW79"/>
  <c r="AW80"/>
  <c r="AW81"/>
  <c r="H85"/>
  <c r="H82"/>
  <c r="H80"/>
  <c r="H79"/>
  <c r="H76"/>
  <c r="AW122" l="1"/>
  <c r="AW123"/>
  <c r="AW124"/>
  <c r="H123"/>
  <c r="H124"/>
  <c r="H122"/>
  <c r="Q139" l="1"/>
  <c r="Q36"/>
  <c r="Q49" l="1"/>
  <c r="AU9"/>
  <c r="AV9"/>
  <c r="AU10"/>
  <c r="AV10"/>
  <c r="AU11"/>
  <c r="AU12"/>
  <c r="AV12"/>
  <c r="AU13"/>
  <c r="AV13"/>
  <c r="AU14"/>
  <c r="AU15"/>
  <c r="AV15"/>
  <c r="AU16"/>
  <c r="AV16"/>
  <c r="AU17"/>
  <c r="AU18"/>
  <c r="AV18"/>
  <c r="AU19"/>
  <c r="AV19"/>
  <c r="AU20"/>
  <c r="AV20"/>
  <c r="AU21"/>
  <c r="AV21"/>
  <c r="AU22"/>
  <c r="AV22"/>
  <c r="AU23"/>
  <c r="AV23"/>
  <c r="AU24"/>
  <c r="AV24"/>
  <c r="AU25"/>
  <c r="AV25"/>
  <c r="AU26"/>
  <c r="AV26"/>
  <c r="AU27"/>
  <c r="AV27"/>
  <c r="AU28"/>
  <c r="AV28"/>
  <c r="AU29"/>
  <c r="AV29"/>
  <c r="AU30"/>
  <c r="AV30"/>
  <c r="AU31"/>
  <c r="AV31"/>
  <c r="AU32"/>
  <c r="AV32"/>
  <c r="AU33"/>
  <c r="AV33"/>
  <c r="AU34"/>
  <c r="AV34"/>
  <c r="AU35"/>
  <c r="AU36"/>
  <c r="AV36"/>
  <c r="AU37"/>
  <c r="AV37"/>
  <c r="AU38"/>
  <c r="AU39"/>
  <c r="AV39"/>
  <c r="AU40"/>
  <c r="AV40"/>
  <c r="AU41"/>
  <c r="AV41"/>
  <c r="AU42"/>
  <c r="AV42"/>
  <c r="AU43"/>
  <c r="AV43"/>
  <c r="AU44"/>
  <c r="AV44"/>
  <c r="AU45"/>
  <c r="AV45"/>
  <c r="AU46"/>
  <c r="AV46"/>
  <c r="AU47"/>
  <c r="AV47"/>
  <c r="AU48"/>
  <c r="AU49"/>
  <c r="AV49"/>
  <c r="AU50"/>
  <c r="AV50"/>
  <c r="AU51"/>
  <c r="AV51"/>
  <c r="AU52"/>
  <c r="AV52"/>
  <c r="AU53"/>
  <c r="AV53"/>
  <c r="AU54"/>
  <c r="AV54"/>
  <c r="AU55"/>
  <c r="AV55"/>
  <c r="AU56"/>
  <c r="AV56"/>
  <c r="AU57"/>
  <c r="AV57"/>
  <c r="AU58"/>
  <c r="AV58"/>
  <c r="AU59"/>
  <c r="AV59"/>
  <c r="AU60"/>
  <c r="AV60"/>
  <c r="AU61"/>
  <c r="AV61"/>
  <c r="AU62"/>
  <c r="AU63"/>
  <c r="AV63"/>
  <c r="AU64"/>
  <c r="AV64"/>
  <c r="AU65"/>
  <c r="AV65"/>
  <c r="AU66"/>
  <c r="AV66"/>
  <c r="AU67"/>
  <c r="AV67"/>
  <c r="AU68"/>
  <c r="AV68"/>
  <c r="AU69"/>
  <c r="AV69"/>
  <c r="AU70"/>
  <c r="AV70"/>
  <c r="AU71"/>
  <c r="AV71"/>
  <c r="AU72"/>
  <c r="AV72"/>
  <c r="AU73"/>
  <c r="AV73"/>
  <c r="AU74"/>
  <c r="AV74"/>
  <c r="AU75"/>
  <c r="AV75"/>
  <c r="AU76"/>
  <c r="AV76"/>
  <c r="AU77"/>
  <c r="AV77"/>
  <c r="AU78"/>
  <c r="AV78"/>
  <c r="AU79"/>
  <c r="AV79"/>
  <c r="AU80"/>
  <c r="AV80"/>
  <c r="AU81"/>
  <c r="AV81"/>
  <c r="AU82"/>
  <c r="AV82"/>
  <c r="AU83"/>
  <c r="AV83"/>
  <c r="AU84"/>
  <c r="AV84"/>
  <c r="AU85"/>
  <c r="AV85"/>
  <c r="AU86"/>
  <c r="AV86"/>
  <c r="AU87"/>
  <c r="AV87"/>
  <c r="AU88"/>
  <c r="AV88"/>
  <c r="AU89"/>
  <c r="AV89"/>
  <c r="AU90"/>
  <c r="AV90"/>
  <c r="AU91"/>
  <c r="AU92"/>
  <c r="AV92"/>
  <c r="AU93"/>
  <c r="AV93"/>
  <c r="AU94"/>
  <c r="AV94"/>
  <c r="AU95"/>
  <c r="AV95"/>
  <c r="AU96"/>
  <c r="AU97"/>
  <c r="AV97"/>
  <c r="AU98"/>
  <c r="AV98"/>
  <c r="AU99"/>
  <c r="AU100"/>
  <c r="AV100"/>
  <c r="AU101"/>
  <c r="AV101"/>
  <c r="AU102"/>
  <c r="AV102"/>
  <c r="AU103"/>
  <c r="AV103"/>
  <c r="AU104"/>
  <c r="AU105"/>
  <c r="AV105"/>
  <c r="AU106"/>
  <c r="AV106"/>
  <c r="AU107"/>
  <c r="AU108"/>
  <c r="AV108"/>
  <c r="AU109"/>
  <c r="AV109"/>
  <c r="AU110"/>
  <c r="AV110"/>
  <c r="AU111"/>
  <c r="AV111"/>
  <c r="AU112"/>
  <c r="AV112"/>
  <c r="AU113"/>
  <c r="AV113"/>
  <c r="AU114"/>
  <c r="AV114"/>
  <c r="AU115"/>
  <c r="AV115"/>
  <c r="AU116"/>
  <c r="AV116"/>
  <c r="AU117"/>
  <c r="AV117"/>
  <c r="AU118"/>
  <c r="AV118"/>
  <c r="AU119"/>
  <c r="AV119"/>
  <c r="AU120"/>
  <c r="AV120"/>
  <c r="AU121"/>
  <c r="AV121"/>
  <c r="AU122"/>
  <c r="AV122"/>
  <c r="AU123"/>
  <c r="AV123"/>
  <c r="AU124"/>
  <c r="AV124"/>
  <c r="AU125"/>
  <c r="AV125"/>
  <c r="AU126"/>
  <c r="AV126"/>
  <c r="AU127"/>
  <c r="AU128"/>
  <c r="AV128"/>
  <c r="AU129"/>
  <c r="AV129"/>
  <c r="AU130"/>
  <c r="AV130"/>
  <c r="AU131"/>
  <c r="AV131"/>
  <c r="AU132"/>
  <c r="AU133"/>
  <c r="AV133"/>
  <c r="AU134"/>
  <c r="AV134"/>
  <c r="AU135"/>
  <c r="AV135"/>
  <c r="AU136"/>
  <c r="AV136"/>
  <c r="AU137"/>
  <c r="AU138"/>
  <c r="AV138"/>
  <c r="AU139"/>
  <c r="AV139"/>
  <c r="AU140"/>
  <c r="AU141"/>
  <c r="AU142"/>
  <c r="AV8"/>
  <c r="AU8"/>
  <c r="AA106"/>
  <c r="AA105"/>
  <c r="U49"/>
  <c r="U89"/>
  <c r="Q101" l="1"/>
  <c r="Q59"/>
  <c r="Q61"/>
  <c r="Q64"/>
  <c r="Q19"/>
  <c r="R92"/>
  <c r="AQ142"/>
  <c r="AR142" s="1"/>
  <c r="AP142"/>
  <c r="AQ141"/>
  <c r="AP141"/>
  <c r="AQ140"/>
  <c r="AN142"/>
  <c r="AO142" s="1"/>
  <c r="AM142"/>
  <c r="AN141"/>
  <c r="AO141" s="1"/>
  <c r="AM141"/>
  <c r="AN140"/>
  <c r="AO140" s="1"/>
  <c r="AM140"/>
  <c r="AK142"/>
  <c r="AL142" s="1"/>
  <c r="AJ142"/>
  <c r="AK141"/>
  <c r="AJ141"/>
  <c r="AK140"/>
  <c r="AH142"/>
  <c r="AI142" s="1"/>
  <c r="AG142"/>
  <c r="AH141"/>
  <c r="AG141"/>
  <c r="AH140"/>
  <c r="AE142"/>
  <c r="AF142" s="1"/>
  <c r="AD142"/>
  <c r="AE141"/>
  <c r="AF141" s="1"/>
  <c r="AD141"/>
  <c r="AE140"/>
  <c r="AF140" s="1"/>
  <c r="AD140"/>
  <c r="AB142"/>
  <c r="AA142"/>
  <c r="AB141"/>
  <c r="AA141"/>
  <c r="AB140"/>
  <c r="Y142"/>
  <c r="Z142" s="1"/>
  <c r="X142"/>
  <c r="Y141"/>
  <c r="X141"/>
  <c r="Y140"/>
  <c r="V142"/>
  <c r="W142" s="1"/>
  <c r="U142"/>
  <c r="V141"/>
  <c r="U141"/>
  <c r="V140"/>
  <c r="S142"/>
  <c r="T142" s="1"/>
  <c r="R142"/>
  <c r="S141"/>
  <c r="R141"/>
  <c r="S140"/>
  <c r="P142"/>
  <c r="O142"/>
  <c r="P141"/>
  <c r="O141"/>
  <c r="O140"/>
  <c r="M142"/>
  <c r="N142" s="1"/>
  <c r="L142"/>
  <c r="M141"/>
  <c r="N141" s="1"/>
  <c r="L141"/>
  <c r="L140"/>
  <c r="J142"/>
  <c r="K142" s="1"/>
  <c r="I142"/>
  <c r="J141"/>
  <c r="K141" s="1"/>
  <c r="I141"/>
  <c r="J140"/>
  <c r="K140" s="1"/>
  <c r="I140"/>
  <c r="AX24"/>
  <c r="AY24"/>
  <c r="AZ24"/>
  <c r="BA24"/>
  <c r="AX25"/>
  <c r="AY25"/>
  <c r="AZ25"/>
  <c r="BA25"/>
  <c r="AX27"/>
  <c r="AY27"/>
  <c r="AZ27"/>
  <c r="BA27"/>
  <c r="AL141" l="1"/>
  <c r="AR141"/>
  <c r="AI141"/>
  <c r="Q142"/>
  <c r="AV142"/>
  <c r="Q141"/>
  <c r="AV141"/>
  <c r="AC142"/>
  <c r="AC141"/>
  <c r="Z141"/>
  <c r="W141"/>
  <c r="T141"/>
  <c r="N36"/>
  <c r="N12"/>
  <c r="M93" l="1"/>
  <c r="N49"/>
  <c r="U101" l="1"/>
  <c r="L101"/>
  <c r="AW24" l="1"/>
  <c r="AW25"/>
  <c r="AW49" l="1"/>
  <c r="K101"/>
  <c r="J40" l="1"/>
  <c r="K64" l="1"/>
  <c r="J62"/>
  <c r="J93"/>
  <c r="AJ146"/>
  <c r="L134" l="1"/>
  <c r="L93" l="1"/>
  <c r="I93"/>
  <c r="O139"/>
  <c r="L139"/>
  <c r="N139" s="1"/>
  <c r="L40"/>
  <c r="AP139"/>
  <c r="AM139"/>
  <c r="AJ139"/>
  <c r="AG139"/>
  <c r="X139"/>
  <c r="U139"/>
  <c r="R139"/>
  <c r="I139"/>
  <c r="K139" l="1"/>
  <c r="K93"/>
  <c r="AM40"/>
  <c r="AJ40"/>
  <c r="AG40"/>
  <c r="AD40"/>
  <c r="AA40"/>
  <c r="X40"/>
  <c r="U40"/>
  <c r="R40"/>
  <c r="O40"/>
  <c r="AY141"/>
  <c r="AX141"/>
  <c r="AW141" l="1"/>
  <c r="AZ141"/>
  <c r="I40"/>
  <c r="AP40"/>
  <c r="AP98" l="1"/>
  <c r="AM98"/>
  <c r="AJ98"/>
  <c r="AG98"/>
  <c r="AD98"/>
  <c r="AA98"/>
  <c r="X98"/>
  <c r="U98"/>
  <c r="R98"/>
  <c r="O98"/>
  <c r="L98"/>
  <c r="I98"/>
  <c r="BA139" l="1"/>
  <c r="AZ139"/>
  <c r="AY139"/>
  <c r="AX139"/>
  <c r="AW139"/>
  <c r="AO139"/>
  <c r="AL139"/>
  <c r="AI139"/>
  <c r="G139"/>
  <c r="F139"/>
  <c r="BA138"/>
  <c r="AZ138"/>
  <c r="AY138"/>
  <c r="AX138"/>
  <c r="G138"/>
  <c r="F138"/>
  <c r="AR137"/>
  <c r="AQ137"/>
  <c r="AP137"/>
  <c r="AN137"/>
  <c r="AM137"/>
  <c r="AO137" s="1"/>
  <c r="AK137"/>
  <c r="AJ137"/>
  <c r="AH137"/>
  <c r="AG137"/>
  <c r="AI137" s="1"/>
  <c r="AF137"/>
  <c r="AE137"/>
  <c r="AD137"/>
  <c r="AC137"/>
  <c r="AB137"/>
  <c r="AA137"/>
  <c r="AZ137" s="1"/>
  <c r="Z137"/>
  <c r="Y137"/>
  <c r="X137"/>
  <c r="W137"/>
  <c r="V137"/>
  <c r="U137"/>
  <c r="S137"/>
  <c r="R137"/>
  <c r="P137"/>
  <c r="O137"/>
  <c r="M137"/>
  <c r="L137"/>
  <c r="J137"/>
  <c r="I137"/>
  <c r="AZ134"/>
  <c r="AY134"/>
  <c r="AP134"/>
  <c r="BA134" s="1"/>
  <c r="AO134"/>
  <c r="AL134"/>
  <c r="Z134"/>
  <c r="W134"/>
  <c r="T134"/>
  <c r="Q134"/>
  <c r="G134"/>
  <c r="AZ133"/>
  <c r="AY133"/>
  <c r="AX133"/>
  <c r="AW133"/>
  <c r="AP133"/>
  <c r="AO133"/>
  <c r="AL133"/>
  <c r="AC133"/>
  <c r="Z133"/>
  <c r="W133"/>
  <c r="T133"/>
  <c r="Q133"/>
  <c r="N133"/>
  <c r="G133"/>
  <c r="F133"/>
  <c r="AR132"/>
  <c r="AQ132"/>
  <c r="AN132"/>
  <c r="AO132" s="1"/>
  <c r="AM132"/>
  <c r="AK132"/>
  <c r="AJ132"/>
  <c r="AI132"/>
  <c r="AH132"/>
  <c r="AG132"/>
  <c r="AF132"/>
  <c r="AE132"/>
  <c r="AD132"/>
  <c r="AB132"/>
  <c r="AC132" s="1"/>
  <c r="AA132"/>
  <c r="Y132"/>
  <c r="X132"/>
  <c r="V132"/>
  <c r="W132" s="1"/>
  <c r="U132"/>
  <c r="S132"/>
  <c r="R132"/>
  <c r="P132"/>
  <c r="O132"/>
  <c r="M132"/>
  <c r="L132"/>
  <c r="K132"/>
  <c r="J132"/>
  <c r="I132"/>
  <c r="BA129"/>
  <c r="AZ129"/>
  <c r="AY129"/>
  <c r="AX129"/>
  <c r="G129"/>
  <c r="F129"/>
  <c r="BA128"/>
  <c r="AZ128"/>
  <c r="AY128"/>
  <c r="AX128"/>
  <c r="AW128"/>
  <c r="AO128"/>
  <c r="AL128"/>
  <c r="AI128"/>
  <c r="AF128"/>
  <c r="AC128"/>
  <c r="Z128"/>
  <c r="W128"/>
  <c r="T128"/>
  <c r="Q128"/>
  <c r="N128"/>
  <c r="G128"/>
  <c r="F128"/>
  <c r="AX127"/>
  <c r="AR127"/>
  <c r="AQ127"/>
  <c r="AP127"/>
  <c r="AN127"/>
  <c r="AO127" s="1"/>
  <c r="AM127"/>
  <c r="AK127"/>
  <c r="AJ127"/>
  <c r="AH127"/>
  <c r="AI127" s="1"/>
  <c r="AG127"/>
  <c r="AE127"/>
  <c r="AD127"/>
  <c r="AB127"/>
  <c r="AC127" s="1"/>
  <c r="AA127"/>
  <c r="Y127"/>
  <c r="X127"/>
  <c r="V127"/>
  <c r="W127" s="1"/>
  <c r="U127"/>
  <c r="S127"/>
  <c r="R127"/>
  <c r="AY127" s="1"/>
  <c r="P127"/>
  <c r="O127"/>
  <c r="M127"/>
  <c r="L127"/>
  <c r="J127"/>
  <c r="I127"/>
  <c r="G127"/>
  <c r="BA124"/>
  <c r="AZ124"/>
  <c r="AY124"/>
  <c r="AX124"/>
  <c r="G124"/>
  <c r="F124"/>
  <c r="BA123"/>
  <c r="AZ123"/>
  <c r="AY123"/>
  <c r="AX123"/>
  <c r="G123"/>
  <c r="F123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Y122"/>
  <c r="X122"/>
  <c r="W122"/>
  <c r="V122"/>
  <c r="U122"/>
  <c r="S122"/>
  <c r="R122"/>
  <c r="P122"/>
  <c r="O122"/>
  <c r="N122"/>
  <c r="M122"/>
  <c r="L122"/>
  <c r="K122"/>
  <c r="J122"/>
  <c r="I122"/>
  <c r="BA121"/>
  <c r="AZ121"/>
  <c r="AY121"/>
  <c r="AX121"/>
  <c r="AC121"/>
  <c r="Z121"/>
  <c r="G121"/>
  <c r="F121"/>
  <c r="BA120"/>
  <c r="AZ120"/>
  <c r="AY120"/>
  <c r="AX120"/>
  <c r="G120"/>
  <c r="F120"/>
  <c r="AR119"/>
  <c r="AQ119"/>
  <c r="AP119"/>
  <c r="AO119"/>
  <c r="AN119"/>
  <c r="AM119"/>
  <c r="AL119"/>
  <c r="AK119"/>
  <c r="AJ119"/>
  <c r="AI119"/>
  <c r="AH119"/>
  <c r="AG119"/>
  <c r="AF119"/>
  <c r="AE119"/>
  <c r="AD119"/>
  <c r="AB119"/>
  <c r="AA119"/>
  <c r="AZ119" s="1"/>
  <c r="Y119"/>
  <c r="X119"/>
  <c r="W119"/>
  <c r="V119"/>
  <c r="U119"/>
  <c r="S119"/>
  <c r="R119"/>
  <c r="P119"/>
  <c r="O119"/>
  <c r="N119"/>
  <c r="M119"/>
  <c r="L119"/>
  <c r="K119"/>
  <c r="J119"/>
  <c r="I119"/>
  <c r="F119"/>
  <c r="BA118"/>
  <c r="AZ118"/>
  <c r="AY118"/>
  <c r="AX118"/>
  <c r="AW118"/>
  <c r="Z118"/>
  <c r="W118"/>
  <c r="T118"/>
  <c r="G118"/>
  <c r="F118"/>
  <c r="BA117"/>
  <c r="AZ117"/>
  <c r="AY117"/>
  <c r="AX117"/>
  <c r="G117"/>
  <c r="F117"/>
  <c r="AR116"/>
  <c r="AQ116"/>
  <c r="AP116"/>
  <c r="AO116"/>
  <c r="AN116"/>
  <c r="AM116"/>
  <c r="AL116"/>
  <c r="AK116"/>
  <c r="AJ116"/>
  <c r="BA116" s="1"/>
  <c r="AI116"/>
  <c r="AH116"/>
  <c r="AG116"/>
  <c r="AF116"/>
  <c r="AE116"/>
  <c r="AD116"/>
  <c r="AB116"/>
  <c r="AA116"/>
  <c r="AZ116" s="1"/>
  <c r="Y116"/>
  <c r="X116"/>
  <c r="Z116" s="1"/>
  <c r="V116"/>
  <c r="U116"/>
  <c r="S116"/>
  <c r="R116"/>
  <c r="AY116" s="1"/>
  <c r="P116"/>
  <c r="O116"/>
  <c r="N116"/>
  <c r="M116"/>
  <c r="G116" s="1"/>
  <c r="L116"/>
  <c r="K116"/>
  <c r="J116"/>
  <c r="I116"/>
  <c r="BA115"/>
  <c r="AZ115"/>
  <c r="AY115"/>
  <c r="AX115"/>
  <c r="G115"/>
  <c r="F115"/>
  <c r="BA114"/>
  <c r="AZ114"/>
  <c r="AY114"/>
  <c r="AX114"/>
  <c r="G114"/>
  <c r="F114"/>
  <c r="AR113"/>
  <c r="AQ113"/>
  <c r="AP113"/>
  <c r="AN113"/>
  <c r="AM113"/>
  <c r="AL113"/>
  <c r="AK113"/>
  <c r="AJ113"/>
  <c r="BA113" s="1"/>
  <c r="AI113"/>
  <c r="AH113"/>
  <c r="AG113"/>
  <c r="AF113"/>
  <c r="AE113"/>
  <c r="AD113"/>
  <c r="AC113"/>
  <c r="AB113"/>
  <c r="AA113"/>
  <c r="W113"/>
  <c r="V113"/>
  <c r="U113"/>
  <c r="S113"/>
  <c r="R113"/>
  <c r="AY113" s="1"/>
  <c r="P113"/>
  <c r="O113"/>
  <c r="N113"/>
  <c r="M113"/>
  <c r="G113" s="1"/>
  <c r="L113"/>
  <c r="K113"/>
  <c r="J113"/>
  <c r="I113"/>
  <c r="BA112"/>
  <c r="AZ112"/>
  <c r="AY112"/>
  <c r="AX112"/>
  <c r="T112"/>
  <c r="Q112"/>
  <c r="G112"/>
  <c r="F112"/>
  <c r="BA111"/>
  <c r="AZ111"/>
  <c r="AY111"/>
  <c r="AX111"/>
  <c r="T111"/>
  <c r="Q111"/>
  <c r="G111"/>
  <c r="F111"/>
  <c r="AR110"/>
  <c r="AQ110"/>
  <c r="AP110"/>
  <c r="AO110"/>
  <c r="AN110"/>
  <c r="AM110"/>
  <c r="BA110" s="1"/>
  <c r="AL110"/>
  <c r="AK110"/>
  <c r="AJ110"/>
  <c r="AI110"/>
  <c r="AH110"/>
  <c r="AG110"/>
  <c r="AF110"/>
  <c r="AE110"/>
  <c r="AD110"/>
  <c r="AC110"/>
  <c r="AB110"/>
  <c r="AA110"/>
  <c r="AZ110" s="1"/>
  <c r="Y110"/>
  <c r="X110"/>
  <c r="W110"/>
  <c r="V110"/>
  <c r="U110"/>
  <c r="S110"/>
  <c r="T110" s="1"/>
  <c r="R110"/>
  <c r="P110"/>
  <c r="O110"/>
  <c r="N110"/>
  <c r="M110"/>
  <c r="L110"/>
  <c r="K110"/>
  <c r="J110"/>
  <c r="I110"/>
  <c r="BA109"/>
  <c r="AZ109"/>
  <c r="AY109"/>
  <c r="AX109"/>
  <c r="AW109"/>
  <c r="AO109"/>
  <c r="AL109"/>
  <c r="AI109"/>
  <c r="AF109"/>
  <c r="AC109"/>
  <c r="Z109"/>
  <c r="W109"/>
  <c r="T109"/>
  <c r="Q109"/>
  <c r="G109"/>
  <c r="H109" s="1"/>
  <c r="F109"/>
  <c r="BA108"/>
  <c r="AZ108"/>
  <c r="AY108"/>
  <c r="AX108"/>
  <c r="AW108"/>
  <c r="AF108"/>
  <c r="AC108"/>
  <c r="Z108"/>
  <c r="W108"/>
  <c r="G108"/>
  <c r="F108"/>
  <c r="AR107"/>
  <c r="AQ107"/>
  <c r="AP107"/>
  <c r="AN107"/>
  <c r="AM107"/>
  <c r="AO107" s="1"/>
  <c r="AK107"/>
  <c r="AJ107"/>
  <c r="BA107" s="1"/>
  <c r="AH107"/>
  <c r="AG107"/>
  <c r="AI107" s="1"/>
  <c r="AE107"/>
  <c r="AD107"/>
  <c r="AB107"/>
  <c r="AA107"/>
  <c r="Y107"/>
  <c r="X107"/>
  <c r="V107"/>
  <c r="U107"/>
  <c r="S107"/>
  <c r="R107"/>
  <c r="P107"/>
  <c r="AV107" s="1"/>
  <c r="O107"/>
  <c r="N107"/>
  <c r="M107"/>
  <c r="L107"/>
  <c r="K107"/>
  <c r="J107"/>
  <c r="I107"/>
  <c r="AY106"/>
  <c r="AX106"/>
  <c r="AW106"/>
  <c r="AM106"/>
  <c r="AL106"/>
  <c r="AI106"/>
  <c r="AF106"/>
  <c r="AZ106"/>
  <c r="Z106"/>
  <c r="W106"/>
  <c r="Q106"/>
  <c r="G106"/>
  <c r="BA105"/>
  <c r="AZ105"/>
  <c r="AY105"/>
  <c r="AX105"/>
  <c r="AW105"/>
  <c r="AO105"/>
  <c r="G105"/>
  <c r="F105"/>
  <c r="AR104"/>
  <c r="AQ104"/>
  <c r="AP104"/>
  <c r="AN104"/>
  <c r="AM104"/>
  <c r="AK104"/>
  <c r="AJ104"/>
  <c r="BA104" s="1"/>
  <c r="AH104"/>
  <c r="AG104"/>
  <c r="AE104"/>
  <c r="AD104"/>
  <c r="AB104"/>
  <c r="Y104"/>
  <c r="X104"/>
  <c r="V104"/>
  <c r="U104"/>
  <c r="S104"/>
  <c r="R104"/>
  <c r="P104"/>
  <c r="AV104" s="1"/>
  <c r="O104"/>
  <c r="N104"/>
  <c r="M104"/>
  <c r="L104"/>
  <c r="K104"/>
  <c r="J104"/>
  <c r="I104"/>
  <c r="G104"/>
  <c r="BA101"/>
  <c r="AZ101"/>
  <c r="AY101"/>
  <c r="AX101"/>
  <c r="N101"/>
  <c r="G101"/>
  <c r="F101"/>
  <c r="BA100"/>
  <c r="AZ100"/>
  <c r="AY100"/>
  <c r="AX100"/>
  <c r="AW100"/>
  <c r="AO100"/>
  <c r="AL100"/>
  <c r="AI100"/>
  <c r="AF100"/>
  <c r="AC100"/>
  <c r="Z100"/>
  <c r="W100"/>
  <c r="T100"/>
  <c r="Q100"/>
  <c r="N100"/>
  <c r="K100"/>
  <c r="G100"/>
  <c r="F100"/>
  <c r="AR99"/>
  <c r="AQ99"/>
  <c r="AP99"/>
  <c r="AP140" s="1"/>
  <c r="AR140" s="1"/>
  <c r="AN99"/>
  <c r="AM99"/>
  <c r="AK99"/>
  <c r="AJ99"/>
  <c r="AH99"/>
  <c r="AG99"/>
  <c r="AE99"/>
  <c r="AD99"/>
  <c r="AB99"/>
  <c r="AA99"/>
  <c r="AZ99" s="1"/>
  <c r="Y99"/>
  <c r="X99"/>
  <c r="V99"/>
  <c r="U99"/>
  <c r="W99" s="1"/>
  <c r="S99"/>
  <c r="R99"/>
  <c r="P99"/>
  <c r="O99"/>
  <c r="M99"/>
  <c r="M140" s="1"/>
  <c r="N140" s="1"/>
  <c r="L99"/>
  <c r="J99"/>
  <c r="I99"/>
  <c r="G99"/>
  <c r="BA98"/>
  <c r="AZ98"/>
  <c r="AY98"/>
  <c r="AX98"/>
  <c r="AO98"/>
  <c r="AL98"/>
  <c r="AI98"/>
  <c r="AF98"/>
  <c r="AC98"/>
  <c r="Z98"/>
  <c r="W98"/>
  <c r="T98"/>
  <c r="Q98"/>
  <c r="N98"/>
  <c r="K98"/>
  <c r="G98"/>
  <c r="F98"/>
  <c r="BA97"/>
  <c r="AZ97"/>
  <c r="AY97"/>
  <c r="AX97"/>
  <c r="G97"/>
  <c r="F97"/>
  <c r="AR96"/>
  <c r="AQ96"/>
  <c r="AP96"/>
  <c r="AN96"/>
  <c r="AM96"/>
  <c r="AK96"/>
  <c r="AJ96"/>
  <c r="BA96" s="1"/>
  <c r="AH96"/>
  <c r="AG96"/>
  <c r="AE96"/>
  <c r="AD96"/>
  <c r="AB96"/>
  <c r="AA96"/>
  <c r="AZ96" s="1"/>
  <c r="Y96"/>
  <c r="X96"/>
  <c r="V96"/>
  <c r="U96"/>
  <c r="S96"/>
  <c r="R96"/>
  <c r="P96"/>
  <c r="O96"/>
  <c r="M96"/>
  <c r="L96"/>
  <c r="J96"/>
  <c r="I96"/>
  <c r="BA95"/>
  <c r="AZ95"/>
  <c r="AY95"/>
  <c r="AX95"/>
  <c r="BA94"/>
  <c r="AZ94"/>
  <c r="AY94"/>
  <c r="AX94"/>
  <c r="BA93"/>
  <c r="AZ93"/>
  <c r="AY93"/>
  <c r="AX93"/>
  <c r="AO93"/>
  <c r="AL93"/>
  <c r="AC93"/>
  <c r="Z93"/>
  <c r="W93"/>
  <c r="T93"/>
  <c r="Q93"/>
  <c r="N93"/>
  <c r="G93"/>
  <c r="F93"/>
  <c r="BA92"/>
  <c r="AZ92"/>
  <c r="AY92"/>
  <c r="AX92"/>
  <c r="AW92"/>
  <c r="AC92"/>
  <c r="Z92"/>
  <c r="W92"/>
  <c r="G92"/>
  <c r="F92"/>
  <c r="AR91"/>
  <c r="AQ91"/>
  <c r="AP91"/>
  <c r="AN91"/>
  <c r="AM91"/>
  <c r="AK91"/>
  <c r="AJ91"/>
  <c r="AI91"/>
  <c r="AH91"/>
  <c r="AG91"/>
  <c r="AF91"/>
  <c r="AE91"/>
  <c r="AD91"/>
  <c r="AB91"/>
  <c r="AA91"/>
  <c r="AZ91" s="1"/>
  <c r="Y91"/>
  <c r="X91"/>
  <c r="V91"/>
  <c r="U91"/>
  <c r="S91"/>
  <c r="R91"/>
  <c r="P91"/>
  <c r="AV91" s="1"/>
  <c r="O91"/>
  <c r="M91"/>
  <c r="L91"/>
  <c r="J91"/>
  <c r="I91"/>
  <c r="BA90"/>
  <c r="AZ90"/>
  <c r="AY90"/>
  <c r="AX90"/>
  <c r="AW90"/>
  <c r="AO90"/>
  <c r="G90"/>
  <c r="F90"/>
  <c r="BA89"/>
  <c r="AZ89"/>
  <c r="AY89"/>
  <c r="AX89"/>
  <c r="AW89"/>
  <c r="Z89"/>
  <c r="G89"/>
  <c r="F89"/>
  <c r="AR88"/>
  <c r="AQ88"/>
  <c r="AP88"/>
  <c r="AN88"/>
  <c r="AM88"/>
  <c r="AO88" s="1"/>
  <c r="AL88"/>
  <c r="AK88"/>
  <c r="AJ88"/>
  <c r="BA88" s="1"/>
  <c r="AH88"/>
  <c r="AG88"/>
  <c r="AE88"/>
  <c r="AD88"/>
  <c r="AB88"/>
  <c r="AA88"/>
  <c r="AZ88" s="1"/>
  <c r="Y88"/>
  <c r="X88"/>
  <c r="W88"/>
  <c r="V88"/>
  <c r="U88"/>
  <c r="S88"/>
  <c r="R88"/>
  <c r="P88"/>
  <c r="O88"/>
  <c r="M88"/>
  <c r="L88"/>
  <c r="K88"/>
  <c r="J88"/>
  <c r="I88"/>
  <c r="BA87"/>
  <c r="AZ87"/>
  <c r="AY87"/>
  <c r="AX87"/>
  <c r="AW87"/>
  <c r="AL87"/>
  <c r="AC87"/>
  <c r="W87"/>
  <c r="G87"/>
  <c r="F87"/>
  <c r="BA86"/>
  <c r="AZ86"/>
  <c r="AY86"/>
  <c r="AX86"/>
  <c r="G86"/>
  <c r="F86"/>
  <c r="AR85"/>
  <c r="AQ85"/>
  <c r="AP85"/>
  <c r="AO85"/>
  <c r="AN85"/>
  <c r="AM85"/>
  <c r="AK85"/>
  <c r="AJ85"/>
  <c r="BA85" s="1"/>
  <c r="AH85"/>
  <c r="AG85"/>
  <c r="AF85"/>
  <c r="AE85"/>
  <c r="AD85"/>
  <c r="AB85"/>
  <c r="AC85" s="1"/>
  <c r="AA85"/>
  <c r="Y85"/>
  <c r="X85"/>
  <c r="V85"/>
  <c r="U85"/>
  <c r="S85"/>
  <c r="R85"/>
  <c r="AY85" s="1"/>
  <c r="P85"/>
  <c r="O85"/>
  <c r="M85"/>
  <c r="L85"/>
  <c r="K85"/>
  <c r="J85"/>
  <c r="I85"/>
  <c r="BA84"/>
  <c r="AZ84"/>
  <c r="AY84"/>
  <c r="AX84"/>
  <c r="AW84"/>
  <c r="AI84"/>
  <c r="AF84"/>
  <c r="G84"/>
  <c r="F84"/>
  <c r="BA83"/>
  <c r="AZ83"/>
  <c r="AY83"/>
  <c r="AX83"/>
  <c r="AW83"/>
  <c r="AC83"/>
  <c r="G83"/>
  <c r="F83"/>
  <c r="AR82"/>
  <c r="AQ82"/>
  <c r="AP82"/>
  <c r="AN82"/>
  <c r="AM82"/>
  <c r="AL82"/>
  <c r="AK82"/>
  <c r="AJ82"/>
  <c r="AH82"/>
  <c r="AG82"/>
  <c r="AE82"/>
  <c r="AF82" s="1"/>
  <c r="AD82"/>
  <c r="AB82"/>
  <c r="AA82"/>
  <c r="AZ82" s="1"/>
  <c r="Y82"/>
  <c r="X82"/>
  <c r="W82"/>
  <c r="V82"/>
  <c r="U82"/>
  <c r="S82"/>
  <c r="R82"/>
  <c r="P82"/>
  <c r="O82"/>
  <c r="M82"/>
  <c r="L82"/>
  <c r="K82"/>
  <c r="J82"/>
  <c r="I82"/>
  <c r="BA81"/>
  <c r="AZ81"/>
  <c r="AY81"/>
  <c r="AX81"/>
  <c r="G81"/>
  <c r="F81"/>
  <c r="BA80"/>
  <c r="AZ80"/>
  <c r="AY80"/>
  <c r="AX80"/>
  <c r="G80"/>
  <c r="F80"/>
  <c r="AR79"/>
  <c r="AQ79"/>
  <c r="AP79"/>
  <c r="AO79"/>
  <c r="AN79"/>
  <c r="AM79"/>
  <c r="BA79" s="1"/>
  <c r="AL79"/>
  <c r="AK79"/>
  <c r="AJ79"/>
  <c r="AH79"/>
  <c r="AG79"/>
  <c r="AF79"/>
  <c r="AE79"/>
  <c r="AD79"/>
  <c r="AB79"/>
  <c r="AA79"/>
  <c r="AZ79" s="1"/>
  <c r="Y79"/>
  <c r="X79"/>
  <c r="W79"/>
  <c r="V79"/>
  <c r="U79"/>
  <c r="S79"/>
  <c r="R79"/>
  <c r="P79"/>
  <c r="O79"/>
  <c r="M79"/>
  <c r="G79" s="1"/>
  <c r="L79"/>
  <c r="K79"/>
  <c r="J79"/>
  <c r="I79"/>
  <c r="BA78"/>
  <c r="AZ78"/>
  <c r="AY78"/>
  <c r="AX78"/>
  <c r="AW78"/>
  <c r="AO78"/>
  <c r="AF78"/>
  <c r="AC78"/>
  <c r="Z78"/>
  <c r="W78"/>
  <c r="G78"/>
  <c r="F78"/>
  <c r="BA77"/>
  <c r="AZ77"/>
  <c r="AY77"/>
  <c r="AX77"/>
  <c r="G77"/>
  <c r="F77"/>
  <c r="AR76"/>
  <c r="AQ76"/>
  <c r="AP76"/>
  <c r="AN76"/>
  <c r="AO76" s="1"/>
  <c r="AM76"/>
  <c r="AL76"/>
  <c r="AK76"/>
  <c r="AJ76"/>
  <c r="AH76"/>
  <c r="AG76"/>
  <c r="AE76"/>
  <c r="AD76"/>
  <c r="AB76"/>
  <c r="AA76"/>
  <c r="AZ76" s="1"/>
  <c r="Y76"/>
  <c r="X76"/>
  <c r="V76"/>
  <c r="U76"/>
  <c r="W76" s="1"/>
  <c r="S76"/>
  <c r="R76"/>
  <c r="AY76" s="1"/>
  <c r="P76"/>
  <c r="O76"/>
  <c r="M76"/>
  <c r="L76"/>
  <c r="AX76" s="1"/>
  <c r="K76"/>
  <c r="J76"/>
  <c r="I76"/>
  <c r="F76"/>
  <c r="BA75"/>
  <c r="AZ75"/>
  <c r="AY75"/>
  <c r="AX75"/>
  <c r="AW75"/>
  <c r="AL75"/>
  <c r="AI75"/>
  <c r="AF75"/>
  <c r="AC75"/>
  <c r="Z75"/>
  <c r="G75"/>
  <c r="F75"/>
  <c r="BA74"/>
  <c r="AZ74"/>
  <c r="AY74"/>
  <c r="AX74"/>
  <c r="G74"/>
  <c r="F74"/>
  <c r="AR73"/>
  <c r="AQ73"/>
  <c r="AP73"/>
  <c r="AN73"/>
  <c r="AM73"/>
  <c r="AK73"/>
  <c r="AL73" s="1"/>
  <c r="AJ73"/>
  <c r="BA73" s="1"/>
  <c r="AH73"/>
  <c r="AG73"/>
  <c r="AE73"/>
  <c r="AF73" s="1"/>
  <c r="AD73"/>
  <c r="AB73"/>
  <c r="AA73"/>
  <c r="Y73"/>
  <c r="Z73" s="1"/>
  <c r="X73"/>
  <c r="W73"/>
  <c r="V73"/>
  <c r="U73"/>
  <c r="S73"/>
  <c r="R73"/>
  <c r="AY73" s="1"/>
  <c r="P73"/>
  <c r="O73"/>
  <c r="M73"/>
  <c r="L73"/>
  <c r="K73"/>
  <c r="J73"/>
  <c r="I73"/>
  <c r="G73"/>
  <c r="BA70"/>
  <c r="AZ70"/>
  <c r="AY70"/>
  <c r="AX70"/>
  <c r="AW70"/>
  <c r="AI70"/>
  <c r="G70"/>
  <c r="F70"/>
  <c r="BA69"/>
  <c r="AZ69"/>
  <c r="AY69"/>
  <c r="AX69"/>
  <c r="G69"/>
  <c r="F69"/>
  <c r="AR68"/>
  <c r="AQ68"/>
  <c r="AP68"/>
  <c r="AO68"/>
  <c r="AN68"/>
  <c r="AM68"/>
  <c r="AL68"/>
  <c r="AK68"/>
  <c r="AJ68"/>
  <c r="BA68" s="1"/>
  <c r="AH68"/>
  <c r="AG68"/>
  <c r="AI68" s="1"/>
  <c r="AF68"/>
  <c r="AE68"/>
  <c r="AD68"/>
  <c r="AB68"/>
  <c r="AA68"/>
  <c r="Y68"/>
  <c r="X68"/>
  <c r="W68"/>
  <c r="V68"/>
  <c r="U68"/>
  <c r="S68"/>
  <c r="R68"/>
  <c r="AY68" s="1"/>
  <c r="P68"/>
  <c r="O68"/>
  <c r="M68"/>
  <c r="L68"/>
  <c r="K68"/>
  <c r="J68"/>
  <c r="I68"/>
  <c r="BA67"/>
  <c r="AZ67"/>
  <c r="AY67"/>
  <c r="AX67"/>
  <c r="AW67"/>
  <c r="AC67"/>
  <c r="T67"/>
  <c r="R67"/>
  <c r="G67"/>
  <c r="F67"/>
  <c r="H67" s="1"/>
  <c r="BA66"/>
  <c r="AZ66"/>
  <c r="AY66"/>
  <c r="AX66"/>
  <c r="G66"/>
  <c r="F66"/>
  <c r="AR65"/>
  <c r="AQ65"/>
  <c r="AP65"/>
  <c r="AO65"/>
  <c r="AN65"/>
  <c r="AM65"/>
  <c r="AL65"/>
  <c r="AK65"/>
  <c r="AJ65"/>
  <c r="AI65"/>
  <c r="AH65"/>
  <c r="AG65"/>
  <c r="AF65"/>
  <c r="AE65"/>
  <c r="AD65"/>
  <c r="AB65"/>
  <c r="AC65" s="1"/>
  <c r="AA65"/>
  <c r="Y65"/>
  <c r="X65"/>
  <c r="W65"/>
  <c r="V65"/>
  <c r="U65"/>
  <c r="S65"/>
  <c r="R65"/>
  <c r="AY65" s="1"/>
  <c r="P65"/>
  <c r="O65"/>
  <c r="M65"/>
  <c r="L65"/>
  <c r="K65"/>
  <c r="J65"/>
  <c r="I65"/>
  <c r="G65"/>
  <c r="BA64"/>
  <c r="AZ64"/>
  <c r="AY64"/>
  <c r="AX64"/>
  <c r="AW64"/>
  <c r="AO64"/>
  <c r="AL64"/>
  <c r="AI64"/>
  <c r="W64"/>
  <c r="T64"/>
  <c r="G64"/>
  <c r="F64"/>
  <c r="BA63"/>
  <c r="AZ63"/>
  <c r="AY63"/>
  <c r="AX63"/>
  <c r="G63"/>
  <c r="F63"/>
  <c r="AR62"/>
  <c r="AQ62"/>
  <c r="AP62"/>
  <c r="AN62"/>
  <c r="AM62"/>
  <c r="AK62"/>
  <c r="AJ62"/>
  <c r="BA62" s="1"/>
  <c r="AH62"/>
  <c r="AG62"/>
  <c r="AF62"/>
  <c r="AE62"/>
  <c r="AD62"/>
  <c r="AC62"/>
  <c r="AB62"/>
  <c r="AA62"/>
  <c r="AZ62" s="1"/>
  <c r="Y62"/>
  <c r="X62"/>
  <c r="V62"/>
  <c r="U62"/>
  <c r="W62" s="1"/>
  <c r="S62"/>
  <c r="R62"/>
  <c r="AY62" s="1"/>
  <c r="P62"/>
  <c r="O62"/>
  <c r="M62"/>
  <c r="L62"/>
  <c r="I62"/>
  <c r="BA61"/>
  <c r="AZ61"/>
  <c r="AY61"/>
  <c r="AX61"/>
  <c r="AW61"/>
  <c r="AI61"/>
  <c r="T61"/>
  <c r="G61"/>
  <c r="F61"/>
  <c r="BA60"/>
  <c r="AZ60"/>
  <c r="AY60"/>
  <c r="AX60"/>
  <c r="G60"/>
  <c r="F60"/>
  <c r="AR59"/>
  <c r="AQ59"/>
  <c r="AP59"/>
  <c r="AO59"/>
  <c r="AN59"/>
  <c r="AM59"/>
  <c r="BA59" s="1"/>
  <c r="AL59"/>
  <c r="AK59"/>
  <c r="AJ59"/>
  <c r="AH59"/>
  <c r="AG59"/>
  <c r="AF59"/>
  <c r="AE59"/>
  <c r="AD59"/>
  <c r="AC59"/>
  <c r="AB59"/>
  <c r="AA59"/>
  <c r="Y59"/>
  <c r="X59"/>
  <c r="W59"/>
  <c r="V59"/>
  <c r="U59"/>
  <c r="S59"/>
  <c r="R59"/>
  <c r="AY59" s="1"/>
  <c r="P59"/>
  <c r="O59"/>
  <c r="M59"/>
  <c r="L59"/>
  <c r="F59" s="1"/>
  <c r="K59"/>
  <c r="J59"/>
  <c r="I59"/>
  <c r="BA58"/>
  <c r="AZ58"/>
  <c r="AY58"/>
  <c r="AX58"/>
  <c r="Z58"/>
  <c r="G58"/>
  <c r="F58"/>
  <c r="BA57"/>
  <c r="AZ57"/>
  <c r="AY57"/>
  <c r="AX57"/>
  <c r="G57"/>
  <c r="F57"/>
  <c r="AR56"/>
  <c r="AQ56"/>
  <c r="AP56"/>
  <c r="AO56"/>
  <c r="AN56"/>
  <c r="AM56"/>
  <c r="AL56"/>
  <c r="AK56"/>
  <c r="AJ56"/>
  <c r="BA56" s="1"/>
  <c r="AI56"/>
  <c r="AH56"/>
  <c r="AG56"/>
  <c r="AF56"/>
  <c r="AE56"/>
  <c r="AD56"/>
  <c r="AC56"/>
  <c r="AB56"/>
  <c r="AA56"/>
  <c r="Y56"/>
  <c r="Z56" s="1"/>
  <c r="X56"/>
  <c r="W56"/>
  <c r="V56"/>
  <c r="U56"/>
  <c r="S56"/>
  <c r="R56"/>
  <c r="AY56" s="1"/>
  <c r="P56"/>
  <c r="O56"/>
  <c r="M56"/>
  <c r="L56"/>
  <c r="K56"/>
  <c r="J56"/>
  <c r="I56"/>
  <c r="F56"/>
  <c r="BA53"/>
  <c r="AZ53"/>
  <c r="AY53"/>
  <c r="AX53"/>
  <c r="G53"/>
  <c r="F53"/>
  <c r="BA52"/>
  <c r="AZ52"/>
  <c r="AY52"/>
  <c r="AX52"/>
  <c r="G52"/>
  <c r="F52"/>
  <c r="AR51"/>
  <c r="AQ51"/>
  <c r="AP51"/>
  <c r="AO51"/>
  <c r="AN51"/>
  <c r="AM51"/>
  <c r="AL51"/>
  <c r="AK51"/>
  <c r="AJ51"/>
  <c r="BA51" s="1"/>
  <c r="AI51"/>
  <c r="AH51"/>
  <c r="AG51"/>
  <c r="AF51"/>
  <c r="AE51"/>
  <c r="AD51"/>
  <c r="AC51"/>
  <c r="AB51"/>
  <c r="AA51"/>
  <c r="Y51"/>
  <c r="G51" s="1"/>
  <c r="X51"/>
  <c r="W51"/>
  <c r="V51"/>
  <c r="U51"/>
  <c r="S51"/>
  <c r="R51"/>
  <c r="AY51" s="1"/>
  <c r="P51"/>
  <c r="O51"/>
  <c r="M51"/>
  <c r="L51"/>
  <c r="J51"/>
  <c r="I51"/>
  <c r="BA50"/>
  <c r="AZ50"/>
  <c r="AY50"/>
  <c r="AX50"/>
  <c r="AW50"/>
  <c r="AL50"/>
  <c r="W50"/>
  <c r="Q50"/>
  <c r="G50"/>
  <c r="F50"/>
  <c r="BA49"/>
  <c r="AZ49"/>
  <c r="AY49"/>
  <c r="AX49"/>
  <c r="G49"/>
  <c r="F49"/>
  <c r="AR48"/>
  <c r="AQ48"/>
  <c r="AP48"/>
  <c r="AO48"/>
  <c r="AN48"/>
  <c r="AM48"/>
  <c r="AK48"/>
  <c r="AJ48"/>
  <c r="AI48"/>
  <c r="AH48"/>
  <c r="AG48"/>
  <c r="AF48"/>
  <c r="AE48"/>
  <c r="AD48"/>
  <c r="AC48"/>
  <c r="AB48"/>
  <c r="AA48"/>
  <c r="Y48"/>
  <c r="X48"/>
  <c r="V48"/>
  <c r="U48"/>
  <c r="W48" s="1"/>
  <c r="S48"/>
  <c r="R48"/>
  <c r="AY48" s="1"/>
  <c r="P48"/>
  <c r="AV48" s="1"/>
  <c r="O48"/>
  <c r="M48"/>
  <c r="L48"/>
  <c r="J48"/>
  <c r="I48"/>
  <c r="F48" s="1"/>
  <c r="AR43"/>
  <c r="AQ43"/>
  <c r="AO40"/>
  <c r="AY40"/>
  <c r="G40"/>
  <c r="BA39"/>
  <c r="AZ39"/>
  <c r="AY39"/>
  <c r="AX39"/>
  <c r="AW39"/>
  <c r="AO39"/>
  <c r="AL39"/>
  <c r="AI39"/>
  <c r="W39"/>
  <c r="T39"/>
  <c r="Q39"/>
  <c r="N39"/>
  <c r="G39"/>
  <c r="F39"/>
  <c r="AR38"/>
  <c r="AQ38"/>
  <c r="AP38"/>
  <c r="AN38"/>
  <c r="AK38"/>
  <c r="AJ38"/>
  <c r="AH38"/>
  <c r="AE38"/>
  <c r="AD38"/>
  <c r="AB38"/>
  <c r="Y38"/>
  <c r="X38"/>
  <c r="V38"/>
  <c r="S38"/>
  <c r="R38"/>
  <c r="P38"/>
  <c r="AV38" s="1"/>
  <c r="M38"/>
  <c r="L38"/>
  <c r="J38"/>
  <c r="BA37"/>
  <c r="AZ37"/>
  <c r="AY37"/>
  <c r="AX37"/>
  <c r="AW37"/>
  <c r="AO37"/>
  <c r="AL37"/>
  <c r="AI37"/>
  <c r="AF37"/>
  <c r="AC37"/>
  <c r="Z37"/>
  <c r="W37"/>
  <c r="T37"/>
  <c r="Q37"/>
  <c r="N37"/>
  <c r="K37"/>
  <c r="G37"/>
  <c r="H37" s="1"/>
  <c r="F37"/>
  <c r="BA36"/>
  <c r="AZ36"/>
  <c r="AX36"/>
  <c r="K36"/>
  <c r="G36"/>
  <c r="AR35"/>
  <c r="AQ35"/>
  <c r="AP35"/>
  <c r="AN35"/>
  <c r="AM35"/>
  <c r="AK35"/>
  <c r="AJ35"/>
  <c r="AH35"/>
  <c r="AG35"/>
  <c r="AE35"/>
  <c r="AD35"/>
  <c r="AB35"/>
  <c r="AA35"/>
  <c r="AZ35" s="1"/>
  <c r="Y35"/>
  <c r="V35"/>
  <c r="U35"/>
  <c r="S35"/>
  <c r="R35"/>
  <c r="P35"/>
  <c r="AV35" s="1"/>
  <c r="O35"/>
  <c r="M35"/>
  <c r="L35"/>
  <c r="J35"/>
  <c r="I35"/>
  <c r="AX35" s="1"/>
  <c r="BA34"/>
  <c r="AZ34"/>
  <c r="AY34"/>
  <c r="AX34"/>
  <c r="G34"/>
  <c r="F34"/>
  <c r="BA33"/>
  <c r="AZ33"/>
  <c r="AY33"/>
  <c r="AX33"/>
  <c r="G33"/>
  <c r="F33"/>
  <c r="AR32"/>
  <c r="AQ32"/>
  <c r="AP32"/>
  <c r="AO32"/>
  <c r="AN32"/>
  <c r="AM32"/>
  <c r="AL32"/>
  <c r="AK32"/>
  <c r="AJ32"/>
  <c r="BA32" s="1"/>
  <c r="AH32"/>
  <c r="AG32"/>
  <c r="AF32"/>
  <c r="AE32"/>
  <c r="G32" s="1"/>
  <c r="AD32"/>
  <c r="AC32"/>
  <c r="AB32"/>
  <c r="AA32"/>
  <c r="AZ32" s="1"/>
  <c r="Y32"/>
  <c r="X32"/>
  <c r="V32"/>
  <c r="U32"/>
  <c r="S32"/>
  <c r="R32"/>
  <c r="AY32" s="1"/>
  <c r="P32"/>
  <c r="O32"/>
  <c r="M32"/>
  <c r="L32"/>
  <c r="J32"/>
  <c r="I32"/>
  <c r="BA31"/>
  <c r="AZ31"/>
  <c r="AY31"/>
  <c r="AX31"/>
  <c r="AW31"/>
  <c r="AO31"/>
  <c r="AL31"/>
  <c r="AI31"/>
  <c r="AF31"/>
  <c r="AC31"/>
  <c r="Z31"/>
  <c r="W31"/>
  <c r="T31"/>
  <c r="G31"/>
  <c r="H31" s="1"/>
  <c r="F31"/>
  <c r="BA30"/>
  <c r="AZ30"/>
  <c r="AY30"/>
  <c r="AX30"/>
  <c r="G30"/>
  <c r="F30"/>
  <c r="AR29"/>
  <c r="AQ29"/>
  <c r="AP29"/>
  <c r="AN29"/>
  <c r="AM29"/>
  <c r="AK29"/>
  <c r="AJ29"/>
  <c r="AH29"/>
  <c r="AG29"/>
  <c r="AI29" s="1"/>
  <c r="AE29"/>
  <c r="AD29"/>
  <c r="AB29"/>
  <c r="AA29"/>
  <c r="AZ29" s="1"/>
  <c r="Y29"/>
  <c r="X29"/>
  <c r="V29"/>
  <c r="U29"/>
  <c r="S29"/>
  <c r="R29"/>
  <c r="P29"/>
  <c r="O29"/>
  <c r="M29"/>
  <c r="L29"/>
  <c r="J29"/>
  <c r="I29"/>
  <c r="G29"/>
  <c r="BA28"/>
  <c r="AZ28"/>
  <c r="AY28"/>
  <c r="AX28"/>
  <c r="G28"/>
  <c r="F28"/>
  <c r="G27"/>
  <c r="F27"/>
  <c r="AR26"/>
  <c r="AQ26"/>
  <c r="AP26"/>
  <c r="AO26"/>
  <c r="AN26"/>
  <c r="AM26"/>
  <c r="AL26"/>
  <c r="AK26"/>
  <c r="AJ26"/>
  <c r="AH26"/>
  <c r="G26" s="1"/>
  <c r="AG26"/>
  <c r="AF26"/>
  <c r="AE26"/>
  <c r="AD26"/>
  <c r="AB26"/>
  <c r="AA26"/>
  <c r="AZ26" s="1"/>
  <c r="Y26"/>
  <c r="X26"/>
  <c r="V26"/>
  <c r="U26"/>
  <c r="S26"/>
  <c r="R26"/>
  <c r="AY26" s="1"/>
  <c r="P26"/>
  <c r="O26"/>
  <c r="M26"/>
  <c r="L26"/>
  <c r="J26"/>
  <c r="I26"/>
  <c r="T25"/>
  <c r="G25"/>
  <c r="F25"/>
  <c r="AF24"/>
  <c r="T24"/>
  <c r="G24"/>
  <c r="F24"/>
  <c r="AR23"/>
  <c r="AQ23"/>
  <c r="AP23"/>
  <c r="AO23"/>
  <c r="AN23"/>
  <c r="AM23"/>
  <c r="AL23"/>
  <c r="AK23"/>
  <c r="AJ23"/>
  <c r="AH23"/>
  <c r="AG23"/>
  <c r="AE23"/>
  <c r="AD23"/>
  <c r="AB23"/>
  <c r="AA23"/>
  <c r="AZ23" s="1"/>
  <c r="Y23"/>
  <c r="X23"/>
  <c r="V23"/>
  <c r="U23"/>
  <c r="S23"/>
  <c r="R23"/>
  <c r="AY23" s="1"/>
  <c r="P23"/>
  <c r="O23"/>
  <c r="M23"/>
  <c r="L23"/>
  <c r="J23"/>
  <c r="I23"/>
  <c r="G23"/>
  <c r="BA22"/>
  <c r="AZ22"/>
  <c r="AX22"/>
  <c r="AW22"/>
  <c r="AF22"/>
  <c r="Z22"/>
  <c r="R22"/>
  <c r="AY142" s="1"/>
  <c r="G22"/>
  <c r="F22"/>
  <c r="BA21"/>
  <c r="AZ21"/>
  <c r="AY21"/>
  <c r="AX21"/>
  <c r="AW21"/>
  <c r="G21"/>
  <c r="F21"/>
  <c r="AR20"/>
  <c r="AQ20"/>
  <c r="AP20"/>
  <c r="AN20"/>
  <c r="AO20" s="1"/>
  <c r="AM20"/>
  <c r="AL20"/>
  <c r="AK20"/>
  <c r="AJ20"/>
  <c r="BA20" s="1"/>
  <c r="AH20"/>
  <c r="AG20"/>
  <c r="AE20"/>
  <c r="AD20"/>
  <c r="AB20"/>
  <c r="AA20"/>
  <c r="Y20"/>
  <c r="X20"/>
  <c r="Z20" s="1"/>
  <c r="V20"/>
  <c r="U20"/>
  <c r="S20"/>
  <c r="R20"/>
  <c r="AY20" s="1"/>
  <c r="P20"/>
  <c r="O20"/>
  <c r="M20"/>
  <c r="L20"/>
  <c r="J20"/>
  <c r="I20"/>
  <c r="AZ19"/>
  <c r="AY19"/>
  <c r="AX19"/>
  <c r="AM19"/>
  <c r="AF19"/>
  <c r="Z19"/>
  <c r="K19"/>
  <c r="G19"/>
  <c r="BA18"/>
  <c r="AZ18"/>
  <c r="AY18"/>
  <c r="AX18"/>
  <c r="AW18"/>
  <c r="G18"/>
  <c r="F18"/>
  <c r="AR17"/>
  <c r="AQ17"/>
  <c r="AP17"/>
  <c r="AO17"/>
  <c r="AN17"/>
  <c r="AK17"/>
  <c r="AJ17"/>
  <c r="AH17"/>
  <c r="AG17"/>
  <c r="AE17"/>
  <c r="AD17"/>
  <c r="AB17"/>
  <c r="AA17"/>
  <c r="AZ17" s="1"/>
  <c r="Y17"/>
  <c r="Z17" s="1"/>
  <c r="X17"/>
  <c r="V17"/>
  <c r="U17"/>
  <c r="S17"/>
  <c r="R17"/>
  <c r="AY17" s="1"/>
  <c r="P17"/>
  <c r="O17"/>
  <c r="M17"/>
  <c r="L17"/>
  <c r="J17"/>
  <c r="I17"/>
  <c r="BA16"/>
  <c r="AZ16"/>
  <c r="AY16"/>
  <c r="AX16"/>
  <c r="AW16"/>
  <c r="AO16"/>
  <c r="AL16"/>
  <c r="AF16"/>
  <c r="Z16"/>
  <c r="W16"/>
  <c r="Q16"/>
  <c r="G16"/>
  <c r="F16"/>
  <c r="H16" s="1"/>
  <c r="BA15"/>
  <c r="AZ15"/>
  <c r="AY15"/>
  <c r="AX15"/>
  <c r="AW15"/>
  <c r="G15"/>
  <c r="F15"/>
  <c r="AR14"/>
  <c r="AQ14"/>
  <c r="AP14"/>
  <c r="AN14"/>
  <c r="AM14"/>
  <c r="AK14"/>
  <c r="AJ14"/>
  <c r="AH14"/>
  <c r="AG14"/>
  <c r="AE14"/>
  <c r="AD14"/>
  <c r="AF14" s="1"/>
  <c r="AB14"/>
  <c r="AA14"/>
  <c r="AZ14" s="1"/>
  <c r="Y14"/>
  <c r="X14"/>
  <c r="V14"/>
  <c r="U14"/>
  <c r="W14" s="1"/>
  <c r="S14"/>
  <c r="R14"/>
  <c r="AY14" s="1"/>
  <c r="P14"/>
  <c r="AV14" s="1"/>
  <c r="O14"/>
  <c r="M14"/>
  <c r="L14"/>
  <c r="J14"/>
  <c r="I14"/>
  <c r="BA13"/>
  <c r="AZ13"/>
  <c r="AY13"/>
  <c r="AX13"/>
  <c r="AW13"/>
  <c r="AO13"/>
  <c r="AL13"/>
  <c r="AI13"/>
  <c r="AF13"/>
  <c r="AC13"/>
  <c r="Z13"/>
  <c r="W13"/>
  <c r="T13"/>
  <c r="Q13"/>
  <c r="N13"/>
  <c r="K13"/>
  <c r="G13"/>
  <c r="F13"/>
  <c r="BA12"/>
  <c r="AZ12"/>
  <c r="AY12"/>
  <c r="AX12"/>
  <c r="K12"/>
  <c r="G12"/>
  <c r="G141" s="1"/>
  <c r="F12"/>
  <c r="AR11"/>
  <c r="AQ11"/>
  <c r="AP11"/>
  <c r="AN11"/>
  <c r="AM11"/>
  <c r="AK11"/>
  <c r="AJ11"/>
  <c r="AJ140" s="1"/>
  <c r="AL140" s="1"/>
  <c r="AH11"/>
  <c r="AG11"/>
  <c r="AE11"/>
  <c r="AD11"/>
  <c r="AB11"/>
  <c r="AA11"/>
  <c r="AZ11" s="1"/>
  <c r="Y11"/>
  <c r="X11"/>
  <c r="V11"/>
  <c r="U11"/>
  <c r="S11"/>
  <c r="T11" s="1"/>
  <c r="R11"/>
  <c r="P11"/>
  <c r="O11"/>
  <c r="M11"/>
  <c r="L11"/>
  <c r="J11"/>
  <c r="I11"/>
  <c r="AX11" s="1"/>
  <c r="BA10"/>
  <c r="AZ10"/>
  <c r="AY10"/>
  <c r="AX10"/>
  <c r="AW10"/>
  <c r="G10"/>
  <c r="F10"/>
  <c r="BA9"/>
  <c r="AZ9"/>
  <c r="AY9"/>
  <c r="AX9"/>
  <c r="AW9"/>
  <c r="G9"/>
  <c r="F9"/>
  <c r="AR8"/>
  <c r="AQ8"/>
  <c r="AP8"/>
  <c r="AO8"/>
  <c r="AN8"/>
  <c r="AM8"/>
  <c r="AL8"/>
  <c r="AK8"/>
  <c r="AJ8"/>
  <c r="AI8"/>
  <c r="AH8"/>
  <c r="AG8"/>
  <c r="AF8"/>
  <c r="AE8"/>
  <c r="AD8"/>
  <c r="AB8"/>
  <c r="AA8"/>
  <c r="AZ8" s="1"/>
  <c r="Y8"/>
  <c r="X8"/>
  <c r="W8"/>
  <c r="V8"/>
  <c r="U8"/>
  <c r="S8"/>
  <c r="R8"/>
  <c r="P8"/>
  <c r="O8"/>
  <c r="M8"/>
  <c r="L8"/>
  <c r="J8"/>
  <c r="I8"/>
  <c r="F8"/>
  <c r="AI99" l="1"/>
  <c r="AG140"/>
  <c r="AI140" s="1"/>
  <c r="AV137"/>
  <c r="Q137"/>
  <c r="Q132"/>
  <c r="AV132"/>
  <c r="Q127"/>
  <c r="AV127"/>
  <c r="G107"/>
  <c r="Q107"/>
  <c r="AV99"/>
  <c r="Q96"/>
  <c r="AV96"/>
  <c r="G35"/>
  <c r="Q91"/>
  <c r="AV62"/>
  <c r="Q62"/>
  <c r="AV17"/>
  <c r="Q17"/>
  <c r="P140"/>
  <c r="AV11"/>
  <c r="H13"/>
  <c r="G142"/>
  <c r="X140"/>
  <c r="Z140" s="1"/>
  <c r="H49"/>
  <c r="U140"/>
  <c r="W140" s="1"/>
  <c r="R140"/>
  <c r="T140" s="1"/>
  <c r="H92"/>
  <c r="AX14"/>
  <c r="K17"/>
  <c r="AX26"/>
  <c r="AX29"/>
  <c r="AX32"/>
  <c r="AX79"/>
  <c r="AX113"/>
  <c r="BA141"/>
  <c r="BA14"/>
  <c r="AZ20"/>
  <c r="AX20"/>
  <c r="AY29"/>
  <c r="BA29"/>
  <c r="AX65"/>
  <c r="AY91"/>
  <c r="BA91"/>
  <c r="BA99"/>
  <c r="AY107"/>
  <c r="G20"/>
  <c r="AX23"/>
  <c r="AW23"/>
  <c r="K62"/>
  <c r="G62"/>
  <c r="AX119"/>
  <c r="AW142"/>
  <c r="AX142"/>
  <c r="F14"/>
  <c r="Q14"/>
  <c r="Z14"/>
  <c r="AL14"/>
  <c r="AX17"/>
  <c r="AF17"/>
  <c r="F20"/>
  <c r="W20"/>
  <c r="AF20"/>
  <c r="H22"/>
  <c r="AY22"/>
  <c r="AF23"/>
  <c r="BA23"/>
  <c r="H24"/>
  <c r="BA26"/>
  <c r="T29"/>
  <c r="Z29"/>
  <c r="AF29"/>
  <c r="AL29"/>
  <c r="F32"/>
  <c r="T35"/>
  <c r="AI35"/>
  <c r="G48"/>
  <c r="N48"/>
  <c r="AZ48"/>
  <c r="BA48"/>
  <c r="H50"/>
  <c r="F51"/>
  <c r="AZ51"/>
  <c r="AX51"/>
  <c r="AZ56"/>
  <c r="AZ59"/>
  <c r="AI59"/>
  <c r="H61"/>
  <c r="T62"/>
  <c r="AI62"/>
  <c r="AO62"/>
  <c r="T65"/>
  <c r="AZ65"/>
  <c r="BA65"/>
  <c r="AZ68"/>
  <c r="H70"/>
  <c r="AC73"/>
  <c r="AZ73"/>
  <c r="Z76"/>
  <c r="AF76"/>
  <c r="F79"/>
  <c r="AY79"/>
  <c r="G82"/>
  <c r="AI82"/>
  <c r="BA82"/>
  <c r="W85"/>
  <c r="AZ85"/>
  <c r="AL85"/>
  <c r="H89"/>
  <c r="K91"/>
  <c r="T91"/>
  <c r="Z91"/>
  <c r="AL91"/>
  <c r="F96"/>
  <c r="Z96"/>
  <c r="AF96"/>
  <c r="T99"/>
  <c r="Z99"/>
  <c r="AF99"/>
  <c r="AL99"/>
  <c r="Q104"/>
  <c r="AA104"/>
  <c r="AA140" s="1"/>
  <c r="AC140" s="1"/>
  <c r="AI104"/>
  <c r="AO104"/>
  <c r="H105"/>
  <c r="AC106"/>
  <c r="T107"/>
  <c r="Z107"/>
  <c r="AF107"/>
  <c r="AL107"/>
  <c r="H108"/>
  <c r="G110"/>
  <c r="G155" s="1"/>
  <c r="Q110"/>
  <c r="AY110"/>
  <c r="F113"/>
  <c r="AZ113"/>
  <c r="W116"/>
  <c r="H118"/>
  <c r="AY119"/>
  <c r="Z119"/>
  <c r="G122"/>
  <c r="AY122"/>
  <c r="BA122"/>
  <c r="Z127"/>
  <c r="AZ127"/>
  <c r="F132"/>
  <c r="Z132"/>
  <c r="AZ132"/>
  <c r="AP132"/>
  <c r="BA133"/>
  <c r="K137"/>
  <c r="AZ142"/>
  <c r="H100"/>
  <c r="H98"/>
  <c r="H133"/>
  <c r="N127"/>
  <c r="H128"/>
  <c r="G132"/>
  <c r="H139"/>
  <c r="N38"/>
  <c r="H39"/>
  <c r="T104"/>
  <c r="Z104"/>
  <c r="AF104"/>
  <c r="AL104"/>
  <c r="AY104"/>
  <c r="Q35"/>
  <c r="AF35"/>
  <c r="AL35"/>
  <c r="N35"/>
  <c r="BA35"/>
  <c r="N11"/>
  <c r="Z11"/>
  <c r="AL11"/>
  <c r="AF11"/>
  <c r="Q11"/>
  <c r="AY11"/>
  <c r="AI11"/>
  <c r="BA11"/>
  <c r="H12"/>
  <c r="N137"/>
  <c r="AY99"/>
  <c r="G88"/>
  <c r="AY88"/>
  <c r="H48"/>
  <c r="Q48"/>
  <c r="AX48"/>
  <c r="T23"/>
  <c r="H101"/>
  <c r="AW101"/>
  <c r="AW98"/>
  <c r="G11"/>
  <c r="AW12"/>
  <c r="H64"/>
  <c r="AL137"/>
  <c r="AF38"/>
  <c r="Z38"/>
  <c r="N99"/>
  <c r="H93"/>
  <c r="AO96"/>
  <c r="AI96"/>
  <c r="AC96"/>
  <c r="W96"/>
  <c r="AX96"/>
  <c r="N91"/>
  <c r="AW93"/>
  <c r="BA137"/>
  <c r="AY137"/>
  <c r="AW99"/>
  <c r="G59"/>
  <c r="H59" s="1"/>
  <c r="F62"/>
  <c r="H62" s="1"/>
  <c r="AX68"/>
  <c r="F68"/>
  <c r="F82"/>
  <c r="AX85"/>
  <c r="F85"/>
  <c r="AX91"/>
  <c r="F91"/>
  <c r="AX110"/>
  <c r="AX116"/>
  <c r="F116"/>
  <c r="H116" s="1"/>
  <c r="AX122"/>
  <c r="N134"/>
  <c r="F134"/>
  <c r="G137"/>
  <c r="AY8"/>
  <c r="BA8"/>
  <c r="K11"/>
  <c r="W11"/>
  <c r="AC11"/>
  <c r="AO11"/>
  <c r="AW11"/>
  <c r="AO14"/>
  <c r="AW14"/>
  <c r="T20"/>
  <c r="AW20"/>
  <c r="W29"/>
  <c r="AC29"/>
  <c r="AO29"/>
  <c r="AW29"/>
  <c r="K35"/>
  <c r="W35"/>
  <c r="AC35"/>
  <c r="AO35"/>
  <c r="AW36"/>
  <c r="AY36"/>
  <c r="T38"/>
  <c r="AL38"/>
  <c r="AX40"/>
  <c r="AZ40"/>
  <c r="AL48"/>
  <c r="AW48"/>
  <c r="T59"/>
  <c r="AL62"/>
  <c r="AW62"/>
  <c r="AI73"/>
  <c r="AC76"/>
  <c r="AC82"/>
  <c r="AW82"/>
  <c r="W91"/>
  <c r="AO91"/>
  <c r="N96"/>
  <c r="AL96"/>
  <c r="AW96"/>
  <c r="Q99"/>
  <c r="AC99"/>
  <c r="AO99"/>
  <c r="W104"/>
  <c r="W107"/>
  <c r="T116"/>
  <c r="AC119"/>
  <c r="T127"/>
  <c r="AF127"/>
  <c r="N132"/>
  <c r="AX132"/>
  <c r="AW134"/>
  <c r="F65"/>
  <c r="H65" s="1"/>
  <c r="F73"/>
  <c r="AX88"/>
  <c r="F88"/>
  <c r="H88" s="1"/>
  <c r="K96"/>
  <c r="G96"/>
  <c r="H96" s="1"/>
  <c r="AX99"/>
  <c r="F99"/>
  <c r="H99" s="1"/>
  <c r="AX104"/>
  <c r="AO106"/>
  <c r="F106"/>
  <c r="AX107"/>
  <c r="F107"/>
  <c r="H107" s="1"/>
  <c r="F127"/>
  <c r="H127" s="1"/>
  <c r="G8"/>
  <c r="AW8"/>
  <c r="AX8"/>
  <c r="F11"/>
  <c r="G14"/>
  <c r="H14" s="1"/>
  <c r="G17"/>
  <c r="AM17"/>
  <c r="F17" s="1"/>
  <c r="F19"/>
  <c r="H19" s="1"/>
  <c r="AW19"/>
  <c r="BA19"/>
  <c r="F23"/>
  <c r="H23" s="1"/>
  <c r="F26"/>
  <c r="F29"/>
  <c r="H29" s="1"/>
  <c r="X35"/>
  <c r="Z35" s="1"/>
  <c r="F36"/>
  <c r="F141" s="1"/>
  <c r="G38"/>
  <c r="I38"/>
  <c r="O38"/>
  <c r="U38"/>
  <c r="AA38"/>
  <c r="AG38"/>
  <c r="AM38"/>
  <c r="F40"/>
  <c r="H40" s="1"/>
  <c r="K40"/>
  <c r="N40"/>
  <c r="Q40"/>
  <c r="T40"/>
  <c r="W40"/>
  <c r="Z40"/>
  <c r="AC40"/>
  <c r="AF40"/>
  <c r="AI40"/>
  <c r="AL40"/>
  <c r="AW40"/>
  <c r="BA40"/>
  <c r="G56"/>
  <c r="AX56"/>
  <c r="AX59"/>
  <c r="AX62"/>
  <c r="AW65"/>
  <c r="G68"/>
  <c r="H68" s="1"/>
  <c r="AW68"/>
  <c r="AX73"/>
  <c r="G76"/>
  <c r="BA76"/>
  <c r="AW76"/>
  <c r="AY82"/>
  <c r="AX82"/>
  <c r="G85"/>
  <c r="Z88"/>
  <c r="AW88"/>
  <c r="G91"/>
  <c r="AW91"/>
  <c r="AC91"/>
  <c r="AY96"/>
  <c r="T96"/>
  <c r="K99"/>
  <c r="AZ104"/>
  <c r="AC104"/>
  <c r="AW104"/>
  <c r="BA106"/>
  <c r="AZ107"/>
  <c r="AC107"/>
  <c r="AW107"/>
  <c r="F110"/>
  <c r="G119"/>
  <c r="BA119"/>
  <c r="F122"/>
  <c r="AZ122"/>
  <c r="BA127"/>
  <c r="AL127"/>
  <c r="AW127"/>
  <c r="AY132"/>
  <c r="T132"/>
  <c r="BA132"/>
  <c r="AL132"/>
  <c r="H134"/>
  <c r="AX134"/>
  <c r="F137"/>
  <c r="AX137"/>
  <c r="G140" l="1"/>
  <c r="Q140"/>
  <c r="AV140"/>
  <c r="H106"/>
  <c r="F142"/>
  <c r="F104"/>
  <c r="G153"/>
  <c r="H20"/>
  <c r="BA142"/>
  <c r="H104"/>
  <c r="F155"/>
  <c r="F154"/>
  <c r="F153"/>
  <c r="G152"/>
  <c r="H132"/>
  <c r="G154"/>
  <c r="H11"/>
  <c r="F35"/>
  <c r="H35" s="1"/>
  <c r="H141"/>
  <c r="H91"/>
  <c r="BA38"/>
  <c r="BA140"/>
  <c r="AZ140"/>
  <c r="W38"/>
  <c r="AY140"/>
  <c r="Q38"/>
  <c r="AX140"/>
  <c r="H142"/>
  <c r="AW132"/>
  <c r="AZ38"/>
  <c r="AW137"/>
  <c r="AW38"/>
  <c r="AX38"/>
  <c r="F38"/>
  <c r="H38" s="1"/>
  <c r="AW116"/>
  <c r="AW85"/>
  <c r="H17"/>
  <c r="H137"/>
  <c r="AW59"/>
  <c r="AI38"/>
  <c r="AY38"/>
  <c r="H36"/>
  <c r="AY35"/>
  <c r="AW17"/>
  <c r="AO38"/>
  <c r="AC38"/>
  <c r="AW73"/>
  <c r="AW35"/>
  <c r="K38"/>
  <c r="BA17"/>
  <c r="F140" l="1"/>
  <c r="H140" s="1"/>
  <c r="G156"/>
  <c r="F152"/>
  <c r="F156" s="1"/>
  <c r="AW140"/>
  <c r="AV3" l="1"/>
  <c r="AU3"/>
  <c r="J6" i="2" l="1"/>
  <c r="M6"/>
  <c r="G7"/>
  <c r="M7"/>
  <c r="J3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9"/>
  <c r="O9"/>
  <c r="E5"/>
  <c r="J7"/>
  <c r="L7"/>
  <c r="U9"/>
  <c r="L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AS7"/>
  <c r="AK7"/>
  <c r="AI7"/>
  <c r="F8"/>
  <c r="AB8"/>
  <c r="D8"/>
  <c r="Q8"/>
  <c r="AM8"/>
  <c r="AC8"/>
  <c r="AE8"/>
  <c r="N8"/>
  <c r="F7"/>
  <c r="J5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" l="1"/>
  <c r="M3"/>
  <c r="D7"/>
  <c r="D5" i="8"/>
  <c r="D24" s="1"/>
  <c r="C24"/>
  <c r="D3" i="2" l="1"/>
  <c r="D6" l="1"/>
</calcChain>
</file>

<file path=xl/sharedStrings.xml><?xml version="1.0" encoding="utf-8"?>
<sst xmlns="http://schemas.openxmlformats.org/spreadsheetml/2006/main" count="874" uniqueCount="451">
  <si>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</si>
  <si>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</si>
  <si>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</si>
  <si>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</si>
  <si>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</si>
  <si>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</si>
  <si>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</si>
  <si>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</si>
  <si>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</si>
  <si>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</si>
  <si>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</si>
  <si>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</si>
  <si>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</si>
  <si>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</si>
  <si>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</si>
  <si>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</si>
  <si>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</si>
  <si>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</si>
  <si>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</si>
  <si>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</si>
  <si>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</si>
  <si>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</si>
  <si>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</si>
  <si>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</si>
  <si>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</si>
  <si>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</si>
  <si>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</si>
  <si>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</si>
  <si>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</si>
  <si>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</si>
  <si>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</si>
  <si>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</si>
  <si>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</si>
  <si>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</si>
  <si>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</si>
  <si>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</si>
  <si>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</si>
  <si>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</si>
  <si>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</si>
  <si>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</si>
  <si>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</si>
  <si>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</si>
  <si>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</si>
  <si>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</si>
  <si>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</si>
  <si>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</si>
  <si>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</si>
  <si>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</si>
  <si>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</si>
  <si>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</si>
  <si>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</si>
  <si>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</si>
  <si>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</si>
  <si>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</si>
  <si>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</si>
  <si>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</si>
  <si>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</si>
  <si>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</si>
  <si>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</si>
  <si>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</si>
  <si>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</si>
  <si>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</si>
  <si>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</si>
  <si>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</si>
  <si>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</si>
  <si>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</si>
  <si>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</si>
  <si>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</si>
  <si>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</si>
  <si>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</si>
  <si>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</si>
  <si>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</si>
  <si>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</si>
  <si>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</si>
  <si>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</si>
  <si>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</si>
  <si>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</si>
  <si>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</si>
  <si>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</si>
  <si>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</si>
  <si>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</si>
  <si>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</si>
  <si>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</si>
  <si>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</si>
  <si>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</si>
  <si>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</si>
  <si>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</si>
  <si>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</si>
  <si>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</si>
  <si>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</si>
  <si>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</si>
  <si>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</si>
  <si>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</si>
  <si>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</si>
  <si>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</si>
  <si>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</si>
  <si>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</si>
  <si>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</si>
  <si>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</si>
  <si>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</si>
  <si>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</si>
  <si>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</si>
  <si>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</si>
  <si>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</si>
  <si>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</si>
  <si>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</si>
  <si>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</si>
  <si>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</si>
  <si>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</si>
  <si>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</si>
  <si>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</si>
  <si>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</si>
  <si>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</si>
  <si>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</si>
  <si>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</si>
  <si>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</si>
  <si>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</si>
  <si>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</si>
  <si>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</si>
  <si>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</si>
  <si>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</si>
  <si>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</si>
  <si>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</si>
  <si>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</si>
  <si>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</si>
  <si>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</si>
  <si>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</si>
  <si>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</si>
  <si>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</si>
  <si>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</si>
  <si>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</si>
  <si>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</si>
  <si>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</si>
  <si>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</si>
  <si>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</si>
  <si>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</si>
  <si>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</si>
  <si>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</si>
  <si>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</si>
  <si>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</si>
  <si>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</si>
  <si>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</si>
  <si>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</si>
  <si>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</si>
  <si>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</si>
  <si>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</si>
  <si>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</si>
  <si>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</si>
  <si>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</si>
  <si>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</si>
  <si>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</si>
  <si>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</si>
  <si>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</si>
  <si>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</si>
  <si>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</si>
  <si>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</si>
  <si>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</si>
  <si>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</si>
  <si>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</si>
  <si>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</si>
  <si>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</si>
  <si>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</si>
  <si>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</si>
  <si>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</si>
  <si>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</si>
  <si>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</si>
  <si>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</si>
  <si>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</si>
  <si>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</si>
  <si>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</si>
  <si>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</si>
  <si>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</si>
  <si>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</si>
  <si>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</si>
  <si>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</si>
  <si>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</si>
  <si>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</si>
  <si>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</si>
  <si>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</si>
  <si>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</si>
  <si>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</si>
  <si>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</si>
  <si>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</si>
  <si>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</si>
  <si>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</si>
  <si>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</si>
  <si>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</si>
  <si>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</si>
  <si>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</si>
  <si>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</si>
  <si>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</si>
  <si>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</si>
  <si>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</si>
  <si>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</si>
  <si>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</si>
  <si>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</si>
  <si>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</si>
  <si>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</si>
  <si>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</si>
  <si>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</si>
  <si>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</si>
  <si>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</si>
  <si>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</si>
  <si>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</si>
  <si>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</si>
  <si>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</si>
  <si>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</si>
  <si>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</si>
  <si>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</si>
  <si>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</si>
  <si>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</si>
  <si>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</si>
  <si>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</si>
  <si>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</si>
  <si>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</si>
  <si>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</si>
  <si>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</si>
  <si>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</si>
  <si>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</si>
  <si>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</si>
  <si>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</si>
  <si>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</si>
  <si>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</si>
  <si>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</si>
  <si>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</si>
  <si>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</si>
  <si>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</si>
  <si>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</si>
  <si>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</si>
  <si>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</si>
  <si>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</si>
  <si>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</si>
  <si>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</si>
  <si>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</si>
  <si>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</si>
  <si>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</si>
  <si>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</si>
  <si>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</si>
  <si>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</si>
  <si>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</si>
  <si>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</si>
  <si>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</si>
  <si>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</si>
  <si>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</si>
  <si>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</si>
  <si>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</si>
  <si>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</si>
  <si>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</si>
  <si>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</si>
  <si>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</si>
  <si>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</si>
  <si>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</si>
  <si>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</si>
  <si>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</si>
  <si>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</si>
  <si>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</si>
  <si>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</si>
  <si>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I</t>
  </si>
  <si>
    <t>1.2.1.</t>
  </si>
  <si>
    <t>1.1.1.</t>
  </si>
  <si>
    <t>1.3.1.</t>
  </si>
  <si>
    <t>1.3.2.</t>
  </si>
  <si>
    <t>Наименование программных мероприятий</t>
  </si>
  <si>
    <t>№</t>
  </si>
  <si>
    <t>Объем финансирования, всего на год, тыс.руб.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</si>
  <si>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</si>
  <si>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</si>
  <si>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</si>
  <si>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Муниципальные образовательные организации дошкольного образования</t>
  </si>
  <si>
    <t>Управление образования администрации города Урай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</si>
  <si>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</si>
  <si>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</si>
  <si>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</si>
  <si>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Муниципальные организации дополнительного образования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</si>
  <si>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</si>
  <si>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</si>
  <si>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</si>
  <si>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</si>
  <si>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</si>
  <si>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</si>
  <si>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Целевой показатель, №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</si>
  <si>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</si>
  <si>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№5)</t>
  </si>
  <si>
    <t>3,5,8</t>
  </si>
  <si>
    <t>3,8</t>
  </si>
  <si>
    <t>7</t>
  </si>
  <si>
    <t>6,8</t>
  </si>
  <si>
    <t>12,13</t>
  </si>
  <si>
    <t>13</t>
  </si>
  <si>
    <t>4,8,9,10,11,14</t>
  </si>
  <si>
    <t>11,14</t>
  </si>
  <si>
    <t>Цель 1. Создание условий для формирования личной успешности обучающихся и воспитанников в обществе через совершенствование муниципальной системы образования</t>
  </si>
  <si>
    <t>Задача 1. Комплексное развитие сети образовательных организаций для обеспечения доступности дошкольного, общего и дополнительного образования независимо от состояния здоровья детей</t>
  </si>
  <si>
    <t>Подпрограмма I. Модернизация образования</t>
  </si>
  <si>
    <t xml:space="preserve">Мероприятие 1.1.2. 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</si>
  <si>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Мероприятие 1.1.3. Расходы на обеспечение деятельности (оказание услуг) муниципальных организаций  дошкольного образования</t>
  </si>
  <si>
    <t>Мероприятие 1.2.1. 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</si>
  <si>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Мероприятие 1.2.2. 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</si>
  <si>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>Мероприятие 1.2.3. Расходы на обеспечение деятельности городских ресурсных центров на базе образовательных организаций</t>
  </si>
  <si>
    <t>Задача 2. Разработка муниципальной системы оценки качества образования. Внедрение инструментов независимой и прозрачной для общества оценки качества образования</t>
  </si>
  <si>
    <t>Задача 3. Создание в системе образования условий для сохранения и укрепления здоровья, формирования здорового образа жизни обучающихся и воспитанников, оказания помощи детям, нуждающимся в психолого-педагогической и медико-социальной помощи</t>
  </si>
  <si>
    <t>Задача 4. Обеспечение инновационного характера образования через модернизацию кадровых, организационных, технологических и методических условий</t>
  </si>
  <si>
    <t>1.4.1.</t>
  </si>
  <si>
    <t>Подпрограмма II. Развитие кадрового потенциала</t>
  </si>
  <si>
    <t>Задача 5. Создание в образовательных организациях условий обучения, отвечающих требованиям Федерального государственного образовательного стандарта общего и дошкольного образования</t>
  </si>
  <si>
    <t>1.5.1.</t>
  </si>
  <si>
    <t>Подпрограмма III. Обеспечение условий для реализации образовательных программ</t>
  </si>
  <si>
    <t>Задача 6. Обеспечение эффективности управления системой образования города</t>
  </si>
  <si>
    <t>1.6.1.</t>
  </si>
  <si>
    <t>1.7.</t>
  </si>
  <si>
    <t>Задача 7. Создание условий для организации отдыха и оздоровления детей и подростков в каникулярное время</t>
  </si>
  <si>
    <t>1.7.1.</t>
  </si>
  <si>
    <t>Подпрограмма IV. Организация каникулярного отдыха детей и подростков</t>
  </si>
  <si>
    <t>1.8.</t>
  </si>
  <si>
    <t>Задача 8. Обеспечение материальной поддержки в воспитании и обучении детей в образовательных организациях, реализующих образовательные программы дошкольного образования</t>
  </si>
  <si>
    <t>1.8.1.</t>
  </si>
  <si>
    <t>Задача 9. Создание безопасных и комфортных условий для обеспечения обучающихся и воспитанников полноценным сбалансированным горячим питанием</t>
  </si>
  <si>
    <t>1.9.1.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</si>
  <si>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 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</si>
  <si>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№12)</t>
  </si>
  <si>
    <t>Мероприятие 1.2.4. 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</si>
  <si>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>Мероприятие 1.2.6. 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</si>
  <si>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Мероприятие 1.2.8. 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</t>
  </si>
  <si>
    <t>Мероприятие 1.2.9. Профилактика экстремистской деятельности (участие в мероприятиях городского, окружного уровней и награждение по итогам участия)</t>
  </si>
  <si>
    <t xml:space="preserve">Мероприятие 1.2.10. Расходы на обеспечение деятельности (оказание услуг) муниципальных общеобразовательных организаций </t>
  </si>
  <si>
    <t>Мероприятие 1.2.11. Расходы на обеспечение деятельности (оказание услуг) муниципальных организаций  дополнительного  образования</t>
  </si>
  <si>
    <t>Мероприятие 1.3.2. Разработка муниципальной системы оценки качества образования</t>
  </si>
  <si>
    <t>Мероприятие 1.2.5. 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</si>
  <si>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Мероприятие 1.2.7. Мероприятия по профилактике злоупотребления психо- активными веществами, совершения правонарушений подростками</t>
  </si>
  <si>
    <t>Мероприятие 2.1. Реализация проекта «Педагогический класс»</t>
  </si>
  <si>
    <t>Мероприятие 2.2. 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</si>
  <si>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Мероприятие 2.4. Повышение квалификации педагогических работников и руководителей образовательных организаций</t>
  </si>
  <si>
    <t>Мероприятие 2.6. Проведение тестирования руководителей образовательных организаций (в рамках аттестации)</t>
  </si>
  <si>
    <t>Мероприятие 3.1. 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</si>
  <si>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 xml:space="preserve">Мероприятие 3.2. Выполнение мероприятий по обеспечению  пожарной безопасности муниципальных образовательных организаций </t>
  </si>
  <si>
    <t>Мероприятие 3.3. Выполнение мероприятий по обеспечению  антитеррористической безопасности муниципальных образовательных организаций</t>
  </si>
  <si>
    <t>Мероприятие 3.4. Выполнение мероприятий по укреплению санитарно-эпидемиологической безопасности муниципальных образовательных организаций</t>
  </si>
  <si>
    <t>Мероприятие 3.6. 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</si>
  <si>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Мероприятие 3.7. Развитие образовательной среды  образовательных организаций</t>
  </si>
  <si>
    <t>Мероприятие 3.8. 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</si>
  <si>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Мероприятие 1.3.3. Расходы на обеспечение деятельности (оказание услуг) Муниципальное автономное учреждений «Городской методический центр»</t>
  </si>
  <si>
    <t>Мероприятие 1.3.4. Расходы на обеспечение деятельности Управления образования администрации города Урай</t>
  </si>
  <si>
    <t>Мероприятие 4.1. Организация работы лагерей с дневным пребыванием детей</t>
  </si>
  <si>
    <t>Мероприятие 4.2. Организация выездного отдыха детей</t>
  </si>
  <si>
    <t>Мероприятие 4.4. Приобретение оборудования, инвентаря для лагерей с дневным пребыванием детей и малозатратными формами</t>
  </si>
  <si>
    <t>Мероприятие 4.5. Организация и проведение мероприятий на базе автогородка</t>
  </si>
  <si>
    <t>Мероприятие 4.6. Функционирование и развитие поискового отряда «Патриот»</t>
  </si>
  <si>
    <t>Мероприятие 4.7. Создание безопасных условий и соблюдение требований СаНПиН (аккарицидная обработка)</t>
  </si>
  <si>
    <t>Мероприятие 4.8. Организация сплавов, походов</t>
  </si>
  <si>
    <t>Мероприятие 1.1.4. Материальная поддержка воспитания и обучения детей, посещающих дошкольные образовательные организации</t>
  </si>
  <si>
    <t>Мероприятие 3.9. Организация предоставления учащимся муниципальных общеобразовательных организаций завтраков и обедов</t>
  </si>
  <si>
    <t>1.1.1.1.</t>
  </si>
  <si>
    <t>1.1.1.2.</t>
  </si>
  <si>
    <t>1.1.1.3.</t>
  </si>
  <si>
    <t>1.1.1.4.</t>
  </si>
  <si>
    <t>1.1.1.5.</t>
  </si>
  <si>
    <t>1.1.1.6.</t>
  </si>
  <si>
    <t>1.1.1.7.</t>
  </si>
  <si>
    <t>1.1.1.8.</t>
  </si>
  <si>
    <t>1.1.1.9.</t>
  </si>
  <si>
    <t>1.1.1.10.</t>
  </si>
  <si>
    <t>1.1.1.11.</t>
  </si>
  <si>
    <t>1.5.1.1.</t>
  </si>
  <si>
    <t>1.4.1.1.</t>
  </si>
  <si>
    <t>1.4.1.2.</t>
  </si>
  <si>
    <t>1.4.1.3.</t>
  </si>
  <si>
    <t>1.4.1.4.</t>
  </si>
  <si>
    <t>1.4.1.5.</t>
  </si>
  <si>
    <t>1.5.1.2.</t>
  </si>
  <si>
    <t>1.5.1.3.</t>
  </si>
  <si>
    <t>1.5.1.4.</t>
  </si>
  <si>
    <t>1.5.1.5.</t>
  </si>
  <si>
    <t>1.5.1.6.</t>
  </si>
  <si>
    <t>1.5.1.7.</t>
  </si>
  <si>
    <t>1.6.1.1.</t>
  </si>
  <si>
    <t>1.6.1.2.</t>
  </si>
  <si>
    <t>1.7.1.1.</t>
  </si>
  <si>
    <t>1.7.1.2.</t>
  </si>
  <si>
    <t>1.7.1.3.</t>
  </si>
  <si>
    <t>1.7.1.4.</t>
  </si>
  <si>
    <t>1.7.1.5.</t>
  </si>
  <si>
    <t>1.7.1.6.</t>
  </si>
  <si>
    <t>1.7.1.7.</t>
  </si>
  <si>
    <t>1.8.1.1.</t>
  </si>
  <si>
    <t>1.9.1.1.</t>
  </si>
  <si>
    <t>Не требует финансирования</t>
  </si>
  <si>
    <t>ВСЕГО по программе:</t>
  </si>
  <si>
    <t>1</t>
  </si>
  <si>
    <t>8,9,10,14</t>
  </si>
  <si>
    <t>8,14</t>
  </si>
  <si>
    <t>11</t>
  </si>
  <si>
    <t>8,12,13</t>
  </si>
  <si>
    <t>8,12</t>
  </si>
  <si>
    <t>7,8</t>
  </si>
  <si>
    <t>1,8</t>
  </si>
  <si>
    <t>4,8</t>
  </si>
  <si>
    <t>1.10.</t>
  </si>
  <si>
    <t>1.10.1.</t>
  </si>
  <si>
    <t>1.10.1.1.</t>
  </si>
  <si>
    <t>Задача 10. Создание равных возможностей для получения качественного дополнительного образования</t>
  </si>
  <si>
    <t>7.1</t>
  </si>
  <si>
    <t>Управление образования администрации города Урай, муниципальные организации дополнительного образования, муниципальное автономное учреждение города Урай «Городской методический центр»</t>
  </si>
  <si>
    <t>Мероприятие 2.3. Проведение педагогических конференций, слетов, совещаний, семинаров, форумов муниципального и участие в окружном и всероссийском уровнях</t>
  </si>
  <si>
    <t>Мероприятие 1.2.12. Апробация системы персонифицированного финансирования дополнительного образования детей. Внедрение системы персонифицированного финансирования дополнительного образования детей</t>
  </si>
  <si>
    <t>Начальник Управления</t>
  </si>
  <si>
    <t>М.Н. Бусова</t>
  </si>
  <si>
    <t>Исполняющий обязанности начальника Управления</t>
  </si>
  <si>
    <t>Заместитель начальника Управления</t>
  </si>
  <si>
    <t>Ю.А.Чигинцева</t>
  </si>
  <si>
    <t xml:space="preserve">Комитет по финансам администрации грода Урай </t>
  </si>
  <si>
    <t>Заместитель начальника отдела ФП, БУ и О</t>
  </si>
  <si>
    <t>Г.С. Ли</t>
  </si>
  <si>
    <t>Исполнитель Невская Ирина Евгеньевна</t>
  </si>
  <si>
    <t>тел.2-32-00</t>
  </si>
  <si>
    <t>Управление образования и молодежной политики администрации грода Урай</t>
  </si>
  <si>
    <t>И.Ю.Грунина</t>
  </si>
  <si>
    <t>Обеспечение деятельности девяти дошкольных образовательных учреждений в части выполнения стандарта дошкольного образования  за 1 квартал</t>
  </si>
  <si>
    <t>Обеспечение деятельности девяти дошкольных образовательных учреждений в части содержания здания и прочих общехозяйственных расходов за 1 квартал</t>
  </si>
  <si>
    <t>Участие учащихся МБОУ Гимназия и МБОУ СОШ №6 в региональном этапе всероссийской олимпиады</t>
  </si>
  <si>
    <t>Организация работы медицинского класса на базе МБОУ СОШ №4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</si>
  <si>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 квартал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</si>
  <si>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 квартал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</si>
  <si>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1 квартал</t>
  </si>
  <si>
    <t>Обеспечение деятельности МБУ ДО "ЦДО" в части исполнения муниципального задания за 1 квартал</t>
  </si>
  <si>
    <t>Проведение городской спартакиады среди муниципальных образовательных организаций "Старты надежд"</t>
  </si>
  <si>
    <t>Организация и проведение семинара, участие в конкурсе "Женщина - Лидер. 21 век"</t>
  </si>
  <si>
    <t xml:space="preserve">Исполнение 12,2%. Поквартальное финансирование по договру на техническое обслуживание АИАС "Аверс" </t>
  </si>
  <si>
    <t>Предоставление электронных услуг образовательными организациями</t>
  </si>
  <si>
    <t>Обеспечение деятельности МАУ "Городской методический центр" в части исполнения муниципального  задания за 1 квартал</t>
  </si>
  <si>
    <t>Осуществление деятельности по выплате компенсации части родительской платы (администрирование) за 1 квартал</t>
  </si>
  <si>
    <t>Расходы по содержанию аппарата Управления образования за 1 квартал</t>
  </si>
  <si>
    <t>Исполнение 74,7%. Экономия по фактически выплаченной заработной плате</t>
  </si>
  <si>
    <t>Исполнение 90,6%. Экономия по фактически сложившимся командировочным расходам; по договорам на обслуживание программных продуктов</t>
  </si>
  <si>
    <t>Организация питания в лагерях дневного пребывания детей в период весенних каникул</t>
  </si>
  <si>
    <t>Выплата компенсации части родительской платы за 1 квартал</t>
  </si>
  <si>
    <t>Исполнение 98,0%. Финансирование по фактически начисленной компенсации родительской платы</t>
  </si>
  <si>
    <t>Исполнение 89,6%. Финансирование согласно фактически заключенных договоров на предоставление дополнительного образования\</t>
  </si>
  <si>
    <t xml:space="preserve">Обеспечение учащихся шести общеобразовательных учреждений завтраками и обедами (льготная категория). </t>
  </si>
  <si>
    <t>Обеспечение персонифицированного финансирования дополнительного образования детей</t>
  </si>
  <si>
    <t>Исполнение 47,7%. Экономия за счет дней карантина, актированных дней и дней пропущенных учащимися по причине болезни</t>
  </si>
  <si>
    <t>Отклонение в связи с уточнением мероприятия программы и сроков его проведения</t>
  </si>
  <si>
    <t>Участие в чемпионате Мира и участие в учебно-тренировочных сборах по парашютному спорту</t>
  </si>
  <si>
    <t>Согласовано:</t>
  </si>
  <si>
    <t>_____________________________И.В. Хусаинова</t>
  </si>
  <si>
    <t>Исполнение 94,9%. Возврат дебиторской задолженности за услуги связи и поставку тепловой энергии. Экономия по коммунальным расходам в связи с карантинными мероприятиями</t>
  </si>
  <si>
    <t>Исполнение 21,6%. В связи с болезнью преподавателя часть учебных часов перенесена на летний период</t>
  </si>
  <si>
    <t>Исполнение 79,1%. Экономия по фактически сложившимся расходам на участие в региональном этапе всероссийской олимпиады</t>
  </si>
  <si>
    <t>Исполнение 43,4%. Неисполнение в связи с отсутствием в марте финансирования из бюджета ХМАО-Югра</t>
  </si>
  <si>
    <t>Неисполнение в связи с переносом сроков проведения обучения специалиста по летнему отдыху на апрель</t>
  </si>
  <si>
    <t>Исполнение 96,0%. В связи с переносом графика отпусков работников и срока прохождения периодисческого медицинского осмотра</t>
  </si>
  <si>
    <t>Отчет о ходе исполнения комплексного плана (сетевого графика) реализации муниципальной программы "Развитие образования города Урай на 2014-2018 годы" за 1 квартал 2018 года</t>
  </si>
</sst>
</file>

<file path=xl/styles.xml><?xml version="1.0" encoding="utf-8"?>
<styleSheet xmlns="http://schemas.openxmlformats.org/spreadsheetml/2006/main">
  <numFmts count="15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00_р_._-;\-* #,##0.000_р_._-;_-* &quot;-&quot;??_р_._-;_-@_-"/>
    <numFmt numFmtId="169" formatCode="0.000E+00"/>
    <numFmt numFmtId="170" formatCode="_-* #,##0.000_р_._-;\-* #,##0.000_р_._-;_-* &quot;-&quot;???_р_._-;_-@_-"/>
    <numFmt numFmtId="171" formatCode="0.0%"/>
    <numFmt numFmtId="172" formatCode="_-* #,##0.0000000_р_._-;\-* #,##0.0000000_р_._-;_-* &quot;-&quot;??_р_._-;_-@_-"/>
    <numFmt numFmtId="173" formatCode="_-* #,##0.0_р_._-;\-* #,##0.0_р_._-;_-* &quot;-&quot;??_р_._-;_-@_-"/>
    <numFmt numFmtId="174" formatCode="_-* #,##0.00000_р_._-;\-* #,##0.00000_р_._-;_-* &quot;-&quot;??_р_._-;_-@_-"/>
    <numFmt numFmtId="175" formatCode="_-* #,##0.00000_р_._-;\-* #,##0.00000_р_._-;_-* &quot;-&quot;?????_р_._-;_-@_-"/>
    <numFmt numFmtId="176" formatCode="_-* #,##0_р_._-;\-* #,##0_р_._-;_-* &quot;-&quot;??_р_._-;_-@_-"/>
    <numFmt numFmtId="177" formatCode="_-* #,##0.000000_р_._-;\-* #,##0.00000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43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</cellStyleXfs>
  <cellXfs count="312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8" fontId="6" fillId="4" borderId="1" xfId="2" applyNumberFormat="1" applyFont="1" applyFill="1" applyBorder="1" applyAlignment="1">
      <alignment vertical="center" wrapText="1"/>
    </xf>
    <xf numFmtId="168" fontId="20" fillId="4" borderId="0" xfId="2" applyNumberFormat="1" applyFont="1" applyFill="1" applyAlignment="1">
      <alignment vertical="center" wrapText="1"/>
    </xf>
    <xf numFmtId="172" fontId="20" fillId="4" borderId="0" xfId="2" applyNumberFormat="1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168" fontId="6" fillId="4" borderId="0" xfId="2" applyNumberFormat="1" applyFont="1" applyFill="1" applyAlignment="1">
      <alignment vertical="center"/>
    </xf>
    <xf numFmtId="172" fontId="6" fillId="4" borderId="0" xfId="2" applyNumberFormat="1" applyFont="1" applyFill="1" applyAlignment="1">
      <alignment vertical="center"/>
    </xf>
    <xf numFmtId="168" fontId="6" fillId="4" borderId="7" xfId="2" applyNumberFormat="1" applyFont="1" applyFill="1" applyBorder="1" applyAlignment="1">
      <alignment horizontal="center" vertical="center"/>
    </xf>
    <xf numFmtId="168" fontId="6" fillId="4" borderId="0" xfId="2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68" fontId="6" fillId="4" borderId="1" xfId="2" applyNumberFormat="1" applyFont="1" applyFill="1" applyBorder="1" applyAlignment="1" applyProtection="1">
      <alignment horizontal="center" vertical="center" wrapText="1"/>
      <protection locked="0"/>
    </xf>
    <xf numFmtId="170" fontId="3" fillId="4" borderId="0" xfId="0" applyNumberFormat="1" applyFont="1" applyFill="1" applyBorder="1" applyAlignment="1">
      <alignment vertical="center"/>
    </xf>
    <xf numFmtId="168" fontId="18" fillId="4" borderId="1" xfId="2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right" vertical="center" wrapText="1"/>
    </xf>
    <xf numFmtId="168" fontId="2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vertical="center"/>
    </xf>
    <xf numFmtId="168" fontId="21" fillId="4" borderId="1" xfId="2" applyNumberFormat="1" applyFont="1" applyFill="1" applyBorder="1" applyAlignment="1">
      <alignment horizontal="right" vertical="top" wrapText="1"/>
    </xf>
    <xf numFmtId="168" fontId="22" fillId="4" borderId="1" xfId="2" applyNumberFormat="1" applyFont="1" applyFill="1" applyBorder="1" applyAlignment="1">
      <alignment horizontal="left" vertical="center" wrapText="1"/>
    </xf>
    <xf numFmtId="168" fontId="10" fillId="4" borderId="0" xfId="2" applyNumberFormat="1" applyFont="1" applyFill="1" applyBorder="1" applyAlignment="1">
      <alignment vertical="center" wrapText="1"/>
    </xf>
    <xf numFmtId="168" fontId="18" fillId="4" borderId="0" xfId="2" applyNumberFormat="1" applyFont="1" applyFill="1" applyAlignment="1">
      <alignment vertical="center"/>
    </xf>
    <xf numFmtId="168" fontId="18" fillId="4" borderId="0" xfId="2" applyNumberFormat="1" applyFont="1" applyFill="1" applyAlignment="1">
      <alignment horizontal="left" vertical="center"/>
    </xf>
    <xf numFmtId="168" fontId="3" fillId="4" borderId="0" xfId="2" applyNumberFormat="1" applyFont="1" applyFill="1" applyAlignment="1">
      <alignment horizontal="right" vertical="center"/>
    </xf>
    <xf numFmtId="168" fontId="3" fillId="4" borderId="0" xfId="2" applyNumberFormat="1" applyFont="1" applyFill="1" applyAlignment="1">
      <alignment vertical="center"/>
    </xf>
    <xf numFmtId="168" fontId="10" fillId="4" borderId="0" xfId="2" applyNumberFormat="1" applyFont="1" applyFill="1" applyAlignment="1">
      <alignment vertical="center"/>
    </xf>
    <xf numFmtId="43" fontId="6" fillId="4" borderId="1" xfId="2" applyNumberFormat="1" applyFont="1" applyFill="1" applyBorder="1" applyAlignment="1">
      <alignment horizontal="right" vertical="center" wrapText="1"/>
    </xf>
    <xf numFmtId="173" fontId="6" fillId="4" borderId="1" xfId="2" applyNumberFormat="1" applyFont="1" applyFill="1" applyBorder="1" applyAlignment="1">
      <alignment horizontal="right" vertical="center" wrapText="1"/>
    </xf>
    <xf numFmtId="173" fontId="21" fillId="4" borderId="1" xfId="2" applyNumberFormat="1" applyFont="1" applyFill="1" applyBorder="1" applyAlignment="1">
      <alignment horizontal="right" vertical="center" wrapText="1"/>
    </xf>
    <xf numFmtId="168" fontId="6" fillId="4" borderId="11" xfId="2" applyNumberFormat="1" applyFont="1" applyFill="1" applyBorder="1" applyAlignment="1">
      <alignment horizontal="right" vertical="center" wrapText="1"/>
    </xf>
    <xf numFmtId="168" fontId="6" fillId="4" borderId="12" xfId="2" applyNumberFormat="1" applyFont="1" applyFill="1" applyBorder="1" applyAlignment="1">
      <alignment horizontal="right" vertical="center" wrapText="1"/>
    </xf>
    <xf numFmtId="171" fontId="6" fillId="4" borderId="1" xfId="3" applyNumberFormat="1" applyFont="1" applyFill="1" applyBorder="1" applyAlignment="1">
      <alignment horizontal="right" vertical="center" wrapText="1"/>
    </xf>
    <xf numFmtId="171" fontId="21" fillId="4" borderId="1" xfId="3" applyNumberFormat="1" applyFont="1" applyFill="1" applyBorder="1" applyAlignment="1">
      <alignment horizontal="right" vertical="center" wrapText="1"/>
    </xf>
    <xf numFmtId="173" fontId="6" fillId="0" borderId="1" xfId="2" applyNumberFormat="1" applyFont="1" applyFill="1" applyBorder="1" applyAlignment="1">
      <alignment vertical="center" wrapText="1"/>
    </xf>
    <xf numFmtId="173" fontId="6" fillId="0" borderId="1" xfId="2" applyNumberFormat="1" applyFont="1" applyFill="1" applyBorder="1" applyAlignment="1">
      <alignment horizontal="right" vertical="center" wrapText="1"/>
    </xf>
    <xf numFmtId="173" fontId="6" fillId="4" borderId="1" xfId="2" applyNumberFormat="1" applyFont="1" applyFill="1" applyBorder="1" applyAlignment="1">
      <alignment vertical="center" wrapText="1"/>
    </xf>
    <xf numFmtId="168" fontId="23" fillId="4" borderId="1" xfId="2" applyNumberFormat="1" applyFont="1" applyFill="1" applyBorder="1" applyAlignment="1">
      <alignment horizontal="center" vertical="center" wrapText="1"/>
    </xf>
    <xf numFmtId="168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168" fontId="3" fillId="5" borderId="0" xfId="2" applyNumberFormat="1" applyFont="1" applyFill="1" applyAlignment="1">
      <alignment vertical="center"/>
    </xf>
    <xf numFmtId="175" fontId="3" fillId="4" borderId="0" xfId="0" applyNumberFormat="1" applyFont="1" applyFill="1" applyBorder="1" applyAlignment="1">
      <alignment vertical="center"/>
    </xf>
    <xf numFmtId="1" fontId="21" fillId="4" borderId="0" xfId="0" applyNumberFormat="1" applyFont="1" applyFill="1" applyBorder="1" applyAlignment="1">
      <alignment horizontal="left" vertical="center" wrapText="1"/>
    </xf>
    <xf numFmtId="164" fontId="21" fillId="4" borderId="0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168" fontId="6" fillId="4" borderId="11" xfId="2" applyNumberFormat="1" applyFont="1" applyFill="1" applyBorder="1" applyAlignment="1">
      <alignment horizontal="right" vertical="top" wrapText="1"/>
    </xf>
    <xf numFmtId="173" fontId="6" fillId="4" borderId="0" xfId="0" applyNumberFormat="1" applyFont="1" applyFill="1" applyBorder="1" applyAlignment="1">
      <alignment vertical="center" wrapText="1"/>
    </xf>
    <xf numFmtId="171" fontId="26" fillId="4" borderId="0" xfId="3" applyNumberFormat="1" applyFont="1" applyFill="1" applyBorder="1" applyAlignment="1">
      <alignment vertical="center" wrapText="1"/>
    </xf>
    <xf numFmtId="170" fontId="26" fillId="4" borderId="0" xfId="0" applyNumberFormat="1" applyFont="1" applyFill="1" applyBorder="1" applyAlignment="1">
      <alignment vertical="center"/>
    </xf>
    <xf numFmtId="168" fontId="6" fillId="4" borderId="12" xfId="2" applyNumberFormat="1" applyFont="1" applyFill="1" applyBorder="1" applyAlignment="1">
      <alignment horizontal="right" vertical="top" wrapText="1"/>
    </xf>
    <xf numFmtId="168" fontId="6" fillId="4" borderId="1" xfId="2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2" applyNumberFormat="1" applyFont="1" applyFill="1" applyBorder="1" applyAlignment="1">
      <alignment horizontal="right"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vertical="top" wrapText="1"/>
    </xf>
    <xf numFmtId="168" fontId="6" fillId="4" borderId="1" xfId="2" applyNumberFormat="1" applyFont="1" applyFill="1" applyBorder="1" applyAlignment="1">
      <alignment horizontal="left" vertical="top" wrapText="1"/>
    </xf>
    <xf numFmtId="168" fontId="18" fillId="0" borderId="1" xfId="2" applyNumberFormat="1" applyFont="1" applyFill="1" applyBorder="1" applyAlignment="1">
      <alignment horizontal="left" vertical="center" wrapText="1"/>
    </xf>
    <xf numFmtId="173" fontId="19" fillId="0" borderId="1" xfId="2" applyNumberFormat="1" applyFont="1" applyFill="1" applyBorder="1" applyAlignment="1">
      <alignment horizontal="right" vertical="center" wrapText="1"/>
    </xf>
    <xf numFmtId="171" fontId="6" fillId="0" borderId="1" xfId="3" applyNumberFormat="1" applyFont="1" applyFill="1" applyBorder="1" applyAlignment="1">
      <alignment horizontal="right" vertical="center" wrapText="1"/>
    </xf>
    <xf numFmtId="168" fontId="6" fillId="0" borderId="1" xfId="2" applyNumberFormat="1" applyFont="1" applyFill="1" applyBorder="1" applyAlignment="1">
      <alignment horizontal="right" vertical="center" wrapText="1"/>
    </xf>
    <xf numFmtId="171" fontId="26" fillId="0" borderId="0" xfId="3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3" fontId="6" fillId="4" borderId="1" xfId="3" applyNumberFormat="1" applyFont="1" applyFill="1" applyBorder="1" applyAlignment="1">
      <alignment horizontal="right" vertical="center" wrapText="1"/>
    </xf>
    <xf numFmtId="168" fontId="21" fillId="4" borderId="0" xfId="2" applyNumberFormat="1" applyFont="1" applyFill="1" applyBorder="1" applyAlignment="1">
      <alignment horizontal="center" vertical="center" wrapText="1"/>
    </xf>
    <xf numFmtId="168" fontId="22" fillId="4" borderId="0" xfId="2" applyNumberFormat="1" applyFont="1" applyFill="1" applyBorder="1" applyAlignment="1">
      <alignment horizontal="left" vertical="center" wrapText="1"/>
    </xf>
    <xf numFmtId="173" fontId="21" fillId="4" borderId="0" xfId="2" applyNumberFormat="1" applyFont="1" applyFill="1" applyBorder="1" applyAlignment="1">
      <alignment horizontal="right" vertical="center" wrapText="1"/>
    </xf>
    <xf numFmtId="171" fontId="21" fillId="4" borderId="0" xfId="3" applyNumberFormat="1" applyFont="1" applyFill="1" applyBorder="1" applyAlignment="1">
      <alignment horizontal="right" vertical="center" wrapText="1"/>
    </xf>
    <xf numFmtId="168" fontId="21" fillId="4" borderId="0" xfId="2" applyNumberFormat="1" applyFont="1" applyFill="1" applyBorder="1" applyAlignment="1">
      <alignment horizontal="right" vertical="top" wrapText="1"/>
    </xf>
    <xf numFmtId="171" fontId="6" fillId="4" borderId="0" xfId="3" applyNumberFormat="1" applyFont="1" applyFill="1" applyBorder="1" applyAlignment="1">
      <alignment vertical="center" wrapText="1"/>
    </xf>
    <xf numFmtId="168" fontId="19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vertical="center"/>
    </xf>
    <xf numFmtId="168" fontId="19" fillId="4" borderId="7" xfId="2" applyNumberFormat="1" applyFont="1" applyFill="1" applyBorder="1" applyAlignment="1">
      <alignment horizontal="left" vertical="center"/>
    </xf>
    <xf numFmtId="168" fontId="19" fillId="4" borderId="0" xfId="2" applyNumberFormat="1" applyFont="1" applyFill="1" applyAlignment="1">
      <alignment horizontal="left" vertical="center"/>
    </xf>
    <xf numFmtId="168" fontId="3" fillId="4" borderId="0" xfId="2" applyNumberFormat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horizontal="right" vertical="center"/>
    </xf>
    <xf numFmtId="168" fontId="6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horizontal="right" vertical="center"/>
    </xf>
    <xf numFmtId="168" fontId="19" fillId="4" borderId="0" xfId="0" applyNumberFormat="1" applyFont="1" applyFill="1" applyBorder="1" applyAlignment="1">
      <alignment horizontal="left" vertical="center"/>
    </xf>
    <xf numFmtId="168" fontId="19" fillId="4" borderId="0" xfId="0" applyNumberFormat="1" applyFont="1" applyFill="1" applyBorder="1" applyAlignment="1">
      <alignment vertical="center"/>
    </xf>
    <xf numFmtId="168" fontId="6" fillId="4" borderId="0" xfId="2" applyNumberFormat="1" applyFont="1" applyFill="1" applyBorder="1" applyAlignment="1">
      <alignment vertical="center"/>
    </xf>
    <xf numFmtId="168" fontId="6" fillId="4" borderId="5" xfId="2" applyNumberFormat="1" applyFont="1" applyFill="1" applyBorder="1" applyAlignment="1">
      <alignment horizontal="left" vertical="center"/>
    </xf>
    <xf numFmtId="168" fontId="6" fillId="4" borderId="0" xfId="2" applyNumberFormat="1" applyFont="1" applyFill="1" applyAlignment="1">
      <alignment horizontal="right" vertical="center"/>
    </xf>
    <xf numFmtId="168" fontId="6" fillId="4" borderId="0" xfId="2" applyNumberFormat="1" applyFont="1" applyFill="1" applyAlignment="1">
      <alignment horizontal="left" vertical="center"/>
    </xf>
    <xf numFmtId="168" fontId="18" fillId="4" borderId="0" xfId="2" applyNumberFormat="1" applyFont="1" applyFill="1"/>
    <xf numFmtId="168" fontId="18" fillId="4" borderId="0" xfId="2" applyNumberFormat="1" applyFont="1" applyFill="1" applyAlignment="1">
      <alignment horizontal="left"/>
    </xf>
    <xf numFmtId="168" fontId="18" fillId="4" borderId="0" xfId="2" applyNumberFormat="1" applyFont="1" applyFill="1" applyAlignment="1">
      <alignment horizontal="right" vertical="center"/>
    </xf>
    <xf numFmtId="168" fontId="23" fillId="4" borderId="0" xfId="2" applyNumberFormat="1" applyFont="1" applyFill="1" applyAlignment="1">
      <alignment horizontal="right" vertical="center"/>
    </xf>
    <xf numFmtId="176" fontId="18" fillId="4" borderId="0" xfId="2" applyNumberFormat="1" applyFont="1" applyFill="1" applyAlignment="1">
      <alignment vertical="center"/>
    </xf>
    <xf numFmtId="177" fontId="6" fillId="4" borderId="0" xfId="2" applyNumberFormat="1" applyFont="1" applyFill="1" applyAlignment="1">
      <alignment horizontal="right" vertical="center"/>
    </xf>
    <xf numFmtId="174" fontId="22" fillId="4" borderId="0" xfId="2" applyNumberFormat="1" applyFont="1" applyFill="1" applyAlignment="1">
      <alignment horizontal="right" vertical="center"/>
    </xf>
    <xf numFmtId="168" fontId="18" fillId="4" borderId="0" xfId="2" applyNumberFormat="1" applyFont="1" applyFill="1" applyBorder="1" applyAlignment="1">
      <alignment horizontal="left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8" fontId="21" fillId="4" borderId="0" xfId="2" applyNumberFormat="1" applyFont="1" applyFill="1" applyAlignment="1">
      <alignment horizontal="center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>
      <alignment horizontal="center" vertical="center" wrapText="1"/>
    </xf>
    <xf numFmtId="168" fontId="3" fillId="4" borderId="1" xfId="2" applyNumberFormat="1" applyFont="1" applyFill="1" applyBorder="1" applyAlignment="1">
      <alignment horizontal="center" vertical="center" wrapText="1"/>
    </xf>
    <xf numFmtId="168" fontId="6" fillId="4" borderId="4" xfId="2" applyNumberFormat="1" applyFont="1" applyFill="1" applyBorder="1" applyAlignment="1">
      <alignment horizontal="center" vertical="center" wrapText="1"/>
    </xf>
    <xf numFmtId="168" fontId="6" fillId="4" borderId="5" xfId="2" applyNumberFormat="1" applyFont="1" applyFill="1" applyBorder="1" applyAlignment="1">
      <alignment horizontal="center" vertical="center" wrapText="1"/>
    </xf>
    <xf numFmtId="168" fontId="6" fillId="4" borderId="2" xfId="2" applyNumberFormat="1" applyFont="1" applyFill="1" applyBorder="1" applyAlignment="1">
      <alignment horizontal="center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/>
      <protection locked="0"/>
    </xf>
    <xf numFmtId="49" fontId="18" fillId="4" borderId="8" xfId="2" applyNumberFormat="1" applyFont="1" applyFill="1" applyBorder="1" applyAlignment="1" applyProtection="1">
      <alignment horizontal="center" vertical="center"/>
      <protection locked="0"/>
    </xf>
    <xf numFmtId="49" fontId="18" fillId="4" borderId="6" xfId="2" applyNumberFormat="1" applyFont="1" applyFill="1" applyBorder="1" applyAlignment="1" applyProtection="1">
      <alignment horizontal="center" vertical="center"/>
      <protection locked="0"/>
    </xf>
    <xf numFmtId="164" fontId="21" fillId="4" borderId="4" xfId="0" applyNumberFormat="1" applyFont="1" applyFill="1" applyBorder="1" applyAlignment="1">
      <alignment horizontal="left" vertical="center" wrapText="1"/>
    </xf>
    <xf numFmtId="164" fontId="21" fillId="4" borderId="5" xfId="0" applyNumberFormat="1" applyFont="1" applyFill="1" applyBorder="1" applyAlignment="1">
      <alignment horizontal="left" vertical="center" wrapText="1"/>
    </xf>
    <xf numFmtId="164" fontId="21" fillId="4" borderId="2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169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68" fontId="18" fillId="4" borderId="10" xfId="2" applyNumberFormat="1" applyFont="1" applyFill="1" applyBorder="1" applyAlignment="1">
      <alignment horizontal="center" vertical="center" wrapText="1"/>
    </xf>
    <xf numFmtId="168" fontId="18" fillId="4" borderId="8" xfId="2" applyNumberFormat="1" applyFont="1" applyFill="1" applyBorder="1" applyAlignment="1">
      <alignment horizontal="center" vertical="center" wrapText="1"/>
    </xf>
    <xf numFmtId="168" fontId="18" fillId="4" borderId="6" xfId="2" applyNumberFormat="1" applyFont="1" applyFill="1" applyBorder="1" applyAlignment="1">
      <alignment horizontal="center" vertical="center" wrapText="1"/>
    </xf>
    <xf numFmtId="173" fontId="6" fillId="4" borderId="10" xfId="2" applyNumberFormat="1" applyFont="1" applyFill="1" applyBorder="1" applyAlignment="1">
      <alignment horizontal="center" vertical="center" wrapText="1"/>
    </xf>
    <xf numFmtId="173" fontId="6" fillId="4" borderId="8" xfId="2" applyNumberFormat="1" applyFont="1" applyFill="1" applyBorder="1" applyAlignment="1">
      <alignment horizontal="center" vertical="center" wrapText="1"/>
    </xf>
    <xf numFmtId="173" fontId="6" fillId="4" borderId="6" xfId="2" applyNumberFormat="1" applyFont="1" applyFill="1" applyBorder="1" applyAlignment="1">
      <alignment horizontal="center" vertical="center" wrapText="1"/>
    </xf>
    <xf numFmtId="171" fontId="6" fillId="4" borderId="10" xfId="3" applyNumberFormat="1" applyFont="1" applyFill="1" applyBorder="1" applyAlignment="1">
      <alignment horizontal="center" vertical="center" wrapText="1"/>
    </xf>
    <xf numFmtId="171" fontId="6" fillId="4" borderId="8" xfId="3" applyNumberFormat="1" applyFont="1" applyFill="1" applyBorder="1" applyAlignment="1">
      <alignment horizontal="center" vertical="center" wrapText="1"/>
    </xf>
    <xf numFmtId="171" fontId="6" fillId="4" borderId="6" xfId="3" applyNumberFormat="1" applyFont="1" applyFill="1" applyBorder="1" applyAlignment="1">
      <alignment horizontal="center" vertical="center" wrapText="1"/>
    </xf>
    <xf numFmtId="168" fontId="6" fillId="4" borderId="10" xfId="2" applyNumberFormat="1" applyFont="1" applyFill="1" applyBorder="1" applyAlignment="1">
      <alignment horizontal="center" vertical="center" wrapText="1"/>
    </xf>
    <xf numFmtId="168" fontId="6" fillId="4" borderId="8" xfId="2" applyNumberFormat="1" applyFont="1" applyFill="1" applyBorder="1" applyAlignment="1">
      <alignment horizontal="center" vertical="center" wrapText="1"/>
    </xf>
    <xf numFmtId="168" fontId="6" fillId="4" borderId="6" xfId="2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164" fontId="18" fillId="4" borderId="10" xfId="0" applyNumberFormat="1" applyFont="1" applyFill="1" applyBorder="1" applyAlignment="1">
      <alignment horizontal="left" vertical="center" wrapText="1"/>
    </xf>
    <xf numFmtId="164" fontId="18" fillId="4" borderId="8" xfId="0" applyNumberFormat="1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horizontal="left" vertical="center" wrapText="1"/>
    </xf>
    <xf numFmtId="16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169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169" fontId="18" fillId="0" borderId="10" xfId="2" applyNumberFormat="1" applyFont="1" applyFill="1" applyBorder="1" applyAlignment="1" applyProtection="1">
      <alignment horizontal="left" vertical="center" wrapText="1"/>
      <protection locked="0"/>
    </xf>
    <xf numFmtId="169" fontId="18" fillId="0" borderId="8" xfId="2" applyNumberFormat="1" applyFont="1" applyFill="1" applyBorder="1" applyAlignment="1" applyProtection="1">
      <alignment horizontal="left" vertical="center" wrapText="1"/>
      <protection locked="0"/>
    </xf>
    <xf numFmtId="169" fontId="18" fillId="0" borderId="6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8" fontId="6" fillId="4" borderId="10" xfId="2" applyNumberFormat="1" applyFont="1" applyFill="1" applyBorder="1" applyAlignment="1">
      <alignment horizontal="left" vertical="top" wrapText="1"/>
    </xf>
    <xf numFmtId="168" fontId="6" fillId="4" borderId="8" xfId="2" applyNumberFormat="1" applyFont="1" applyFill="1" applyBorder="1" applyAlignment="1">
      <alignment horizontal="left" vertical="top" wrapText="1"/>
    </xf>
    <xf numFmtId="168" fontId="6" fillId="4" borderId="6" xfId="2" applyNumberFormat="1" applyFont="1" applyFill="1" applyBorder="1" applyAlignment="1">
      <alignment horizontal="left" vertical="top" wrapText="1"/>
    </xf>
    <xf numFmtId="168" fontId="18" fillId="4" borderId="0" xfId="2" applyNumberFormat="1" applyFont="1" applyFill="1" applyBorder="1" applyAlignment="1">
      <alignment horizontal="left" vertical="center" wrapText="1"/>
    </xf>
    <xf numFmtId="168" fontId="10" fillId="4" borderId="1" xfId="2" applyNumberFormat="1" applyFont="1" applyFill="1" applyBorder="1" applyAlignment="1">
      <alignment horizontal="center" vertical="center"/>
    </xf>
    <xf numFmtId="168" fontId="18" fillId="4" borderId="10" xfId="2" applyNumberFormat="1" applyFont="1" applyFill="1" applyBorder="1" applyAlignment="1">
      <alignment horizontal="left" vertical="center" wrapText="1"/>
    </xf>
    <xf numFmtId="168" fontId="18" fillId="4" borderId="8" xfId="2" applyNumberFormat="1" applyFont="1" applyFill="1" applyBorder="1" applyAlignment="1">
      <alignment horizontal="left" vertical="center" wrapText="1"/>
    </xf>
    <xf numFmtId="168" fontId="18" fillId="4" borderId="6" xfId="2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168" fontId="21" fillId="4" borderId="14" xfId="2" applyNumberFormat="1" applyFont="1" applyFill="1" applyBorder="1" applyAlignment="1">
      <alignment horizontal="center" vertical="center" wrapText="1"/>
    </xf>
    <xf numFmtId="168" fontId="21" fillId="4" borderId="11" xfId="2" applyNumberFormat="1" applyFont="1" applyFill="1" applyBorder="1" applyAlignment="1">
      <alignment horizontal="center" vertical="center" wrapText="1"/>
    </xf>
    <xf numFmtId="168" fontId="21" fillId="4" borderId="9" xfId="2" applyNumberFormat="1" applyFont="1" applyFill="1" applyBorder="1" applyAlignment="1">
      <alignment horizontal="center" vertical="center" wrapText="1"/>
    </xf>
    <xf numFmtId="168" fontId="21" fillId="4" borderId="12" xfId="2" applyNumberFormat="1" applyFont="1" applyFill="1" applyBorder="1" applyAlignment="1">
      <alignment horizontal="center" vertical="center" wrapText="1"/>
    </xf>
    <xf numFmtId="168" fontId="21" fillId="4" borderId="13" xfId="2" applyNumberFormat="1" applyFont="1" applyFill="1" applyBorder="1" applyAlignment="1">
      <alignment horizontal="center" vertical="center" wrapText="1"/>
    </xf>
    <xf numFmtId="168" fontId="21" fillId="4" borderId="3" xfId="2" applyNumberFormat="1" applyFont="1" applyFill="1" applyBorder="1" applyAlignment="1">
      <alignment horizontal="center" vertical="center" wrapText="1"/>
    </xf>
    <xf numFmtId="168" fontId="21" fillId="4" borderId="10" xfId="2" applyNumberFormat="1" applyFont="1" applyFill="1" applyBorder="1" applyAlignment="1">
      <alignment horizontal="center" vertical="center" wrapText="1"/>
    </xf>
    <xf numFmtId="168" fontId="21" fillId="4" borderId="8" xfId="2" applyNumberFormat="1" applyFont="1" applyFill="1" applyBorder="1" applyAlignment="1">
      <alignment horizontal="center" vertical="center" wrapText="1"/>
    </xf>
    <xf numFmtId="168" fontId="21" fillId="4" borderId="6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Процентный" xfId="3" builtinId="5"/>
    <cellStyle name="Финансовый" xfId="2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92" t="s">
        <v>40</v>
      </c>
      <c r="B1" s="193"/>
      <c r="C1" s="194" t="s">
        <v>41</v>
      </c>
      <c r="D1" s="186" t="s">
        <v>45</v>
      </c>
      <c r="E1" s="187"/>
      <c r="F1" s="188"/>
      <c r="G1" s="186" t="s">
        <v>18</v>
      </c>
      <c r="H1" s="187"/>
      <c r="I1" s="188"/>
      <c r="J1" s="186" t="s">
        <v>19</v>
      </c>
      <c r="K1" s="187"/>
      <c r="L1" s="188"/>
      <c r="M1" s="186" t="s">
        <v>23</v>
      </c>
      <c r="N1" s="187"/>
      <c r="O1" s="188"/>
      <c r="P1" s="189" t="s">
        <v>24</v>
      </c>
      <c r="Q1" s="190"/>
      <c r="R1" s="186" t="s">
        <v>25</v>
      </c>
      <c r="S1" s="187"/>
      <c r="T1" s="188"/>
      <c r="U1" s="186" t="s">
        <v>26</v>
      </c>
      <c r="V1" s="187"/>
      <c r="W1" s="188"/>
      <c r="X1" s="189" t="s">
        <v>27</v>
      </c>
      <c r="Y1" s="191"/>
      <c r="Z1" s="190"/>
      <c r="AA1" s="189" t="s">
        <v>28</v>
      </c>
      <c r="AB1" s="190"/>
      <c r="AC1" s="186" t="s">
        <v>29</v>
      </c>
      <c r="AD1" s="187"/>
      <c r="AE1" s="188"/>
      <c r="AF1" s="186" t="s">
        <v>30</v>
      </c>
      <c r="AG1" s="187"/>
      <c r="AH1" s="188"/>
      <c r="AI1" s="186" t="s">
        <v>31</v>
      </c>
      <c r="AJ1" s="187"/>
      <c r="AK1" s="188"/>
      <c r="AL1" s="189" t="s">
        <v>32</v>
      </c>
      <c r="AM1" s="190"/>
      <c r="AN1" s="186" t="s">
        <v>33</v>
      </c>
      <c r="AO1" s="187"/>
      <c r="AP1" s="188"/>
      <c r="AQ1" s="186" t="s">
        <v>34</v>
      </c>
      <c r="AR1" s="187"/>
      <c r="AS1" s="188"/>
      <c r="AT1" s="186" t="s">
        <v>35</v>
      </c>
      <c r="AU1" s="187"/>
      <c r="AV1" s="188"/>
    </row>
    <row r="2" spans="1:48" ht="39" customHeight="1">
      <c r="A2" s="193"/>
      <c r="B2" s="193"/>
      <c r="C2" s="194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94" t="s">
        <v>83</v>
      </c>
      <c r="B3" s="194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94"/>
      <c r="B4" s="194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4"/>
      <c r="B5" s="194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4"/>
      <c r="B6" s="194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4"/>
      <c r="B7" s="19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4"/>
      <c r="B8" s="194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4"/>
      <c r="B9" s="19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96" t="s">
        <v>58</v>
      </c>
      <c r="B1" s="196"/>
      <c r="C1" s="196"/>
      <c r="D1" s="196"/>
      <c r="E1" s="196"/>
    </row>
    <row r="2" spans="1:5">
      <c r="A2" s="12"/>
      <c r="B2" s="12"/>
      <c r="C2" s="12"/>
      <c r="D2" s="12"/>
      <c r="E2" s="12"/>
    </row>
    <row r="3" spans="1:5">
      <c r="A3" s="197" t="s">
        <v>130</v>
      </c>
      <c r="B3" s="197"/>
      <c r="C3" s="197"/>
      <c r="D3" s="197"/>
      <c r="E3" s="19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95" t="s">
        <v>79</v>
      </c>
      <c r="B26" s="195"/>
      <c r="C26" s="195"/>
      <c r="D26" s="195"/>
      <c r="E26" s="195"/>
    </row>
    <row r="27" spans="1:5">
      <c r="A27" s="28"/>
      <c r="B27" s="28"/>
      <c r="C27" s="28"/>
      <c r="D27" s="28"/>
      <c r="E27" s="28"/>
    </row>
    <row r="28" spans="1:5">
      <c r="A28" s="195" t="s">
        <v>80</v>
      </c>
      <c r="B28" s="195"/>
      <c r="C28" s="195"/>
      <c r="D28" s="195"/>
      <c r="E28" s="195"/>
    </row>
    <row r="29" spans="1:5">
      <c r="A29" s="195"/>
      <c r="B29" s="195"/>
      <c r="C29" s="195"/>
      <c r="D29" s="195"/>
      <c r="E29" s="195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21" t="s">
        <v>46</v>
      </c>
      <c r="C3" s="221"/>
      <c r="D3" s="36" t="s">
        <v>18</v>
      </c>
      <c r="E3" s="47" t="s">
        <v>19</v>
      </c>
      <c r="F3" s="36" t="s">
        <v>23</v>
      </c>
      <c r="G3" s="47" t="s">
        <v>25</v>
      </c>
      <c r="H3" s="36" t="s">
        <v>26</v>
      </c>
      <c r="I3" s="47" t="s">
        <v>27</v>
      </c>
      <c r="J3" s="36" t="s">
        <v>29</v>
      </c>
      <c r="K3" s="47" t="s">
        <v>30</v>
      </c>
      <c r="L3" s="36" t="s">
        <v>31</v>
      </c>
      <c r="M3" s="47" t="s">
        <v>33</v>
      </c>
      <c r="N3" s="36" t="s">
        <v>34</v>
      </c>
      <c r="O3" s="47" t="s">
        <v>35</v>
      </c>
      <c r="P3" s="36" t="s">
        <v>81</v>
      </c>
      <c r="Q3" s="36" t="s">
        <v>50</v>
      </c>
      <c r="R3" s="35" t="s">
        <v>18</v>
      </c>
      <c r="S3" s="29" t="s">
        <v>19</v>
      </c>
      <c r="T3" s="35" t="s">
        <v>23</v>
      </c>
      <c r="U3" s="29" t="s">
        <v>25</v>
      </c>
      <c r="V3" s="35" t="s">
        <v>26</v>
      </c>
      <c r="W3" s="29" t="s">
        <v>27</v>
      </c>
      <c r="X3" s="35" t="s">
        <v>29</v>
      </c>
      <c r="Y3" s="29" t="s">
        <v>30</v>
      </c>
      <c r="Z3" s="35" t="s">
        <v>31</v>
      </c>
      <c r="AA3" s="29" t="s">
        <v>33</v>
      </c>
      <c r="AB3" s="35" t="s">
        <v>34</v>
      </c>
      <c r="AC3" s="29" t="s">
        <v>35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15" t="s">
        <v>2</v>
      </c>
      <c r="B5" s="203" t="s">
        <v>85</v>
      </c>
      <c r="C5" s="52" t="s">
        <v>21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15"/>
      <c r="B6" s="203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15"/>
      <c r="B7" s="203"/>
      <c r="C7" s="52" t="s">
        <v>22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15" t="s">
        <v>4</v>
      </c>
      <c r="B8" s="203" t="s">
        <v>86</v>
      </c>
      <c r="C8" s="52" t="s">
        <v>21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07" t="s">
        <v>205</v>
      </c>
      <c r="N8" s="208"/>
      <c r="O8" s="209"/>
      <c r="P8" s="55"/>
      <c r="Q8" s="55"/>
    </row>
    <row r="9" spans="1:256" ht="33.75" customHeight="1">
      <c r="A9" s="215"/>
      <c r="B9" s="203"/>
      <c r="C9" s="52" t="s">
        <v>22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15" t="s">
        <v>5</v>
      </c>
      <c r="B10" s="203" t="s">
        <v>87</v>
      </c>
      <c r="C10" s="52" t="s">
        <v>21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15"/>
      <c r="B11" s="203"/>
      <c r="C11" s="52" t="s">
        <v>22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15" t="s">
        <v>6</v>
      </c>
      <c r="B12" s="203" t="s">
        <v>228</v>
      </c>
      <c r="C12" s="52" t="s">
        <v>21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15"/>
      <c r="B13" s="203"/>
      <c r="C13" s="52" t="s">
        <v>22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15" t="s">
        <v>10</v>
      </c>
      <c r="B14" s="203" t="s">
        <v>88</v>
      </c>
      <c r="C14" s="52" t="s">
        <v>21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15"/>
      <c r="B15" s="203"/>
      <c r="C15" s="52" t="s">
        <v>22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14"/>
      <c r="AJ16" s="214"/>
      <c r="AK16" s="214"/>
      <c r="AZ16" s="214"/>
      <c r="BA16" s="214"/>
      <c r="BB16" s="214"/>
      <c r="BQ16" s="214"/>
      <c r="BR16" s="214"/>
      <c r="BS16" s="214"/>
      <c r="CH16" s="214"/>
      <c r="CI16" s="214"/>
      <c r="CJ16" s="214"/>
      <c r="CY16" s="214"/>
      <c r="CZ16" s="214"/>
      <c r="DA16" s="214"/>
      <c r="DP16" s="214"/>
      <c r="DQ16" s="214"/>
      <c r="DR16" s="214"/>
      <c r="EG16" s="214"/>
      <c r="EH16" s="214"/>
      <c r="EI16" s="214"/>
      <c r="EX16" s="214"/>
      <c r="EY16" s="214"/>
      <c r="EZ16" s="214"/>
      <c r="FO16" s="214"/>
      <c r="FP16" s="214"/>
      <c r="FQ16" s="214"/>
      <c r="GF16" s="214"/>
      <c r="GG16" s="214"/>
      <c r="GH16" s="214"/>
      <c r="GW16" s="214"/>
      <c r="GX16" s="214"/>
      <c r="GY16" s="214"/>
      <c r="HN16" s="214"/>
      <c r="HO16" s="214"/>
      <c r="HP16" s="214"/>
      <c r="IE16" s="214"/>
      <c r="IF16" s="214"/>
      <c r="IG16" s="214"/>
      <c r="IV16" s="214"/>
    </row>
    <row r="17" spans="1:17" ht="320.25" customHeight="1">
      <c r="A17" s="215" t="s">
        <v>7</v>
      </c>
      <c r="B17" s="203" t="s">
        <v>90</v>
      </c>
      <c r="C17" s="52" t="s">
        <v>21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15"/>
      <c r="B18" s="203"/>
      <c r="C18" s="52" t="s">
        <v>22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15" t="s">
        <v>8</v>
      </c>
      <c r="B19" s="203" t="s">
        <v>226</v>
      </c>
      <c r="C19" s="52" t="s">
        <v>21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15"/>
      <c r="B20" s="203"/>
      <c r="C20" s="52" t="s">
        <v>22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15" t="s">
        <v>9</v>
      </c>
      <c r="B21" s="203" t="s">
        <v>229</v>
      </c>
      <c r="C21" s="52" t="s">
        <v>21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15"/>
      <c r="B22" s="203"/>
      <c r="C22" s="52" t="s">
        <v>22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10" t="s">
        <v>15</v>
      </c>
      <c r="B23" s="213" t="s">
        <v>230</v>
      </c>
      <c r="C23" s="67" t="s">
        <v>21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12"/>
      <c r="B24" s="213"/>
      <c r="C24" s="67" t="s">
        <v>22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18" t="s">
        <v>16</v>
      </c>
      <c r="B25" s="213" t="s">
        <v>231</v>
      </c>
      <c r="C25" s="67" t="s">
        <v>21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18"/>
      <c r="B26" s="213"/>
      <c r="C26" s="67" t="s">
        <v>22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17</v>
      </c>
      <c r="B28" s="53" t="s">
        <v>232</v>
      </c>
      <c r="C28" s="52" t="s">
        <v>21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15" t="s">
        <v>94</v>
      </c>
      <c r="B31" s="203" t="s">
        <v>93</v>
      </c>
      <c r="C31" s="52" t="s">
        <v>21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15"/>
      <c r="B32" s="203"/>
      <c r="C32" s="52" t="s">
        <v>22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15" t="s">
        <v>96</v>
      </c>
      <c r="B34" s="203" t="s">
        <v>97</v>
      </c>
      <c r="C34" s="52" t="s">
        <v>21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15"/>
      <c r="B35" s="203"/>
      <c r="C35" s="52" t="s">
        <v>22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16" t="s">
        <v>98</v>
      </c>
      <c r="B36" s="204" t="s">
        <v>129</v>
      </c>
      <c r="C36" s="52" t="s">
        <v>21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17"/>
      <c r="B37" s="205"/>
      <c r="C37" s="52" t="s">
        <v>22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15" t="s">
        <v>100</v>
      </c>
      <c r="B39" s="203" t="s">
        <v>227</v>
      </c>
      <c r="C39" s="52" t="s">
        <v>21</v>
      </c>
      <c r="D39" s="91"/>
      <c r="E39" s="91" t="s">
        <v>246</v>
      </c>
      <c r="F39" s="91" t="s">
        <v>245</v>
      </c>
      <c r="G39" s="91" t="s">
        <v>234</v>
      </c>
      <c r="H39" s="222" t="s">
        <v>247</v>
      </c>
      <c r="I39" s="223"/>
      <c r="J39" s="223"/>
      <c r="K39" s="223"/>
      <c r="L39" s="223"/>
      <c r="M39" s="223"/>
      <c r="N39" s="223"/>
      <c r="O39" s="224"/>
      <c r="P39" s="54" t="s">
        <v>189</v>
      </c>
      <c r="Q39" s="55"/>
    </row>
    <row r="40" spans="1:17" ht="39.950000000000003" customHeight="1">
      <c r="A40" s="215" t="s">
        <v>11</v>
      </c>
      <c r="B40" s="203" t="s">
        <v>12</v>
      </c>
      <c r="C40" s="52" t="s">
        <v>22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15" t="s">
        <v>101</v>
      </c>
      <c r="B41" s="203" t="s">
        <v>102</v>
      </c>
      <c r="C41" s="52" t="s">
        <v>21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15"/>
      <c r="B42" s="203"/>
      <c r="C42" s="52" t="s">
        <v>22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15" t="s">
        <v>103</v>
      </c>
      <c r="B43" s="203" t="s">
        <v>104</v>
      </c>
      <c r="C43" s="52" t="s">
        <v>21</v>
      </c>
      <c r="D43" s="56" t="s">
        <v>200</v>
      </c>
      <c r="E43" s="56" t="s">
        <v>201</v>
      </c>
      <c r="F43" s="56" t="s">
        <v>204</v>
      </c>
      <c r="G43" s="200" t="s">
        <v>192</v>
      </c>
      <c r="H43" s="201"/>
      <c r="I43" s="201"/>
      <c r="J43" s="201"/>
      <c r="K43" s="201"/>
      <c r="L43" s="201"/>
      <c r="M43" s="201"/>
      <c r="N43" s="201"/>
      <c r="O43" s="202"/>
      <c r="P43" s="55"/>
      <c r="Q43" s="55"/>
    </row>
    <row r="44" spans="1:17" ht="39.950000000000003" customHeight="1">
      <c r="A44" s="215"/>
      <c r="B44" s="203"/>
      <c r="C44" s="52" t="s">
        <v>22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15" t="s">
        <v>105</v>
      </c>
      <c r="B45" s="203" t="s">
        <v>106</v>
      </c>
      <c r="C45" s="52" t="s">
        <v>21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15" t="s">
        <v>13</v>
      </c>
      <c r="B46" s="203" t="s">
        <v>14</v>
      </c>
      <c r="C46" s="52" t="s">
        <v>22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19" t="s">
        <v>108</v>
      </c>
      <c r="B47" s="204" t="s">
        <v>107</v>
      </c>
      <c r="C47" s="52" t="s">
        <v>21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20"/>
      <c r="B48" s="205"/>
      <c r="C48" s="52" t="s">
        <v>22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19" t="s">
        <v>109</v>
      </c>
      <c r="B49" s="204" t="s">
        <v>110</v>
      </c>
      <c r="C49" s="83" t="s">
        <v>21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20"/>
      <c r="B50" s="205"/>
      <c r="C50" s="52" t="s">
        <v>22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15" t="s">
        <v>111</v>
      </c>
      <c r="B51" s="203" t="s">
        <v>112</v>
      </c>
      <c r="C51" s="67" t="s">
        <v>21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15"/>
      <c r="B52" s="203"/>
      <c r="C52" s="52" t="s">
        <v>22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15" t="s">
        <v>114</v>
      </c>
      <c r="B53" s="203" t="s">
        <v>113</v>
      </c>
      <c r="C53" s="52" t="s">
        <v>21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15"/>
      <c r="B54" s="203"/>
      <c r="C54" s="52" t="s">
        <v>22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15" t="s">
        <v>115</v>
      </c>
      <c r="B55" s="203" t="s">
        <v>116</v>
      </c>
      <c r="C55" s="52" t="s">
        <v>21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15"/>
      <c r="B56" s="203"/>
      <c r="C56" s="52" t="s">
        <v>22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15" t="s">
        <v>117</v>
      </c>
      <c r="B57" s="203" t="s">
        <v>118</v>
      </c>
      <c r="C57" s="52" t="s">
        <v>21</v>
      </c>
      <c r="D57" s="92" t="s">
        <v>235</v>
      </c>
      <c r="E57" s="91"/>
      <c r="F57" s="91" t="s">
        <v>236</v>
      </c>
      <c r="G57" s="206" t="s">
        <v>233</v>
      </c>
      <c r="H57" s="206"/>
      <c r="I57" s="91" t="s">
        <v>237</v>
      </c>
      <c r="J57" s="91" t="s">
        <v>238</v>
      </c>
      <c r="K57" s="207" t="s">
        <v>239</v>
      </c>
      <c r="L57" s="208"/>
      <c r="M57" s="208"/>
      <c r="N57" s="208"/>
      <c r="O57" s="209"/>
      <c r="P57" s="87" t="s">
        <v>199</v>
      </c>
      <c r="Q57" s="55"/>
    </row>
    <row r="58" spans="1:17" ht="39.950000000000003" customHeight="1">
      <c r="A58" s="215"/>
      <c r="B58" s="203"/>
      <c r="C58" s="52" t="s">
        <v>22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10" t="s">
        <v>120</v>
      </c>
      <c r="B59" s="210" t="s">
        <v>119</v>
      </c>
      <c r="C59" s="210" t="s">
        <v>21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11"/>
      <c r="B60" s="211"/>
      <c r="C60" s="211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11"/>
      <c r="B61" s="211"/>
      <c r="C61" s="212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12"/>
      <c r="B62" s="212"/>
      <c r="C62" s="67" t="s">
        <v>22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15" t="s">
        <v>121</v>
      </c>
      <c r="B63" s="203" t="s">
        <v>122</v>
      </c>
      <c r="C63" s="52" t="s">
        <v>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15"/>
      <c r="B64" s="203"/>
      <c r="C64" s="52" t="s">
        <v>22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18" t="s">
        <v>123</v>
      </c>
      <c r="B65" s="213" t="s">
        <v>124</v>
      </c>
      <c r="C65" s="67" t="s">
        <v>21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18"/>
      <c r="B66" s="213"/>
      <c r="C66" s="67" t="s">
        <v>22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15" t="s">
        <v>125</v>
      </c>
      <c r="B67" s="203" t="s">
        <v>126</v>
      </c>
      <c r="C67" s="52" t="s">
        <v>21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15"/>
      <c r="B68" s="203"/>
      <c r="C68" s="52" t="s">
        <v>22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19" t="s">
        <v>127</v>
      </c>
      <c r="B69" s="204" t="s">
        <v>128</v>
      </c>
      <c r="C69" s="52" t="s">
        <v>21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20"/>
      <c r="B70" s="205"/>
      <c r="C70" s="52" t="s">
        <v>22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198" t="s">
        <v>255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199" t="s">
        <v>216</v>
      </c>
      <c r="C79" s="199"/>
      <c r="D79" s="199"/>
      <c r="E79" s="19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6" type="noConversion"/>
  <conditionalFormatting sqref="R5:AN6 R7:AC70">
    <cfRule type="expression" dxfId="2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7"/>
  <sheetViews>
    <sheetView tabSelected="1" view="pageBreakPreview" zoomScale="80" zoomScaleNormal="80" zoomScaleSheetLayoutView="80" workbookViewId="0">
      <pane xSplit="8" ySplit="3" topLeftCell="R4" activePane="bottomRight" state="frozen"/>
      <selection pane="topRight" activeCell="I1" sqref="I1"/>
      <selection pane="bottomLeft" activeCell="A4" sqref="A4"/>
      <selection pane="bottomRight" activeCell="C8" sqref="C8:C10"/>
    </sheetView>
  </sheetViews>
  <sheetFormatPr defaultRowHeight="12.75"/>
  <cols>
    <col min="1" max="1" width="6.5703125" style="116" customWidth="1"/>
    <col min="2" max="2" width="37.42578125" style="112" customWidth="1"/>
    <col min="3" max="3" width="35.28515625" style="112" customWidth="1"/>
    <col min="4" max="4" width="10" style="112" customWidth="1"/>
    <col min="5" max="5" width="23.28515625" style="113" customWidth="1"/>
    <col min="6" max="6" width="13.5703125" style="114" customWidth="1"/>
    <col min="7" max="7" width="11.7109375" style="114" customWidth="1"/>
    <col min="8" max="8" width="12.7109375" style="115" customWidth="1"/>
    <col min="9" max="10" width="10.5703125" style="115" customWidth="1"/>
    <col min="11" max="11" width="12.140625" style="115" customWidth="1"/>
    <col min="12" max="12" width="11.7109375" style="115" customWidth="1"/>
    <col min="13" max="13" width="11.85546875" style="115" customWidth="1"/>
    <col min="14" max="14" width="12.42578125" style="115" customWidth="1"/>
    <col min="15" max="15" width="12" style="115" customWidth="1"/>
    <col min="16" max="16" width="11.7109375" style="115" customWidth="1"/>
    <col min="17" max="17" width="12.28515625" style="115" customWidth="1"/>
    <col min="18" max="18" width="12.140625" style="115" customWidth="1"/>
    <col min="19" max="19" width="9.7109375" style="129" hidden="1" customWidth="1"/>
    <col min="20" max="20" width="9.7109375" style="115" hidden="1" customWidth="1"/>
    <col min="21" max="21" width="11.7109375" style="115" customWidth="1"/>
    <col min="22" max="23" width="9.7109375" style="115" hidden="1" customWidth="1"/>
    <col min="24" max="24" width="12.5703125" style="115" customWidth="1"/>
    <col min="25" max="26" width="25" style="115" hidden="1" customWidth="1"/>
    <col min="27" max="27" width="11.7109375" style="115" customWidth="1"/>
    <col min="28" max="28" width="13.7109375" style="115" hidden="1" customWidth="1"/>
    <col min="29" max="29" width="14" style="115" hidden="1" customWidth="1"/>
    <col min="30" max="30" width="12.28515625" style="115" customWidth="1"/>
    <col min="31" max="31" width="13.28515625" style="115" hidden="1" customWidth="1"/>
    <col min="32" max="32" width="13.7109375" style="115" hidden="1" customWidth="1"/>
    <col min="33" max="33" width="11" style="115" customWidth="1"/>
    <col min="34" max="34" width="12.85546875" style="115" hidden="1" customWidth="1"/>
    <col min="35" max="35" width="13" style="115" hidden="1" customWidth="1"/>
    <col min="36" max="36" width="12" style="115" customWidth="1"/>
    <col min="37" max="38" width="14" style="115" hidden="1" customWidth="1"/>
    <col min="39" max="39" width="11.5703125" style="115" customWidth="1"/>
    <col min="40" max="40" width="14" style="115" hidden="1" customWidth="1"/>
    <col min="41" max="41" width="13.28515625" style="115" hidden="1" customWidth="1"/>
    <col min="42" max="42" width="11.85546875" style="115" customWidth="1"/>
    <col min="43" max="44" width="14.42578125" style="115" hidden="1" customWidth="1"/>
    <col min="45" max="45" width="44.7109375" style="115" customWidth="1"/>
    <col min="46" max="46" width="48.42578125" style="97" customWidth="1"/>
    <col min="47" max="47" width="10.42578125" style="97" hidden="1" customWidth="1"/>
    <col min="48" max="48" width="12.140625" style="97" hidden="1" customWidth="1"/>
    <col min="49" max="49" width="12.140625" style="97" customWidth="1"/>
    <col min="50" max="50" width="17.85546875" style="97" customWidth="1"/>
    <col min="51" max="51" width="19.28515625" style="97" customWidth="1"/>
    <col min="52" max="52" width="18.42578125" style="97" customWidth="1"/>
    <col min="53" max="53" width="18.85546875" style="97" customWidth="1"/>
    <col min="54" max="16384" width="9.140625" style="97"/>
  </cols>
  <sheetData>
    <row r="1" spans="1:55" ht="33.75" customHeight="1">
      <c r="A1" s="225" t="s">
        <v>450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95"/>
      <c r="AB1" s="96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</row>
    <row r="2" spans="1:55" ht="24.75" customHeight="1">
      <c r="A2" s="225" t="s">
        <v>414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98"/>
      <c r="AB2" s="99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100"/>
      <c r="AQ2" s="101"/>
      <c r="AR2" s="101"/>
      <c r="AS2" s="101"/>
      <c r="AT2" s="102"/>
      <c r="AU2" s="130"/>
    </row>
    <row r="3" spans="1:55" ht="26.25" customHeight="1">
      <c r="A3" s="226" t="s">
        <v>263</v>
      </c>
      <c r="B3" s="227" t="s">
        <v>262</v>
      </c>
      <c r="C3" s="227" t="s">
        <v>47</v>
      </c>
      <c r="D3" s="227" t="s">
        <v>280</v>
      </c>
      <c r="E3" s="227" t="s">
        <v>1</v>
      </c>
      <c r="F3" s="228" t="s">
        <v>264</v>
      </c>
      <c r="G3" s="228"/>
      <c r="H3" s="228"/>
      <c r="I3" s="229" t="s">
        <v>18</v>
      </c>
      <c r="J3" s="230"/>
      <c r="K3" s="231"/>
      <c r="L3" s="229" t="s">
        <v>19</v>
      </c>
      <c r="M3" s="230"/>
      <c r="N3" s="231"/>
      <c r="O3" s="229" t="s">
        <v>23</v>
      </c>
      <c r="P3" s="230"/>
      <c r="Q3" s="231"/>
      <c r="R3" s="229" t="s">
        <v>25</v>
      </c>
      <c r="S3" s="230"/>
      <c r="T3" s="231"/>
      <c r="U3" s="229" t="s">
        <v>26</v>
      </c>
      <c r="V3" s="230"/>
      <c r="W3" s="231"/>
      <c r="X3" s="229" t="s">
        <v>27</v>
      </c>
      <c r="Y3" s="230"/>
      <c r="Z3" s="231"/>
      <c r="AA3" s="229" t="s">
        <v>29</v>
      </c>
      <c r="AB3" s="230"/>
      <c r="AC3" s="231"/>
      <c r="AD3" s="229" t="s">
        <v>30</v>
      </c>
      <c r="AE3" s="230"/>
      <c r="AF3" s="231"/>
      <c r="AG3" s="229" t="s">
        <v>31</v>
      </c>
      <c r="AH3" s="230"/>
      <c r="AI3" s="231"/>
      <c r="AJ3" s="229" t="s">
        <v>33</v>
      </c>
      <c r="AK3" s="230"/>
      <c r="AL3" s="231"/>
      <c r="AM3" s="229" t="s">
        <v>34</v>
      </c>
      <c r="AN3" s="230"/>
      <c r="AO3" s="231"/>
      <c r="AP3" s="232" t="s">
        <v>35</v>
      </c>
      <c r="AQ3" s="232"/>
      <c r="AR3" s="232"/>
      <c r="AS3" s="233" t="s">
        <v>266</v>
      </c>
      <c r="AT3" s="233" t="s">
        <v>267</v>
      </c>
      <c r="AU3" s="130">
        <f>AU58+AU61+AU64+AU67+AU70</f>
        <v>299.49</v>
      </c>
      <c r="AV3" s="130">
        <f t="shared" ref="AV3" si="0">AV58+AV61+AV64+AV67+AV70</f>
        <v>249.49</v>
      </c>
      <c r="AW3" s="130"/>
      <c r="AX3" s="130"/>
    </row>
    <row r="4" spans="1:55" ht="33" customHeight="1">
      <c r="A4" s="226"/>
      <c r="B4" s="227"/>
      <c r="C4" s="227"/>
      <c r="D4" s="227"/>
      <c r="E4" s="227"/>
      <c r="F4" s="103" t="s">
        <v>256</v>
      </c>
      <c r="G4" s="103" t="s">
        <v>22</v>
      </c>
      <c r="H4" s="103" t="s">
        <v>265</v>
      </c>
      <c r="I4" s="103" t="s">
        <v>256</v>
      </c>
      <c r="J4" s="103" t="s">
        <v>22</v>
      </c>
      <c r="K4" s="103" t="s">
        <v>265</v>
      </c>
      <c r="L4" s="103" t="s">
        <v>256</v>
      </c>
      <c r="M4" s="103" t="s">
        <v>22</v>
      </c>
      <c r="N4" s="103" t="s">
        <v>265</v>
      </c>
      <c r="O4" s="103" t="s">
        <v>256</v>
      </c>
      <c r="P4" s="103" t="s">
        <v>22</v>
      </c>
      <c r="Q4" s="103" t="s">
        <v>265</v>
      </c>
      <c r="R4" s="103" t="s">
        <v>256</v>
      </c>
      <c r="S4" s="128" t="s">
        <v>22</v>
      </c>
      <c r="T4" s="103" t="s">
        <v>265</v>
      </c>
      <c r="U4" s="103" t="s">
        <v>256</v>
      </c>
      <c r="V4" s="103" t="s">
        <v>22</v>
      </c>
      <c r="W4" s="103" t="s">
        <v>265</v>
      </c>
      <c r="X4" s="103" t="s">
        <v>256</v>
      </c>
      <c r="Y4" s="103" t="s">
        <v>22</v>
      </c>
      <c r="Z4" s="103" t="s">
        <v>265</v>
      </c>
      <c r="AA4" s="103" t="s">
        <v>256</v>
      </c>
      <c r="AB4" s="103" t="s">
        <v>22</v>
      </c>
      <c r="AC4" s="103" t="s">
        <v>265</v>
      </c>
      <c r="AD4" s="103" t="s">
        <v>256</v>
      </c>
      <c r="AE4" s="103" t="s">
        <v>22</v>
      </c>
      <c r="AF4" s="103" t="s">
        <v>265</v>
      </c>
      <c r="AG4" s="103" t="s">
        <v>256</v>
      </c>
      <c r="AH4" s="103" t="s">
        <v>22</v>
      </c>
      <c r="AI4" s="103" t="s">
        <v>265</v>
      </c>
      <c r="AJ4" s="103" t="s">
        <v>256</v>
      </c>
      <c r="AK4" s="103" t="s">
        <v>22</v>
      </c>
      <c r="AL4" s="103" t="s">
        <v>265</v>
      </c>
      <c r="AM4" s="103" t="s">
        <v>256</v>
      </c>
      <c r="AN4" s="103" t="s">
        <v>22</v>
      </c>
      <c r="AO4" s="103" t="s">
        <v>265</v>
      </c>
      <c r="AP4" s="103" t="s">
        <v>256</v>
      </c>
      <c r="AQ4" s="103" t="s">
        <v>22</v>
      </c>
      <c r="AR4" s="103" t="s">
        <v>265</v>
      </c>
      <c r="AS4" s="233"/>
      <c r="AT4" s="233"/>
      <c r="AU4" s="104"/>
      <c r="AV4" s="104"/>
      <c r="AW4" s="104"/>
      <c r="AX4" s="104"/>
    </row>
    <row r="5" spans="1:55" ht="19.5" customHeight="1">
      <c r="A5" s="127" t="s">
        <v>257</v>
      </c>
      <c r="B5" s="244" t="s">
        <v>291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6"/>
      <c r="AU5" s="131"/>
      <c r="AV5" s="132"/>
      <c r="AW5" s="132"/>
      <c r="AX5" s="104"/>
      <c r="AY5" s="104"/>
      <c r="AZ5" s="104"/>
      <c r="BA5" s="104"/>
    </row>
    <row r="6" spans="1:55" ht="21" customHeight="1">
      <c r="A6" s="127" t="s">
        <v>2</v>
      </c>
      <c r="B6" s="244" t="s">
        <v>292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6"/>
      <c r="AU6" s="132"/>
      <c r="AV6" s="132"/>
      <c r="AW6" s="133"/>
      <c r="AX6" s="104"/>
      <c r="AY6" s="104"/>
      <c r="AZ6" s="104"/>
      <c r="BA6" s="104"/>
    </row>
    <row r="7" spans="1:55" ht="21" customHeight="1">
      <c r="A7" s="185" t="s">
        <v>259</v>
      </c>
      <c r="B7" s="247" t="s">
        <v>293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9"/>
      <c r="AU7" s="133"/>
      <c r="AV7" s="133"/>
      <c r="AW7" s="133"/>
    </row>
    <row r="8" spans="1:55" ht="39.75" customHeight="1">
      <c r="A8" s="226" t="s">
        <v>351</v>
      </c>
      <c r="B8" s="250" t="s">
        <v>294</v>
      </c>
      <c r="C8" s="251" t="s">
        <v>268</v>
      </c>
      <c r="D8" s="238" t="s">
        <v>387</v>
      </c>
      <c r="E8" s="105" t="s">
        <v>42</v>
      </c>
      <c r="F8" s="118">
        <f>I8+L8+O8+R8+U8+X8+AA8+AD8+AG8+AJ8+AM8+AP8</f>
        <v>0</v>
      </c>
      <c r="G8" s="118">
        <f t="shared" ref="G8:G40" si="1">J8+M8+P8+S8+V8+Y8+AB8+AE8+AH8+AK8+AN8+AQ8</f>
        <v>0</v>
      </c>
      <c r="H8" s="122"/>
      <c r="I8" s="106">
        <f>SUM(I9:I10)</f>
        <v>0</v>
      </c>
      <c r="J8" s="106">
        <f>SUM(J9:J10)</f>
        <v>0</v>
      </c>
      <c r="K8" s="106"/>
      <c r="L8" s="106">
        <f>SUM(L9:L10)</f>
        <v>0</v>
      </c>
      <c r="M8" s="106">
        <f>SUM(M9:M10)</f>
        <v>0</v>
      </c>
      <c r="N8" s="106"/>
      <c r="O8" s="106">
        <f>SUM(O9:O10)</f>
        <v>0</v>
      </c>
      <c r="P8" s="106">
        <f>SUM(P9:P10)</f>
        <v>0</v>
      </c>
      <c r="Q8" s="106"/>
      <c r="R8" s="106">
        <f>SUM(R9:R10)</f>
        <v>0</v>
      </c>
      <c r="S8" s="106">
        <f>SUM(S9:S10)</f>
        <v>0</v>
      </c>
      <c r="T8" s="106"/>
      <c r="U8" s="106">
        <f t="shared" ref="U8:AR8" si="2">SUM(U9:U10)</f>
        <v>0</v>
      </c>
      <c r="V8" s="106">
        <f t="shared" si="2"/>
        <v>0</v>
      </c>
      <c r="W8" s="106">
        <f t="shared" si="2"/>
        <v>0</v>
      </c>
      <c r="X8" s="106">
        <f t="shared" si="2"/>
        <v>0</v>
      </c>
      <c r="Y8" s="106">
        <f t="shared" si="2"/>
        <v>0</v>
      </c>
      <c r="Z8" s="106"/>
      <c r="AA8" s="106">
        <f t="shared" si="2"/>
        <v>0</v>
      </c>
      <c r="AB8" s="106">
        <f t="shared" si="2"/>
        <v>0</v>
      </c>
      <c r="AC8" s="122"/>
      <c r="AD8" s="106">
        <f t="shared" si="2"/>
        <v>0</v>
      </c>
      <c r="AE8" s="106">
        <f t="shared" si="2"/>
        <v>0</v>
      </c>
      <c r="AF8" s="106">
        <f t="shared" si="2"/>
        <v>0</v>
      </c>
      <c r="AG8" s="106">
        <f t="shared" si="2"/>
        <v>0</v>
      </c>
      <c r="AH8" s="106">
        <f t="shared" si="2"/>
        <v>0</v>
      </c>
      <c r="AI8" s="106">
        <f t="shared" si="2"/>
        <v>0</v>
      </c>
      <c r="AJ8" s="106">
        <f t="shared" si="2"/>
        <v>0</v>
      </c>
      <c r="AK8" s="106">
        <f t="shared" si="2"/>
        <v>0</v>
      </c>
      <c r="AL8" s="106">
        <f t="shared" si="2"/>
        <v>0</v>
      </c>
      <c r="AM8" s="106">
        <f t="shared" si="2"/>
        <v>0</v>
      </c>
      <c r="AN8" s="106">
        <f t="shared" si="2"/>
        <v>0</v>
      </c>
      <c r="AO8" s="106">
        <f t="shared" si="2"/>
        <v>0</v>
      </c>
      <c r="AP8" s="106">
        <f t="shared" si="2"/>
        <v>0</v>
      </c>
      <c r="AQ8" s="106">
        <f t="shared" si="2"/>
        <v>0</v>
      </c>
      <c r="AR8" s="106">
        <f t="shared" si="2"/>
        <v>0</v>
      </c>
      <c r="AS8" s="134"/>
      <c r="AT8" s="254"/>
      <c r="AU8" s="135">
        <f>I8+L8+O8</f>
        <v>0</v>
      </c>
      <c r="AV8" s="135">
        <f>J8+M8+P8</f>
        <v>0</v>
      </c>
      <c r="AW8" s="136" t="e">
        <f>(AV8)/(AU8)*100%</f>
        <v>#DIV/0!</v>
      </c>
      <c r="AX8" s="137">
        <f t="shared" ref="AX8:AX70" si="3">I8+L8+O8</f>
        <v>0</v>
      </c>
      <c r="AY8" s="137">
        <f t="shared" ref="AY8:AY70" si="4">R8+U8+X8</f>
        <v>0</v>
      </c>
      <c r="AZ8" s="137">
        <f t="shared" ref="AZ8:AZ11" si="5">AA8+AD8+AG8</f>
        <v>0</v>
      </c>
      <c r="BA8" s="137">
        <f t="shared" ref="BA8:BA11" si="6">AJ8+AM8+AP8</f>
        <v>0</v>
      </c>
    </row>
    <row r="9" spans="1:55" ht="39.75" customHeight="1">
      <c r="A9" s="226"/>
      <c r="B9" s="250"/>
      <c r="C9" s="252"/>
      <c r="D9" s="239"/>
      <c r="E9" s="105" t="s">
        <v>3</v>
      </c>
      <c r="F9" s="118">
        <f t="shared" ref="F9:F10" si="7">I9+L9+O9+R9+U9+X9+AA9+AD9+AG9+AJ9+AM9+AP9</f>
        <v>0</v>
      </c>
      <c r="G9" s="118">
        <f t="shared" si="1"/>
        <v>0</v>
      </c>
      <c r="H9" s="122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94"/>
      <c r="V9" s="94"/>
      <c r="W9" s="94"/>
      <c r="X9" s="94"/>
      <c r="Y9" s="94"/>
      <c r="Z9" s="94"/>
      <c r="AA9" s="94"/>
      <c r="AB9" s="94"/>
      <c r="AC9" s="122"/>
      <c r="AD9" s="94"/>
      <c r="AE9" s="94"/>
      <c r="AF9" s="94"/>
      <c r="AG9" s="94"/>
      <c r="AH9" s="94"/>
      <c r="AI9" s="94"/>
      <c r="AJ9" s="106"/>
      <c r="AK9" s="106"/>
      <c r="AL9" s="106"/>
      <c r="AM9" s="94"/>
      <c r="AN9" s="94"/>
      <c r="AO9" s="94"/>
      <c r="AP9" s="106"/>
      <c r="AQ9" s="106"/>
      <c r="AR9" s="106"/>
      <c r="AS9" s="138"/>
      <c r="AT9" s="255"/>
      <c r="AU9" s="135">
        <f t="shared" ref="AU9:AU72" si="8">I9+L9+O9</f>
        <v>0</v>
      </c>
      <c r="AV9" s="135">
        <f t="shared" ref="AV9:AV72" si="9">J9+M9+P9</f>
        <v>0</v>
      </c>
      <c r="AW9" s="136" t="e">
        <f t="shared" ref="AW9:AW12" si="10">(AV9)/(AU9)*100%</f>
        <v>#DIV/0!</v>
      </c>
      <c r="AX9" s="137">
        <f t="shared" si="3"/>
        <v>0</v>
      </c>
      <c r="AY9" s="137">
        <f t="shared" si="4"/>
        <v>0</v>
      </c>
      <c r="AZ9" s="137">
        <f t="shared" si="5"/>
        <v>0</v>
      </c>
      <c r="BA9" s="137">
        <f t="shared" si="6"/>
        <v>0</v>
      </c>
    </row>
    <row r="10" spans="1:55" ht="39.75" customHeight="1">
      <c r="A10" s="226"/>
      <c r="B10" s="250"/>
      <c r="C10" s="253"/>
      <c r="D10" s="240"/>
      <c r="E10" s="105" t="s">
        <v>44</v>
      </c>
      <c r="F10" s="118">
        <f t="shared" si="7"/>
        <v>0</v>
      </c>
      <c r="G10" s="118">
        <f t="shared" si="1"/>
        <v>0</v>
      </c>
      <c r="H10" s="122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4"/>
      <c r="V10" s="94"/>
      <c r="W10" s="94"/>
      <c r="X10" s="94"/>
      <c r="Y10" s="94"/>
      <c r="Z10" s="94"/>
      <c r="AA10" s="94"/>
      <c r="AB10" s="94"/>
      <c r="AC10" s="122"/>
      <c r="AD10" s="94"/>
      <c r="AE10" s="94"/>
      <c r="AF10" s="94"/>
      <c r="AG10" s="94"/>
      <c r="AH10" s="94"/>
      <c r="AI10" s="94"/>
      <c r="AJ10" s="106"/>
      <c r="AK10" s="106"/>
      <c r="AL10" s="106"/>
      <c r="AM10" s="94"/>
      <c r="AN10" s="94"/>
      <c r="AO10" s="94"/>
      <c r="AP10" s="106"/>
      <c r="AQ10" s="106"/>
      <c r="AR10" s="106"/>
      <c r="AS10" s="138"/>
      <c r="AT10" s="255"/>
      <c r="AU10" s="135">
        <f t="shared" si="8"/>
        <v>0</v>
      </c>
      <c r="AV10" s="135">
        <f t="shared" si="9"/>
        <v>0</v>
      </c>
      <c r="AW10" s="136" t="e">
        <f t="shared" si="10"/>
        <v>#DIV/0!</v>
      </c>
      <c r="AX10" s="137">
        <f t="shared" si="3"/>
        <v>0</v>
      </c>
      <c r="AY10" s="137">
        <f t="shared" si="4"/>
        <v>0</v>
      </c>
      <c r="AZ10" s="137">
        <f t="shared" si="5"/>
        <v>0</v>
      </c>
      <c r="BA10" s="137">
        <f t="shared" si="6"/>
        <v>0</v>
      </c>
    </row>
    <row r="11" spans="1:55" ht="17.25" customHeight="1">
      <c r="A11" s="226" t="s">
        <v>352</v>
      </c>
      <c r="B11" s="234" t="s">
        <v>295</v>
      </c>
      <c r="C11" s="235" t="s">
        <v>268</v>
      </c>
      <c r="D11" s="238">
        <v>1.2</v>
      </c>
      <c r="E11" s="105" t="s">
        <v>42</v>
      </c>
      <c r="F11" s="118">
        <f>I11+L11+O11+R11+U11+X11+AA11+AD11+AG11+AJ11+AM11+AP11</f>
        <v>558519.5</v>
      </c>
      <c r="G11" s="118">
        <f t="shared" si="1"/>
        <v>109600.079</v>
      </c>
      <c r="H11" s="122">
        <f>G11/F11</f>
        <v>0.19623321835674493</v>
      </c>
      <c r="I11" s="118">
        <f>SUM(I12:I13)</f>
        <v>15790.204</v>
      </c>
      <c r="J11" s="118">
        <f>SUM(J12:J13)</f>
        <v>15790.204</v>
      </c>
      <c r="K11" s="122">
        <f>J11/I11</f>
        <v>1</v>
      </c>
      <c r="L11" s="118">
        <f>SUM(L12:L13)</f>
        <v>44556.169000000002</v>
      </c>
      <c r="M11" s="118">
        <f>SUM(M12:M13)</f>
        <v>41788.087</v>
      </c>
      <c r="N11" s="122">
        <f>M11/L11</f>
        <v>0.9378743266729237</v>
      </c>
      <c r="O11" s="118">
        <f>SUM(O12:O13)</f>
        <v>50098.706000000006</v>
      </c>
      <c r="P11" s="118">
        <f>SUM(P12:P13)</f>
        <v>52021.788</v>
      </c>
      <c r="Q11" s="122">
        <f>P11/O11</f>
        <v>1.0383858617026953</v>
      </c>
      <c r="R11" s="118">
        <f>SUM(R12:R13)</f>
        <v>52716.399000000005</v>
      </c>
      <c r="S11" s="118">
        <f>SUM(S12:S13)</f>
        <v>0</v>
      </c>
      <c r="T11" s="122">
        <f>S11/R11</f>
        <v>0</v>
      </c>
      <c r="U11" s="118">
        <f t="shared" ref="U11:AR11" si="11">SUM(U12:U13)</f>
        <v>61480.617999999995</v>
      </c>
      <c r="V11" s="118">
        <f t="shared" si="11"/>
        <v>0</v>
      </c>
      <c r="W11" s="122">
        <f>V11/U11</f>
        <v>0</v>
      </c>
      <c r="X11" s="118">
        <f t="shared" si="11"/>
        <v>68268.426999999996</v>
      </c>
      <c r="Y11" s="118">
        <f t="shared" si="11"/>
        <v>0</v>
      </c>
      <c r="Z11" s="122">
        <f>Y11/X11</f>
        <v>0</v>
      </c>
      <c r="AA11" s="118">
        <f t="shared" si="11"/>
        <v>62820.14</v>
      </c>
      <c r="AB11" s="118">
        <f t="shared" si="11"/>
        <v>0</v>
      </c>
      <c r="AC11" s="122">
        <f t="shared" ref="AC11:AC13" si="12">AB11/AA11</f>
        <v>0</v>
      </c>
      <c r="AD11" s="118">
        <f t="shared" si="11"/>
        <v>39436.927000000003</v>
      </c>
      <c r="AE11" s="118">
        <f t="shared" si="11"/>
        <v>0</v>
      </c>
      <c r="AF11" s="122">
        <f t="shared" ref="AF11:AF24" si="13">AE11/AD11</f>
        <v>0</v>
      </c>
      <c r="AG11" s="118">
        <f t="shared" si="11"/>
        <v>34403.817999999999</v>
      </c>
      <c r="AH11" s="118">
        <f t="shared" si="11"/>
        <v>0</v>
      </c>
      <c r="AI11" s="122">
        <f t="shared" ref="AI11:AI40" si="14">AH11/AG11</f>
        <v>0</v>
      </c>
      <c r="AJ11" s="118">
        <f t="shared" si="11"/>
        <v>46388.178999999996</v>
      </c>
      <c r="AK11" s="118">
        <f t="shared" si="11"/>
        <v>0</v>
      </c>
      <c r="AL11" s="122">
        <f t="shared" ref="AL11:AL14" si="15">AK11/AJ11</f>
        <v>0</v>
      </c>
      <c r="AM11" s="118">
        <f t="shared" si="11"/>
        <v>41566.643000000004</v>
      </c>
      <c r="AN11" s="118">
        <f t="shared" si="11"/>
        <v>0</v>
      </c>
      <c r="AO11" s="122">
        <f t="shared" ref="AO11:AO14" si="16">AN11/AM11</f>
        <v>0</v>
      </c>
      <c r="AP11" s="118">
        <f t="shared" si="11"/>
        <v>40993.269999999997</v>
      </c>
      <c r="AQ11" s="106">
        <f t="shared" si="11"/>
        <v>0</v>
      </c>
      <c r="AR11" s="106">
        <f t="shared" si="11"/>
        <v>0</v>
      </c>
      <c r="AS11" s="139"/>
      <c r="AT11" s="140"/>
      <c r="AU11" s="135">
        <f t="shared" si="8"/>
        <v>110445.079</v>
      </c>
      <c r="AV11" s="135">
        <f t="shared" si="9"/>
        <v>109600.079</v>
      </c>
      <c r="AW11" s="136">
        <f t="shared" si="10"/>
        <v>0.99234913852522122</v>
      </c>
      <c r="AX11" s="137">
        <f t="shared" si="3"/>
        <v>110445.079</v>
      </c>
      <c r="AY11" s="137">
        <f t="shared" si="4"/>
        <v>182465.44399999999</v>
      </c>
      <c r="AZ11" s="137">
        <f t="shared" si="5"/>
        <v>136660.88500000001</v>
      </c>
      <c r="BA11" s="137">
        <f t="shared" si="6"/>
        <v>128948.092</v>
      </c>
      <c r="BB11" s="141"/>
      <c r="BC11" s="141"/>
    </row>
    <row r="12" spans="1:55" ht="65.25" customHeight="1">
      <c r="A12" s="226"/>
      <c r="B12" s="234"/>
      <c r="C12" s="236"/>
      <c r="D12" s="239"/>
      <c r="E12" s="105" t="s">
        <v>3</v>
      </c>
      <c r="F12" s="118">
        <f t="shared" ref="F12:F13" si="17">I12+L12+O12+R12+U12+X12+AA12+AD12+AG12+AJ12+AM12+AP12</f>
        <v>458404.7</v>
      </c>
      <c r="G12" s="118">
        <f t="shared" si="1"/>
        <v>89575.372999999992</v>
      </c>
      <c r="H12" s="122">
        <f t="shared" ref="H12:H13" si="18">G12/F12</f>
        <v>0.19540675084701353</v>
      </c>
      <c r="I12" s="118">
        <v>12649.772999999999</v>
      </c>
      <c r="J12" s="118">
        <v>12649.772999999999</v>
      </c>
      <c r="K12" s="122">
        <f t="shared" ref="K12:K13" si="19">J12/I12</f>
        <v>1</v>
      </c>
      <c r="L12" s="118">
        <v>36713.300000000003</v>
      </c>
      <c r="M12" s="118">
        <v>33945.218000000001</v>
      </c>
      <c r="N12" s="122">
        <f>M12/L12</f>
        <v>0.92460274614376803</v>
      </c>
      <c r="O12" s="118">
        <v>40212.300000000003</v>
      </c>
      <c r="P12" s="118">
        <v>42980.381999999998</v>
      </c>
      <c r="Q12" s="122">
        <f t="shared" ref="Q12:Q13" si="20">P12/O12</f>
        <v>1.0688366992188956</v>
      </c>
      <c r="R12" s="118">
        <f>40284.3+3500</f>
        <v>43784.3</v>
      </c>
      <c r="S12" s="118"/>
      <c r="T12" s="122">
        <v>0</v>
      </c>
      <c r="U12" s="126">
        <v>52701.299999999996</v>
      </c>
      <c r="V12" s="126"/>
      <c r="W12" s="122">
        <v>0</v>
      </c>
      <c r="X12" s="126">
        <v>58770.2</v>
      </c>
      <c r="Y12" s="126"/>
      <c r="Z12" s="122">
        <v>0</v>
      </c>
      <c r="AA12" s="126">
        <f>48493.2+4300</f>
        <v>52793.2</v>
      </c>
      <c r="AB12" s="126"/>
      <c r="AC12" s="122">
        <v>0</v>
      </c>
      <c r="AD12" s="126">
        <v>32112.400000000001</v>
      </c>
      <c r="AE12" s="126"/>
      <c r="AF12" s="122">
        <v>0</v>
      </c>
      <c r="AG12" s="126">
        <v>28159</v>
      </c>
      <c r="AH12" s="126"/>
      <c r="AI12" s="122">
        <v>0</v>
      </c>
      <c r="AJ12" s="126">
        <f>32229.8+5462.8</f>
        <v>37692.6</v>
      </c>
      <c r="AK12" s="126"/>
      <c r="AL12" s="122">
        <v>0</v>
      </c>
      <c r="AM12" s="126">
        <v>34472.300000000003</v>
      </c>
      <c r="AN12" s="126"/>
      <c r="AO12" s="122">
        <v>0</v>
      </c>
      <c r="AP12" s="126">
        <v>28344.026999999998</v>
      </c>
      <c r="AQ12" s="106"/>
      <c r="AR12" s="106"/>
      <c r="AS12" s="142" t="s">
        <v>416</v>
      </c>
      <c r="AT12" s="143"/>
      <c r="AU12" s="135">
        <f t="shared" si="8"/>
        <v>89575.373000000007</v>
      </c>
      <c r="AV12" s="135">
        <f t="shared" si="9"/>
        <v>89575.372999999992</v>
      </c>
      <c r="AW12" s="136">
        <f t="shared" si="10"/>
        <v>0.99999999999999989</v>
      </c>
      <c r="AX12" s="137">
        <f t="shared" si="3"/>
        <v>89575.373000000007</v>
      </c>
      <c r="AY12" s="137">
        <f t="shared" si="4"/>
        <v>155255.79999999999</v>
      </c>
      <c r="AZ12" s="137">
        <f>AA12+AD12+AG12</f>
        <v>113064.6</v>
      </c>
      <c r="BA12" s="137">
        <f>AJ12+AM12+AP12</f>
        <v>100508.927</v>
      </c>
      <c r="BB12" s="141"/>
      <c r="BC12" s="141"/>
    </row>
    <row r="13" spans="1:55" ht="65.25" customHeight="1">
      <c r="A13" s="226"/>
      <c r="B13" s="234"/>
      <c r="C13" s="237"/>
      <c r="D13" s="240"/>
      <c r="E13" s="105" t="s">
        <v>44</v>
      </c>
      <c r="F13" s="118">
        <f t="shared" si="17"/>
        <v>100114.8</v>
      </c>
      <c r="G13" s="118">
        <f t="shared" si="1"/>
        <v>20024.705999999998</v>
      </c>
      <c r="H13" s="122">
        <f t="shared" si="18"/>
        <v>0.2000174399789042</v>
      </c>
      <c r="I13" s="118">
        <v>3140.431</v>
      </c>
      <c r="J13" s="118">
        <v>3140.431</v>
      </c>
      <c r="K13" s="122">
        <f t="shared" si="19"/>
        <v>1</v>
      </c>
      <c r="L13" s="118">
        <v>7842.8689999999997</v>
      </c>
      <c r="M13" s="118">
        <v>7842.8689999999997</v>
      </c>
      <c r="N13" s="122">
        <f t="shared" ref="N13" si="21">M13/L13</f>
        <v>1</v>
      </c>
      <c r="O13" s="118">
        <v>9886.4060000000009</v>
      </c>
      <c r="P13" s="118">
        <v>9041.4060000000009</v>
      </c>
      <c r="Q13" s="122">
        <f t="shared" si="20"/>
        <v>0.91452910187989445</v>
      </c>
      <c r="R13" s="118">
        <v>8932.0990000000002</v>
      </c>
      <c r="S13" s="118"/>
      <c r="T13" s="122">
        <f t="shared" ref="T13" si="22">S13/R13</f>
        <v>0</v>
      </c>
      <c r="U13" s="126">
        <v>8779.3179999999993</v>
      </c>
      <c r="V13" s="126"/>
      <c r="W13" s="122">
        <f>V13/U13</f>
        <v>0</v>
      </c>
      <c r="X13" s="126">
        <v>9498.2270000000008</v>
      </c>
      <c r="Y13" s="126"/>
      <c r="Z13" s="122">
        <f t="shared" ref="Z13" si="23">Y13/X13</f>
        <v>0</v>
      </c>
      <c r="AA13" s="126">
        <v>10026.94</v>
      </c>
      <c r="AB13" s="126"/>
      <c r="AC13" s="122">
        <f t="shared" si="12"/>
        <v>0</v>
      </c>
      <c r="AD13" s="126">
        <v>7324.527</v>
      </c>
      <c r="AE13" s="126"/>
      <c r="AF13" s="122">
        <f t="shared" si="13"/>
        <v>0</v>
      </c>
      <c r="AG13" s="126">
        <v>6244.8180000000002</v>
      </c>
      <c r="AH13" s="126"/>
      <c r="AI13" s="122">
        <f t="shared" si="14"/>
        <v>0</v>
      </c>
      <c r="AJ13" s="126">
        <v>8695.5789999999997</v>
      </c>
      <c r="AK13" s="126"/>
      <c r="AL13" s="122">
        <f t="shared" si="15"/>
        <v>0</v>
      </c>
      <c r="AM13" s="126">
        <v>7094.3429999999998</v>
      </c>
      <c r="AN13" s="126"/>
      <c r="AO13" s="122">
        <f t="shared" si="16"/>
        <v>0</v>
      </c>
      <c r="AP13" s="126">
        <v>12649.243</v>
      </c>
      <c r="AQ13" s="106"/>
      <c r="AR13" s="106"/>
      <c r="AS13" s="142" t="s">
        <v>417</v>
      </c>
      <c r="AT13" s="143" t="s">
        <v>449</v>
      </c>
      <c r="AU13" s="135">
        <f t="shared" si="8"/>
        <v>20869.705999999998</v>
      </c>
      <c r="AV13" s="135">
        <f t="shared" si="9"/>
        <v>20024.705999999998</v>
      </c>
      <c r="AW13" s="136">
        <f>(AV13)/(AU13)*100%</f>
        <v>0.95951068980080501</v>
      </c>
      <c r="AX13" s="137">
        <f t="shared" si="3"/>
        <v>20869.705999999998</v>
      </c>
      <c r="AY13" s="137">
        <f t="shared" si="4"/>
        <v>27209.644</v>
      </c>
      <c r="AZ13" s="137">
        <f t="shared" ref="AZ13:AZ76" si="24">AA13+AD13+AG13</f>
        <v>23596.285</v>
      </c>
      <c r="BA13" s="137">
        <f t="shared" ref="BA13:BA76" si="25">AJ13+AM13+AP13</f>
        <v>28439.165000000001</v>
      </c>
      <c r="BB13" s="141"/>
      <c r="BC13" s="141"/>
    </row>
    <row r="14" spans="1:55" ht="26.25" customHeight="1">
      <c r="A14" s="226" t="s">
        <v>353</v>
      </c>
      <c r="B14" s="234" t="s">
        <v>296</v>
      </c>
      <c r="C14" s="235" t="s">
        <v>270</v>
      </c>
      <c r="D14" s="241" t="s">
        <v>283</v>
      </c>
      <c r="E14" s="105" t="s">
        <v>42</v>
      </c>
      <c r="F14" s="118">
        <f>I14+L14+O14+R14+U14+X14+AA14+AD14+AG14+AJ14+AM14+AP14</f>
        <v>45</v>
      </c>
      <c r="G14" s="118">
        <f t="shared" si="1"/>
        <v>3.67638</v>
      </c>
      <c r="H14" s="122">
        <f>G14/F14</f>
        <v>8.169733333333333E-2</v>
      </c>
      <c r="I14" s="118">
        <f>SUM(I15:I16)</f>
        <v>0</v>
      </c>
      <c r="J14" s="118">
        <f>SUM(J15:J16)</f>
        <v>0</v>
      </c>
      <c r="K14" s="122"/>
      <c r="L14" s="118">
        <f>SUM(L15:L16)</f>
        <v>0</v>
      </c>
      <c r="M14" s="118">
        <f>SUM(M15:M16)</f>
        <v>0</v>
      </c>
      <c r="N14" s="122"/>
      <c r="O14" s="118">
        <f>SUM(O15:O16)</f>
        <v>17</v>
      </c>
      <c r="P14" s="118">
        <f>SUM(P15:P16)</f>
        <v>3.67638</v>
      </c>
      <c r="Q14" s="122">
        <f>P14/O14</f>
        <v>0.21625764705882353</v>
      </c>
      <c r="R14" s="118">
        <f>SUM(R15:R16)</f>
        <v>0</v>
      </c>
      <c r="S14" s="118">
        <f>SUM(S15:S16)</f>
        <v>0</v>
      </c>
      <c r="T14" s="122"/>
      <c r="U14" s="118">
        <f t="shared" ref="U14:AR14" si="26">SUM(U15:U16)</f>
        <v>17</v>
      </c>
      <c r="V14" s="118">
        <f t="shared" si="26"/>
        <v>0</v>
      </c>
      <c r="W14" s="122">
        <f t="shared" ref="W14" si="27">V14/U14</f>
        <v>0</v>
      </c>
      <c r="X14" s="118">
        <f t="shared" si="26"/>
        <v>0</v>
      </c>
      <c r="Y14" s="118">
        <f t="shared" si="26"/>
        <v>0</v>
      </c>
      <c r="Z14" s="122" t="e">
        <f>Y14/X14</f>
        <v>#DIV/0!</v>
      </c>
      <c r="AA14" s="118">
        <f t="shared" si="26"/>
        <v>0</v>
      </c>
      <c r="AB14" s="118">
        <f t="shared" si="26"/>
        <v>0</v>
      </c>
      <c r="AC14" s="122"/>
      <c r="AD14" s="118">
        <f t="shared" si="26"/>
        <v>0</v>
      </c>
      <c r="AE14" s="118">
        <f t="shared" si="26"/>
        <v>0</v>
      </c>
      <c r="AF14" s="122" t="e">
        <f t="shared" si="13"/>
        <v>#DIV/0!</v>
      </c>
      <c r="AG14" s="118">
        <f t="shared" si="26"/>
        <v>0</v>
      </c>
      <c r="AH14" s="118">
        <f t="shared" si="26"/>
        <v>0</v>
      </c>
      <c r="AI14" s="122"/>
      <c r="AJ14" s="118">
        <f t="shared" si="26"/>
        <v>0</v>
      </c>
      <c r="AK14" s="118">
        <f t="shared" si="26"/>
        <v>0</v>
      </c>
      <c r="AL14" s="122" t="e">
        <f t="shared" si="15"/>
        <v>#DIV/0!</v>
      </c>
      <c r="AM14" s="118">
        <f t="shared" si="26"/>
        <v>11</v>
      </c>
      <c r="AN14" s="118">
        <f t="shared" si="26"/>
        <v>0</v>
      </c>
      <c r="AO14" s="122">
        <f t="shared" si="16"/>
        <v>0</v>
      </c>
      <c r="AP14" s="118">
        <f t="shared" si="26"/>
        <v>0</v>
      </c>
      <c r="AQ14" s="106">
        <f t="shared" si="26"/>
        <v>0</v>
      </c>
      <c r="AR14" s="106">
        <f t="shared" si="26"/>
        <v>0</v>
      </c>
      <c r="AS14" s="144"/>
      <c r="AT14" s="140"/>
      <c r="AU14" s="135">
        <f t="shared" si="8"/>
        <v>17</v>
      </c>
      <c r="AV14" s="135">
        <f t="shared" si="9"/>
        <v>3.67638</v>
      </c>
      <c r="AW14" s="136">
        <f>(AV14)/(AU14)*100%</f>
        <v>0.21625764705882353</v>
      </c>
      <c r="AX14" s="137">
        <f t="shared" si="3"/>
        <v>17</v>
      </c>
      <c r="AY14" s="137">
        <f t="shared" si="4"/>
        <v>17</v>
      </c>
      <c r="AZ14" s="137">
        <f t="shared" si="24"/>
        <v>0</v>
      </c>
      <c r="BA14" s="137">
        <f t="shared" si="25"/>
        <v>11</v>
      </c>
      <c r="BB14" s="141"/>
      <c r="BC14" s="141"/>
    </row>
    <row r="15" spans="1:55" ht="26.25" customHeight="1">
      <c r="A15" s="226"/>
      <c r="B15" s="234"/>
      <c r="C15" s="236"/>
      <c r="D15" s="242"/>
      <c r="E15" s="105" t="s">
        <v>3</v>
      </c>
      <c r="F15" s="118">
        <f t="shared" ref="F15:F40" si="28">I15+L15+O15+R15+U15+X15+AA15+AD15+AG15+AJ15+AM15+AP15</f>
        <v>0</v>
      </c>
      <c r="G15" s="118">
        <f t="shared" si="1"/>
        <v>0</v>
      </c>
      <c r="H15" s="122"/>
      <c r="I15" s="118"/>
      <c r="J15" s="118"/>
      <c r="K15" s="122"/>
      <c r="L15" s="118"/>
      <c r="M15" s="118"/>
      <c r="N15" s="122"/>
      <c r="O15" s="118"/>
      <c r="P15" s="118"/>
      <c r="Q15" s="122"/>
      <c r="R15" s="118"/>
      <c r="S15" s="118"/>
      <c r="T15" s="122"/>
      <c r="U15" s="126"/>
      <c r="V15" s="126"/>
      <c r="W15" s="126"/>
      <c r="X15" s="126"/>
      <c r="Y15" s="126"/>
      <c r="Z15" s="122"/>
      <c r="AA15" s="126"/>
      <c r="AB15" s="126"/>
      <c r="AC15" s="122"/>
      <c r="AD15" s="126"/>
      <c r="AE15" s="126"/>
      <c r="AF15" s="122"/>
      <c r="AG15" s="126"/>
      <c r="AH15" s="126"/>
      <c r="AI15" s="122"/>
      <c r="AJ15" s="118"/>
      <c r="AK15" s="118"/>
      <c r="AL15" s="118"/>
      <c r="AM15" s="126"/>
      <c r="AN15" s="126"/>
      <c r="AO15" s="118"/>
      <c r="AP15" s="118"/>
      <c r="AQ15" s="106"/>
      <c r="AR15" s="106"/>
      <c r="AS15" s="144"/>
      <c r="AT15" s="140"/>
      <c r="AU15" s="135">
        <f t="shared" si="8"/>
        <v>0</v>
      </c>
      <c r="AV15" s="135">
        <f t="shared" si="9"/>
        <v>0</v>
      </c>
      <c r="AW15" s="136" t="e">
        <f t="shared" ref="AW15:AW79" si="29">(AV15)/(AU15)*100%</f>
        <v>#DIV/0!</v>
      </c>
      <c r="AX15" s="137">
        <f t="shared" si="3"/>
        <v>0</v>
      </c>
      <c r="AY15" s="137">
        <f t="shared" si="4"/>
        <v>0</v>
      </c>
      <c r="AZ15" s="137">
        <f t="shared" si="24"/>
        <v>0</v>
      </c>
      <c r="BA15" s="137">
        <f t="shared" si="25"/>
        <v>0</v>
      </c>
      <c r="BB15" s="141"/>
      <c r="BC15" s="141"/>
    </row>
    <row r="16" spans="1:55" ht="47.25" customHeight="1">
      <c r="A16" s="226"/>
      <c r="B16" s="234"/>
      <c r="C16" s="237"/>
      <c r="D16" s="243"/>
      <c r="E16" s="105" t="s">
        <v>44</v>
      </c>
      <c r="F16" s="118">
        <f t="shared" si="28"/>
        <v>45</v>
      </c>
      <c r="G16" s="118">
        <f t="shared" si="1"/>
        <v>3.67638</v>
      </c>
      <c r="H16" s="122">
        <f t="shared" ref="H16:H49" si="30">G16/F16</f>
        <v>8.169733333333333E-2</v>
      </c>
      <c r="I16" s="118"/>
      <c r="J16" s="118"/>
      <c r="K16" s="122"/>
      <c r="L16" s="118"/>
      <c r="M16" s="118"/>
      <c r="N16" s="122"/>
      <c r="O16" s="118">
        <v>17</v>
      </c>
      <c r="P16" s="118">
        <v>3.67638</v>
      </c>
      <c r="Q16" s="122">
        <f t="shared" ref="Q16:Q40" si="31">P16/O16</f>
        <v>0.21625764705882353</v>
      </c>
      <c r="R16" s="118"/>
      <c r="S16" s="118"/>
      <c r="T16" s="122"/>
      <c r="U16" s="126">
        <v>17</v>
      </c>
      <c r="V16" s="126"/>
      <c r="W16" s="122">
        <f>V16/U16</f>
        <v>0</v>
      </c>
      <c r="X16" s="126"/>
      <c r="Y16" s="126"/>
      <c r="Z16" s="122" t="e">
        <f t="shared" ref="Z16:Z40" si="32">Y16/X16</f>
        <v>#DIV/0!</v>
      </c>
      <c r="AA16" s="126"/>
      <c r="AB16" s="126"/>
      <c r="AC16" s="122"/>
      <c r="AD16" s="126"/>
      <c r="AE16" s="126"/>
      <c r="AF16" s="122" t="e">
        <f t="shared" si="13"/>
        <v>#DIV/0!</v>
      </c>
      <c r="AG16" s="126"/>
      <c r="AH16" s="126"/>
      <c r="AI16" s="122"/>
      <c r="AJ16" s="118"/>
      <c r="AK16" s="118"/>
      <c r="AL16" s="122" t="e">
        <f t="shared" ref="AL16" si="33">AK16/AJ16</f>
        <v>#DIV/0!</v>
      </c>
      <c r="AM16" s="126">
        <v>11</v>
      </c>
      <c r="AN16" s="126"/>
      <c r="AO16" s="122">
        <f t="shared" ref="AO16" si="34">AN16/AM16</f>
        <v>0</v>
      </c>
      <c r="AP16" s="118"/>
      <c r="AQ16" s="106"/>
      <c r="AR16" s="106"/>
      <c r="AS16" s="145" t="s">
        <v>419</v>
      </c>
      <c r="AT16" s="143" t="s">
        <v>445</v>
      </c>
      <c r="AU16" s="135">
        <f t="shared" si="8"/>
        <v>17</v>
      </c>
      <c r="AV16" s="135">
        <f t="shared" si="9"/>
        <v>3.67638</v>
      </c>
      <c r="AW16" s="136">
        <f t="shared" si="29"/>
        <v>0.21625764705882353</v>
      </c>
      <c r="AX16" s="137">
        <f t="shared" si="3"/>
        <v>17</v>
      </c>
      <c r="AY16" s="137">
        <f t="shared" si="4"/>
        <v>17</v>
      </c>
      <c r="AZ16" s="137">
        <f t="shared" si="24"/>
        <v>0</v>
      </c>
      <c r="BA16" s="137">
        <f t="shared" si="25"/>
        <v>11</v>
      </c>
    </row>
    <row r="17" spans="1:53" ht="59.25" customHeight="1">
      <c r="A17" s="226" t="s">
        <v>354</v>
      </c>
      <c r="B17" s="250" t="s">
        <v>297</v>
      </c>
      <c r="C17" s="235" t="s">
        <v>271</v>
      </c>
      <c r="D17" s="241" t="s">
        <v>284</v>
      </c>
      <c r="E17" s="105" t="s">
        <v>42</v>
      </c>
      <c r="F17" s="118">
        <f t="shared" si="28"/>
        <v>493.01000000000005</v>
      </c>
      <c r="G17" s="118">
        <f t="shared" si="1"/>
        <v>214.75220000000002</v>
      </c>
      <c r="H17" s="122">
        <f t="shared" si="30"/>
        <v>0.43559400417841421</v>
      </c>
      <c r="I17" s="118">
        <f>SUM(I18:I19)</f>
        <v>238.96</v>
      </c>
      <c r="J17" s="118">
        <f>SUM(J18:J19)</f>
        <v>238.96</v>
      </c>
      <c r="K17" s="122">
        <f t="shared" ref="K17:K40" si="35">J17/I17</f>
        <v>1</v>
      </c>
      <c r="L17" s="118">
        <f>SUM(L18:L19)</f>
        <v>0</v>
      </c>
      <c r="M17" s="118">
        <f>SUM(M18:M19)</f>
        <v>0</v>
      </c>
      <c r="N17" s="122"/>
      <c r="O17" s="118">
        <f>SUM(O18:O19)</f>
        <v>32.5</v>
      </c>
      <c r="P17" s="118">
        <f>SUM(P18:P19)</f>
        <v>-24.207799999999999</v>
      </c>
      <c r="Q17" s="122">
        <f t="shared" si="31"/>
        <v>-0.74485538461538459</v>
      </c>
      <c r="R17" s="118">
        <f>SUM(R18:R19)</f>
        <v>21.8</v>
      </c>
      <c r="S17" s="118">
        <f>SUM(S18:S19)</f>
        <v>0</v>
      </c>
      <c r="T17" s="122"/>
      <c r="U17" s="118">
        <f t="shared" ref="U17:AR17" si="36">SUM(U18:U19)</f>
        <v>0</v>
      </c>
      <c r="V17" s="118">
        <f t="shared" si="36"/>
        <v>0</v>
      </c>
      <c r="W17" s="122"/>
      <c r="X17" s="118">
        <f t="shared" si="36"/>
        <v>101.75</v>
      </c>
      <c r="Y17" s="118">
        <f t="shared" si="36"/>
        <v>0</v>
      </c>
      <c r="Z17" s="122">
        <f t="shared" si="32"/>
        <v>0</v>
      </c>
      <c r="AA17" s="118">
        <f t="shared" si="36"/>
        <v>0</v>
      </c>
      <c r="AB17" s="118">
        <f t="shared" si="36"/>
        <v>0</v>
      </c>
      <c r="AC17" s="118"/>
      <c r="AD17" s="118">
        <f t="shared" si="36"/>
        <v>0</v>
      </c>
      <c r="AE17" s="118">
        <f t="shared" si="36"/>
        <v>0</v>
      </c>
      <c r="AF17" s="122" t="e">
        <f t="shared" si="13"/>
        <v>#DIV/0!</v>
      </c>
      <c r="AG17" s="118">
        <f t="shared" si="36"/>
        <v>0</v>
      </c>
      <c r="AH17" s="118">
        <f t="shared" si="36"/>
        <v>0</v>
      </c>
      <c r="AI17" s="122"/>
      <c r="AJ17" s="118">
        <f t="shared" si="36"/>
        <v>20.8</v>
      </c>
      <c r="AK17" s="118">
        <f t="shared" si="36"/>
        <v>0</v>
      </c>
      <c r="AL17" s="122"/>
      <c r="AM17" s="118">
        <f t="shared" si="36"/>
        <v>57.2</v>
      </c>
      <c r="AN17" s="118">
        <f t="shared" si="36"/>
        <v>0</v>
      </c>
      <c r="AO17" s="118">
        <f t="shared" si="36"/>
        <v>0</v>
      </c>
      <c r="AP17" s="118">
        <f t="shared" si="36"/>
        <v>20</v>
      </c>
      <c r="AQ17" s="106">
        <f t="shared" si="36"/>
        <v>0</v>
      </c>
      <c r="AR17" s="106">
        <f t="shared" si="36"/>
        <v>0</v>
      </c>
      <c r="AS17" s="146"/>
      <c r="AT17" s="140"/>
      <c r="AU17" s="135">
        <f t="shared" si="8"/>
        <v>271.46000000000004</v>
      </c>
      <c r="AV17" s="135">
        <f t="shared" si="9"/>
        <v>214.75220000000002</v>
      </c>
      <c r="AW17" s="136">
        <f t="shared" si="29"/>
        <v>0.7911007146540926</v>
      </c>
      <c r="AX17" s="137">
        <f t="shared" si="3"/>
        <v>271.46000000000004</v>
      </c>
      <c r="AY17" s="137">
        <f t="shared" si="4"/>
        <v>123.55</v>
      </c>
      <c r="AZ17" s="137">
        <f t="shared" si="24"/>
        <v>0</v>
      </c>
      <c r="BA17" s="137">
        <f t="shared" si="25"/>
        <v>98</v>
      </c>
    </row>
    <row r="18" spans="1:53" ht="59.25" customHeight="1">
      <c r="A18" s="226"/>
      <c r="B18" s="250"/>
      <c r="C18" s="236"/>
      <c r="D18" s="242"/>
      <c r="E18" s="105" t="s">
        <v>3</v>
      </c>
      <c r="F18" s="118">
        <f t="shared" si="28"/>
        <v>0</v>
      </c>
      <c r="G18" s="118">
        <f t="shared" si="1"/>
        <v>0</v>
      </c>
      <c r="H18" s="122"/>
      <c r="I18" s="118"/>
      <c r="J18" s="118"/>
      <c r="K18" s="122"/>
      <c r="L18" s="118"/>
      <c r="M18" s="118"/>
      <c r="N18" s="122"/>
      <c r="O18" s="118"/>
      <c r="P18" s="118"/>
      <c r="Q18" s="122"/>
      <c r="R18" s="118"/>
      <c r="S18" s="118"/>
      <c r="T18" s="122"/>
      <c r="U18" s="126"/>
      <c r="V18" s="126"/>
      <c r="W18" s="126"/>
      <c r="X18" s="126"/>
      <c r="Y18" s="126"/>
      <c r="Z18" s="122"/>
      <c r="AA18" s="126"/>
      <c r="AB18" s="126"/>
      <c r="AC18" s="126"/>
      <c r="AD18" s="126"/>
      <c r="AE18" s="126"/>
      <c r="AF18" s="122"/>
      <c r="AG18" s="126"/>
      <c r="AH18" s="126"/>
      <c r="AI18" s="122"/>
      <c r="AJ18" s="118"/>
      <c r="AK18" s="118"/>
      <c r="AL18" s="118"/>
      <c r="AM18" s="126"/>
      <c r="AN18" s="126"/>
      <c r="AO18" s="126"/>
      <c r="AP18" s="118"/>
      <c r="AQ18" s="106"/>
      <c r="AR18" s="106"/>
      <c r="AS18" s="146"/>
      <c r="AT18" s="140"/>
      <c r="AU18" s="135">
        <f t="shared" si="8"/>
        <v>0</v>
      </c>
      <c r="AV18" s="135">
        <f t="shared" si="9"/>
        <v>0</v>
      </c>
      <c r="AW18" s="136" t="e">
        <f t="shared" si="29"/>
        <v>#DIV/0!</v>
      </c>
      <c r="AX18" s="137">
        <f t="shared" si="3"/>
        <v>0</v>
      </c>
      <c r="AY18" s="137">
        <f t="shared" si="4"/>
        <v>0</v>
      </c>
      <c r="AZ18" s="137">
        <f t="shared" si="24"/>
        <v>0</v>
      </c>
      <c r="BA18" s="137">
        <f t="shared" si="25"/>
        <v>0</v>
      </c>
    </row>
    <row r="19" spans="1:53" ht="59.25" customHeight="1">
      <c r="A19" s="226"/>
      <c r="B19" s="250"/>
      <c r="C19" s="237"/>
      <c r="D19" s="243"/>
      <c r="E19" s="105" t="s">
        <v>44</v>
      </c>
      <c r="F19" s="118">
        <f t="shared" si="28"/>
        <v>493.01000000000005</v>
      </c>
      <c r="G19" s="118">
        <f t="shared" si="1"/>
        <v>214.75220000000002</v>
      </c>
      <c r="H19" s="122">
        <f t="shared" si="30"/>
        <v>0.43559400417841421</v>
      </c>
      <c r="I19" s="118">
        <v>238.96</v>
      </c>
      <c r="J19" s="118">
        <v>238.96</v>
      </c>
      <c r="K19" s="122">
        <f t="shared" si="35"/>
        <v>1</v>
      </c>
      <c r="L19" s="118"/>
      <c r="M19" s="118"/>
      <c r="N19" s="122"/>
      <c r="O19" s="118">
        <v>32.5</v>
      </c>
      <c r="P19" s="118">
        <v>-24.207799999999999</v>
      </c>
      <c r="Q19" s="122">
        <f t="shared" si="31"/>
        <v>-0.74485538461538459</v>
      </c>
      <c r="R19" s="118">
        <v>21.8</v>
      </c>
      <c r="S19" s="118"/>
      <c r="T19" s="122"/>
      <c r="U19" s="126"/>
      <c r="V19" s="126"/>
      <c r="W19" s="122"/>
      <c r="X19" s="126">
        <v>101.75</v>
      </c>
      <c r="Y19" s="126"/>
      <c r="Z19" s="122">
        <f t="shared" si="32"/>
        <v>0</v>
      </c>
      <c r="AA19" s="126"/>
      <c r="AB19" s="126"/>
      <c r="AC19" s="122"/>
      <c r="AD19" s="126"/>
      <c r="AE19" s="126"/>
      <c r="AF19" s="122" t="e">
        <f t="shared" si="13"/>
        <v>#DIV/0!</v>
      </c>
      <c r="AG19" s="126"/>
      <c r="AH19" s="126"/>
      <c r="AI19" s="122"/>
      <c r="AJ19" s="118">
        <v>20.8</v>
      </c>
      <c r="AK19" s="118"/>
      <c r="AL19" s="118"/>
      <c r="AM19" s="126">
        <f>12.2+45</f>
        <v>57.2</v>
      </c>
      <c r="AN19" s="126"/>
      <c r="AO19" s="126"/>
      <c r="AP19" s="118">
        <v>20</v>
      </c>
      <c r="AQ19" s="106"/>
      <c r="AR19" s="106"/>
      <c r="AS19" s="145" t="s">
        <v>418</v>
      </c>
      <c r="AT19" s="143" t="s">
        <v>446</v>
      </c>
      <c r="AU19" s="135">
        <f t="shared" si="8"/>
        <v>271.46000000000004</v>
      </c>
      <c r="AV19" s="135">
        <f t="shared" si="9"/>
        <v>214.75220000000002</v>
      </c>
      <c r="AW19" s="136">
        <f t="shared" si="29"/>
        <v>0.7911007146540926</v>
      </c>
      <c r="AX19" s="137">
        <f t="shared" si="3"/>
        <v>271.46000000000004</v>
      </c>
      <c r="AY19" s="137">
        <f t="shared" si="4"/>
        <v>123.55</v>
      </c>
      <c r="AZ19" s="137">
        <f t="shared" si="24"/>
        <v>0</v>
      </c>
      <c r="BA19" s="137">
        <f t="shared" si="25"/>
        <v>98</v>
      </c>
    </row>
    <row r="20" spans="1:53" ht="22.5" customHeight="1">
      <c r="A20" s="226" t="s">
        <v>355</v>
      </c>
      <c r="B20" s="250" t="s">
        <v>298</v>
      </c>
      <c r="C20" s="235" t="s">
        <v>270</v>
      </c>
      <c r="D20" s="241" t="s">
        <v>284</v>
      </c>
      <c r="E20" s="105" t="s">
        <v>42</v>
      </c>
      <c r="F20" s="118">
        <f t="shared" si="28"/>
        <v>130</v>
      </c>
      <c r="G20" s="118">
        <f t="shared" si="1"/>
        <v>0</v>
      </c>
      <c r="H20" s="122">
        <f t="shared" si="30"/>
        <v>0</v>
      </c>
      <c r="I20" s="118">
        <f>SUM(I21:I22)</f>
        <v>0</v>
      </c>
      <c r="J20" s="118">
        <f>SUM(J21:J22)</f>
        <v>0</v>
      </c>
      <c r="K20" s="122"/>
      <c r="L20" s="118">
        <f>SUM(L21:L22)</f>
        <v>0</v>
      </c>
      <c r="M20" s="118">
        <f>SUM(M21:M22)</f>
        <v>0</v>
      </c>
      <c r="N20" s="122"/>
      <c r="O20" s="118">
        <f>SUM(O21:O22)</f>
        <v>0</v>
      </c>
      <c r="P20" s="118">
        <f>SUM(P21:P22)</f>
        <v>0</v>
      </c>
      <c r="Q20" s="122"/>
      <c r="R20" s="118">
        <f>SUM(R21:R22)</f>
        <v>83.2</v>
      </c>
      <c r="S20" s="118">
        <f>SUM(S21:S22)</f>
        <v>0</v>
      </c>
      <c r="T20" s="122">
        <f t="shared" ref="T20:T40" si="37">S20/R20</f>
        <v>0</v>
      </c>
      <c r="U20" s="118">
        <f t="shared" ref="U20:AR20" si="38">SUM(U21:U22)</f>
        <v>9.3000000000000007</v>
      </c>
      <c r="V20" s="118">
        <f t="shared" si="38"/>
        <v>0</v>
      </c>
      <c r="W20" s="122">
        <f t="shared" ref="W20" si="39">V20/U20</f>
        <v>0</v>
      </c>
      <c r="X20" s="118">
        <f t="shared" si="38"/>
        <v>0</v>
      </c>
      <c r="Y20" s="118">
        <f t="shared" si="38"/>
        <v>0</v>
      </c>
      <c r="Z20" s="122" t="e">
        <f t="shared" si="32"/>
        <v>#DIV/0!</v>
      </c>
      <c r="AA20" s="118">
        <f t="shared" si="38"/>
        <v>0</v>
      </c>
      <c r="AB20" s="118">
        <f t="shared" si="38"/>
        <v>0</v>
      </c>
      <c r="AC20" s="122"/>
      <c r="AD20" s="118">
        <f t="shared" si="38"/>
        <v>0</v>
      </c>
      <c r="AE20" s="118">
        <f t="shared" si="38"/>
        <v>0</v>
      </c>
      <c r="AF20" s="122" t="e">
        <f t="shared" si="13"/>
        <v>#DIV/0!</v>
      </c>
      <c r="AG20" s="118">
        <f t="shared" si="38"/>
        <v>0</v>
      </c>
      <c r="AH20" s="118">
        <f t="shared" si="38"/>
        <v>0</v>
      </c>
      <c r="AI20" s="122"/>
      <c r="AJ20" s="118">
        <f t="shared" si="38"/>
        <v>0</v>
      </c>
      <c r="AK20" s="118">
        <f t="shared" si="38"/>
        <v>0</v>
      </c>
      <c r="AL20" s="118">
        <f t="shared" si="38"/>
        <v>0</v>
      </c>
      <c r="AM20" s="118">
        <f t="shared" si="38"/>
        <v>37.5</v>
      </c>
      <c r="AN20" s="118">
        <f t="shared" si="38"/>
        <v>0</v>
      </c>
      <c r="AO20" s="122">
        <f t="shared" ref="AO20" si="40">AN20/AM20</f>
        <v>0</v>
      </c>
      <c r="AP20" s="118">
        <f t="shared" si="38"/>
        <v>0</v>
      </c>
      <c r="AQ20" s="106">
        <f t="shared" si="38"/>
        <v>0</v>
      </c>
      <c r="AR20" s="106">
        <f t="shared" si="38"/>
        <v>0</v>
      </c>
      <c r="AS20" s="139"/>
      <c r="AT20" s="140"/>
      <c r="AU20" s="135">
        <f t="shared" si="8"/>
        <v>0</v>
      </c>
      <c r="AV20" s="135">
        <f t="shared" si="9"/>
        <v>0</v>
      </c>
      <c r="AW20" s="136" t="e">
        <f t="shared" si="29"/>
        <v>#DIV/0!</v>
      </c>
      <c r="AX20" s="137">
        <f t="shared" si="3"/>
        <v>0</v>
      </c>
      <c r="AY20" s="137">
        <f t="shared" si="4"/>
        <v>92.5</v>
      </c>
      <c r="AZ20" s="137">
        <f t="shared" si="24"/>
        <v>0</v>
      </c>
      <c r="BA20" s="137">
        <f t="shared" si="25"/>
        <v>37.5</v>
      </c>
    </row>
    <row r="21" spans="1:53" ht="22.5" customHeight="1">
      <c r="A21" s="226"/>
      <c r="B21" s="250"/>
      <c r="C21" s="236"/>
      <c r="D21" s="242"/>
      <c r="E21" s="105" t="s">
        <v>3</v>
      </c>
      <c r="F21" s="118">
        <f t="shared" si="28"/>
        <v>0</v>
      </c>
      <c r="G21" s="118">
        <f t="shared" si="1"/>
        <v>0</v>
      </c>
      <c r="H21" s="122"/>
      <c r="I21" s="118"/>
      <c r="J21" s="118"/>
      <c r="K21" s="122"/>
      <c r="L21" s="118"/>
      <c r="M21" s="118"/>
      <c r="N21" s="122"/>
      <c r="O21" s="118"/>
      <c r="P21" s="118"/>
      <c r="Q21" s="122"/>
      <c r="R21" s="118"/>
      <c r="S21" s="118"/>
      <c r="T21" s="122"/>
      <c r="U21" s="126"/>
      <c r="V21" s="126"/>
      <c r="W21" s="126"/>
      <c r="X21" s="126"/>
      <c r="Y21" s="126"/>
      <c r="Z21" s="122"/>
      <c r="AA21" s="126"/>
      <c r="AB21" s="126"/>
      <c r="AC21" s="122"/>
      <c r="AD21" s="126"/>
      <c r="AE21" s="126"/>
      <c r="AF21" s="122"/>
      <c r="AG21" s="126"/>
      <c r="AH21" s="126"/>
      <c r="AI21" s="122"/>
      <c r="AJ21" s="118"/>
      <c r="AK21" s="118"/>
      <c r="AL21" s="118"/>
      <c r="AM21" s="126"/>
      <c r="AN21" s="126"/>
      <c r="AO21" s="126"/>
      <c r="AP21" s="118"/>
      <c r="AQ21" s="106"/>
      <c r="AR21" s="106"/>
      <c r="AS21" s="139"/>
      <c r="AT21" s="140"/>
      <c r="AU21" s="135">
        <f t="shared" si="8"/>
        <v>0</v>
      </c>
      <c r="AV21" s="135">
        <f t="shared" si="9"/>
        <v>0</v>
      </c>
      <c r="AW21" s="136" t="e">
        <f t="shared" si="29"/>
        <v>#DIV/0!</v>
      </c>
      <c r="AX21" s="137">
        <f t="shared" si="3"/>
        <v>0</v>
      </c>
      <c r="AY21" s="137">
        <f t="shared" si="4"/>
        <v>0</v>
      </c>
      <c r="AZ21" s="137">
        <f t="shared" si="24"/>
        <v>0</v>
      </c>
      <c r="BA21" s="137">
        <f t="shared" si="25"/>
        <v>0</v>
      </c>
    </row>
    <row r="22" spans="1:53" ht="22.5" customHeight="1">
      <c r="A22" s="226"/>
      <c r="B22" s="250"/>
      <c r="C22" s="237"/>
      <c r="D22" s="243"/>
      <c r="E22" s="105" t="s">
        <v>44</v>
      </c>
      <c r="F22" s="118">
        <f t="shared" si="28"/>
        <v>130</v>
      </c>
      <c r="G22" s="118">
        <f t="shared" si="1"/>
        <v>0</v>
      </c>
      <c r="H22" s="122">
        <f t="shared" si="30"/>
        <v>0</v>
      </c>
      <c r="I22" s="118"/>
      <c r="J22" s="118"/>
      <c r="K22" s="122"/>
      <c r="L22" s="118"/>
      <c r="M22" s="118"/>
      <c r="N22" s="122"/>
      <c r="O22" s="118"/>
      <c r="P22" s="118"/>
      <c r="Q22" s="122"/>
      <c r="R22" s="118">
        <f>38.2+45</f>
        <v>83.2</v>
      </c>
      <c r="S22" s="118"/>
      <c r="T22" s="122"/>
      <c r="U22" s="126">
        <v>9.3000000000000007</v>
      </c>
      <c r="V22" s="126"/>
      <c r="W22" s="122"/>
      <c r="X22" s="126"/>
      <c r="Y22" s="126"/>
      <c r="Z22" s="122" t="e">
        <f t="shared" ref="Z22" si="41">Y22/X22</f>
        <v>#DIV/0!</v>
      </c>
      <c r="AA22" s="126"/>
      <c r="AB22" s="126"/>
      <c r="AC22" s="122"/>
      <c r="AD22" s="126"/>
      <c r="AE22" s="126"/>
      <c r="AF22" s="122" t="e">
        <f t="shared" ref="AF22" si="42">AE22/AD22</f>
        <v>#DIV/0!</v>
      </c>
      <c r="AG22" s="126"/>
      <c r="AH22" s="126"/>
      <c r="AI22" s="122"/>
      <c r="AJ22" s="118"/>
      <c r="AK22" s="118"/>
      <c r="AL22" s="118"/>
      <c r="AM22" s="126">
        <v>37.5</v>
      </c>
      <c r="AN22" s="126"/>
      <c r="AO22" s="126"/>
      <c r="AP22" s="118"/>
      <c r="AQ22" s="106"/>
      <c r="AR22" s="106"/>
      <c r="AS22" s="143"/>
      <c r="AT22" s="143"/>
      <c r="AU22" s="135">
        <f t="shared" si="8"/>
        <v>0</v>
      </c>
      <c r="AV22" s="135">
        <f t="shared" si="9"/>
        <v>0</v>
      </c>
      <c r="AW22" s="136" t="e">
        <f t="shared" si="29"/>
        <v>#DIV/0!</v>
      </c>
      <c r="AX22" s="137">
        <f t="shared" si="3"/>
        <v>0</v>
      </c>
      <c r="AY22" s="137">
        <f t="shared" si="4"/>
        <v>92.5</v>
      </c>
      <c r="AZ22" s="137">
        <f t="shared" si="24"/>
        <v>0</v>
      </c>
      <c r="BA22" s="137">
        <f t="shared" si="25"/>
        <v>37.5</v>
      </c>
    </row>
    <row r="23" spans="1:53" ht="42.75" customHeight="1">
      <c r="A23" s="226" t="s">
        <v>356</v>
      </c>
      <c r="B23" s="250" t="s">
        <v>320</v>
      </c>
      <c r="C23" s="235" t="s">
        <v>272</v>
      </c>
      <c r="D23" s="241" t="s">
        <v>394</v>
      </c>
      <c r="E23" s="105" t="s">
        <v>42</v>
      </c>
      <c r="F23" s="118">
        <f t="shared" si="28"/>
        <v>175</v>
      </c>
      <c r="G23" s="118">
        <f t="shared" si="1"/>
        <v>0</v>
      </c>
      <c r="H23" s="122">
        <f t="shared" si="30"/>
        <v>0</v>
      </c>
      <c r="I23" s="118">
        <f>SUM(I24:I25)</f>
        <v>0</v>
      </c>
      <c r="J23" s="118">
        <f>SUM(J24:J25)</f>
        <v>0</v>
      </c>
      <c r="K23" s="122"/>
      <c r="L23" s="118">
        <f>SUM(L24:L25)</f>
        <v>0</v>
      </c>
      <c r="M23" s="118">
        <f>SUM(M24:M25)</f>
        <v>0</v>
      </c>
      <c r="N23" s="122"/>
      <c r="O23" s="118">
        <f>SUM(O24:O25)</f>
        <v>0</v>
      </c>
      <c r="P23" s="118">
        <f>SUM(P24:P25)</f>
        <v>0</v>
      </c>
      <c r="Q23" s="122"/>
      <c r="R23" s="118">
        <f>SUM(R24:R25)</f>
        <v>175</v>
      </c>
      <c r="S23" s="118">
        <f>SUM(S24:S25)</f>
        <v>0</v>
      </c>
      <c r="T23" s="122">
        <f t="shared" si="37"/>
        <v>0</v>
      </c>
      <c r="U23" s="118">
        <f t="shared" ref="U23:AR23" si="43">SUM(U24:U25)</f>
        <v>0</v>
      </c>
      <c r="V23" s="118">
        <f t="shared" si="43"/>
        <v>0</v>
      </c>
      <c r="W23" s="122"/>
      <c r="X23" s="118">
        <f t="shared" si="43"/>
        <v>0</v>
      </c>
      <c r="Y23" s="118">
        <f t="shared" si="43"/>
        <v>0</v>
      </c>
      <c r="Z23" s="122"/>
      <c r="AA23" s="118">
        <f t="shared" si="43"/>
        <v>0</v>
      </c>
      <c r="AB23" s="118">
        <f t="shared" si="43"/>
        <v>0</v>
      </c>
      <c r="AC23" s="118"/>
      <c r="AD23" s="118">
        <f t="shared" si="43"/>
        <v>0</v>
      </c>
      <c r="AE23" s="118">
        <f t="shared" si="43"/>
        <v>0</v>
      </c>
      <c r="AF23" s="122" t="e">
        <f t="shared" si="13"/>
        <v>#DIV/0!</v>
      </c>
      <c r="AG23" s="118">
        <f t="shared" si="43"/>
        <v>0</v>
      </c>
      <c r="AH23" s="118">
        <f t="shared" si="43"/>
        <v>0</v>
      </c>
      <c r="AI23" s="122"/>
      <c r="AJ23" s="118">
        <f t="shared" si="43"/>
        <v>0</v>
      </c>
      <c r="AK23" s="118">
        <f t="shared" si="43"/>
        <v>0</v>
      </c>
      <c r="AL23" s="118">
        <f t="shared" si="43"/>
        <v>0</v>
      </c>
      <c r="AM23" s="118">
        <f t="shared" si="43"/>
        <v>0</v>
      </c>
      <c r="AN23" s="118">
        <f t="shared" si="43"/>
        <v>0</v>
      </c>
      <c r="AO23" s="118">
        <f t="shared" si="43"/>
        <v>0</v>
      </c>
      <c r="AP23" s="118">
        <f t="shared" si="43"/>
        <v>0</v>
      </c>
      <c r="AQ23" s="106">
        <f t="shared" si="43"/>
        <v>0</v>
      </c>
      <c r="AR23" s="106">
        <f t="shared" si="43"/>
        <v>0</v>
      </c>
      <c r="AS23" s="147"/>
      <c r="AT23" s="143"/>
      <c r="AU23" s="135">
        <f t="shared" si="8"/>
        <v>0</v>
      </c>
      <c r="AV23" s="135">
        <f t="shared" si="9"/>
        <v>0</v>
      </c>
      <c r="AW23" s="136" t="e">
        <f t="shared" si="29"/>
        <v>#DIV/0!</v>
      </c>
      <c r="AX23" s="137">
        <f t="shared" ref="AX23:AX27" si="44">I23+L23+O23</f>
        <v>0</v>
      </c>
      <c r="AY23" s="137">
        <f t="shared" ref="AY23:AY27" si="45">R23+U23+X23</f>
        <v>175</v>
      </c>
      <c r="AZ23" s="137">
        <f t="shared" ref="AZ23:AZ27" si="46">AA23+AD23+AG23</f>
        <v>0</v>
      </c>
      <c r="BA23" s="137">
        <f t="shared" ref="BA23:BA27" si="47">AJ23+AM23+AP23</f>
        <v>0</v>
      </c>
    </row>
    <row r="24" spans="1:53" ht="42.75" customHeight="1">
      <c r="A24" s="226"/>
      <c r="B24" s="250"/>
      <c r="C24" s="236"/>
      <c r="D24" s="242"/>
      <c r="E24" s="105" t="s">
        <v>3</v>
      </c>
      <c r="F24" s="118">
        <f t="shared" si="28"/>
        <v>175</v>
      </c>
      <c r="G24" s="118">
        <f t="shared" si="1"/>
        <v>0</v>
      </c>
      <c r="H24" s="122">
        <f t="shared" si="30"/>
        <v>0</v>
      </c>
      <c r="I24" s="118"/>
      <c r="J24" s="118"/>
      <c r="K24" s="122"/>
      <c r="L24" s="118"/>
      <c r="M24" s="118"/>
      <c r="N24" s="122"/>
      <c r="O24" s="118"/>
      <c r="P24" s="118"/>
      <c r="Q24" s="122"/>
      <c r="R24" s="118">
        <v>175</v>
      </c>
      <c r="S24" s="118"/>
      <c r="T24" s="122">
        <f t="shared" si="37"/>
        <v>0</v>
      </c>
      <c r="U24" s="126"/>
      <c r="V24" s="126"/>
      <c r="W24" s="126"/>
      <c r="X24" s="126"/>
      <c r="Y24" s="126"/>
      <c r="Z24" s="122"/>
      <c r="AA24" s="126"/>
      <c r="AB24" s="126"/>
      <c r="AC24" s="126"/>
      <c r="AD24" s="126"/>
      <c r="AE24" s="126"/>
      <c r="AF24" s="122" t="e">
        <f t="shared" si="13"/>
        <v>#DIV/0!</v>
      </c>
      <c r="AG24" s="126"/>
      <c r="AH24" s="126"/>
      <c r="AI24" s="122"/>
      <c r="AJ24" s="118"/>
      <c r="AK24" s="118"/>
      <c r="AL24" s="118"/>
      <c r="AM24" s="126"/>
      <c r="AN24" s="126"/>
      <c r="AO24" s="126"/>
      <c r="AP24" s="118"/>
      <c r="AQ24" s="106"/>
      <c r="AR24" s="106"/>
      <c r="AS24" s="147"/>
      <c r="AT24" s="143"/>
      <c r="AU24" s="135">
        <f t="shared" si="8"/>
        <v>0</v>
      </c>
      <c r="AV24" s="135">
        <f t="shared" si="9"/>
        <v>0</v>
      </c>
      <c r="AW24" s="136" t="e">
        <f t="shared" si="29"/>
        <v>#DIV/0!</v>
      </c>
      <c r="AX24" s="137">
        <f t="shared" si="44"/>
        <v>0</v>
      </c>
      <c r="AY24" s="137">
        <f t="shared" si="45"/>
        <v>175</v>
      </c>
      <c r="AZ24" s="137">
        <f t="shared" si="46"/>
        <v>0</v>
      </c>
      <c r="BA24" s="137">
        <f t="shared" si="47"/>
        <v>0</v>
      </c>
    </row>
    <row r="25" spans="1:53" ht="42.75" customHeight="1">
      <c r="A25" s="226"/>
      <c r="B25" s="250"/>
      <c r="C25" s="237"/>
      <c r="D25" s="243"/>
      <c r="E25" s="105" t="s">
        <v>44</v>
      </c>
      <c r="F25" s="118">
        <f t="shared" si="28"/>
        <v>0</v>
      </c>
      <c r="G25" s="118">
        <f t="shared" si="1"/>
        <v>0</v>
      </c>
      <c r="H25" s="122"/>
      <c r="I25" s="118"/>
      <c r="J25" s="118"/>
      <c r="K25" s="122"/>
      <c r="L25" s="118"/>
      <c r="M25" s="118"/>
      <c r="N25" s="122"/>
      <c r="O25" s="118"/>
      <c r="P25" s="118"/>
      <c r="Q25" s="122"/>
      <c r="R25" s="118"/>
      <c r="S25" s="118"/>
      <c r="T25" s="122" t="e">
        <f t="shared" si="37"/>
        <v>#DIV/0!</v>
      </c>
      <c r="U25" s="126"/>
      <c r="V25" s="126"/>
      <c r="W25" s="126"/>
      <c r="X25" s="126"/>
      <c r="Y25" s="126"/>
      <c r="Z25" s="122"/>
      <c r="AA25" s="126"/>
      <c r="AB25" s="126"/>
      <c r="AC25" s="126"/>
      <c r="AD25" s="126"/>
      <c r="AE25" s="126"/>
      <c r="AF25" s="122"/>
      <c r="AG25" s="126"/>
      <c r="AH25" s="126"/>
      <c r="AI25" s="122"/>
      <c r="AJ25" s="118"/>
      <c r="AK25" s="118"/>
      <c r="AL25" s="118"/>
      <c r="AM25" s="126"/>
      <c r="AN25" s="126"/>
      <c r="AO25" s="126"/>
      <c r="AP25" s="118"/>
      <c r="AQ25" s="106"/>
      <c r="AR25" s="106"/>
      <c r="AS25" s="147"/>
      <c r="AT25" s="143"/>
      <c r="AU25" s="135">
        <f t="shared" si="8"/>
        <v>0</v>
      </c>
      <c r="AV25" s="135">
        <f t="shared" si="9"/>
        <v>0</v>
      </c>
      <c r="AW25" s="136" t="e">
        <f t="shared" si="29"/>
        <v>#DIV/0!</v>
      </c>
      <c r="AX25" s="137">
        <f t="shared" si="44"/>
        <v>0</v>
      </c>
      <c r="AY25" s="137">
        <f t="shared" si="45"/>
        <v>0</v>
      </c>
      <c r="AZ25" s="137">
        <f t="shared" si="46"/>
        <v>0</v>
      </c>
      <c r="BA25" s="137">
        <f t="shared" si="47"/>
        <v>0</v>
      </c>
    </row>
    <row r="26" spans="1:53" ht="23.25" customHeight="1">
      <c r="A26" s="226" t="s">
        <v>357</v>
      </c>
      <c r="B26" s="250" t="s">
        <v>321</v>
      </c>
      <c r="C26" s="235" t="s">
        <v>271</v>
      </c>
      <c r="D26" s="238" t="s">
        <v>393</v>
      </c>
      <c r="E26" s="105" t="s">
        <v>42</v>
      </c>
      <c r="F26" s="118">
        <f t="shared" si="28"/>
        <v>0</v>
      </c>
      <c r="G26" s="118">
        <f t="shared" si="1"/>
        <v>0</v>
      </c>
      <c r="H26" s="122"/>
      <c r="I26" s="118">
        <f>SUM(I27:I28)</f>
        <v>0</v>
      </c>
      <c r="J26" s="118">
        <f>SUM(J27:J28)</f>
        <v>0</v>
      </c>
      <c r="K26" s="122"/>
      <c r="L26" s="118">
        <f>SUM(L27:L28)</f>
        <v>0</v>
      </c>
      <c r="M26" s="118">
        <f>SUM(M27:M28)</f>
        <v>0</v>
      </c>
      <c r="N26" s="122"/>
      <c r="O26" s="118">
        <f>SUM(O27:O28)</f>
        <v>0</v>
      </c>
      <c r="P26" s="118">
        <f>SUM(P27:P28)</f>
        <v>0</v>
      </c>
      <c r="Q26" s="122"/>
      <c r="R26" s="118">
        <f>SUM(R27:R28)</f>
        <v>0</v>
      </c>
      <c r="S26" s="118">
        <f>SUM(S27:S28)</f>
        <v>0</v>
      </c>
      <c r="T26" s="122"/>
      <c r="U26" s="118">
        <f t="shared" ref="U26:AR26" si="48">SUM(U27:U28)</f>
        <v>0</v>
      </c>
      <c r="V26" s="118">
        <f t="shared" si="48"/>
        <v>0</v>
      </c>
      <c r="W26" s="122"/>
      <c r="X26" s="118">
        <f t="shared" si="48"/>
        <v>0</v>
      </c>
      <c r="Y26" s="118">
        <f t="shared" si="48"/>
        <v>0</v>
      </c>
      <c r="Z26" s="122"/>
      <c r="AA26" s="118">
        <f t="shared" si="48"/>
        <v>0</v>
      </c>
      <c r="AB26" s="118">
        <f t="shared" si="48"/>
        <v>0</v>
      </c>
      <c r="AC26" s="122"/>
      <c r="AD26" s="118">
        <f t="shared" si="48"/>
        <v>0</v>
      </c>
      <c r="AE26" s="118">
        <f t="shared" si="48"/>
        <v>0</v>
      </c>
      <c r="AF26" s="118">
        <f t="shared" si="48"/>
        <v>0</v>
      </c>
      <c r="AG26" s="118">
        <f t="shared" si="48"/>
        <v>0</v>
      </c>
      <c r="AH26" s="118">
        <f t="shared" si="48"/>
        <v>0</v>
      </c>
      <c r="AI26" s="122"/>
      <c r="AJ26" s="118">
        <f t="shared" si="48"/>
        <v>0</v>
      </c>
      <c r="AK26" s="118">
        <f t="shared" si="48"/>
        <v>0</v>
      </c>
      <c r="AL26" s="118">
        <f t="shared" si="48"/>
        <v>0</v>
      </c>
      <c r="AM26" s="118">
        <f t="shared" si="48"/>
        <v>0</v>
      </c>
      <c r="AN26" s="118">
        <f t="shared" si="48"/>
        <v>0</v>
      </c>
      <c r="AO26" s="118">
        <f t="shared" si="48"/>
        <v>0</v>
      </c>
      <c r="AP26" s="118">
        <f t="shared" si="48"/>
        <v>0</v>
      </c>
      <c r="AQ26" s="106">
        <f t="shared" si="48"/>
        <v>0</v>
      </c>
      <c r="AR26" s="106">
        <f t="shared" si="48"/>
        <v>0</v>
      </c>
      <c r="AS26" s="147"/>
      <c r="AT26" s="143"/>
      <c r="AU26" s="135">
        <f t="shared" si="8"/>
        <v>0</v>
      </c>
      <c r="AV26" s="135">
        <f t="shared" si="9"/>
        <v>0</v>
      </c>
      <c r="AW26" s="136"/>
      <c r="AX26" s="137">
        <f t="shared" si="44"/>
        <v>0</v>
      </c>
      <c r="AY26" s="137">
        <f t="shared" si="45"/>
        <v>0</v>
      </c>
      <c r="AZ26" s="137">
        <f t="shared" si="46"/>
        <v>0</v>
      </c>
      <c r="BA26" s="137">
        <f t="shared" si="47"/>
        <v>0</v>
      </c>
    </row>
    <row r="27" spans="1:53" ht="23.25" customHeight="1">
      <c r="A27" s="226"/>
      <c r="B27" s="250"/>
      <c r="C27" s="236"/>
      <c r="D27" s="239"/>
      <c r="E27" s="105" t="s">
        <v>3</v>
      </c>
      <c r="F27" s="118">
        <f t="shared" si="28"/>
        <v>0</v>
      </c>
      <c r="G27" s="118">
        <f t="shared" si="1"/>
        <v>0</v>
      </c>
      <c r="H27" s="122"/>
      <c r="I27" s="118"/>
      <c r="J27" s="118"/>
      <c r="K27" s="122"/>
      <c r="L27" s="118"/>
      <c r="M27" s="118"/>
      <c r="N27" s="122"/>
      <c r="O27" s="118"/>
      <c r="P27" s="118"/>
      <c r="Q27" s="122"/>
      <c r="R27" s="118"/>
      <c r="S27" s="118"/>
      <c r="T27" s="122"/>
      <c r="U27" s="126"/>
      <c r="V27" s="126"/>
      <c r="W27" s="122"/>
      <c r="X27" s="126"/>
      <c r="Y27" s="126"/>
      <c r="Z27" s="122"/>
      <c r="AA27" s="126"/>
      <c r="AB27" s="126"/>
      <c r="AC27" s="122"/>
      <c r="AD27" s="126"/>
      <c r="AE27" s="126"/>
      <c r="AF27" s="126"/>
      <c r="AG27" s="126"/>
      <c r="AH27" s="126"/>
      <c r="AI27" s="122"/>
      <c r="AJ27" s="118"/>
      <c r="AK27" s="118"/>
      <c r="AL27" s="118"/>
      <c r="AM27" s="126"/>
      <c r="AN27" s="126"/>
      <c r="AO27" s="126"/>
      <c r="AP27" s="118"/>
      <c r="AQ27" s="106"/>
      <c r="AR27" s="106"/>
      <c r="AS27" s="147"/>
      <c r="AT27" s="143"/>
      <c r="AU27" s="135">
        <f t="shared" si="8"/>
        <v>0</v>
      </c>
      <c r="AV27" s="135">
        <f t="shared" si="9"/>
        <v>0</v>
      </c>
      <c r="AW27" s="136"/>
      <c r="AX27" s="137">
        <f t="shared" si="44"/>
        <v>0</v>
      </c>
      <c r="AY27" s="137">
        <f t="shared" si="45"/>
        <v>0</v>
      </c>
      <c r="AZ27" s="137">
        <f t="shared" si="46"/>
        <v>0</v>
      </c>
      <c r="BA27" s="137">
        <f t="shared" si="47"/>
        <v>0</v>
      </c>
    </row>
    <row r="28" spans="1:53" ht="23.25" customHeight="1">
      <c r="A28" s="226"/>
      <c r="B28" s="250"/>
      <c r="C28" s="237"/>
      <c r="D28" s="240"/>
      <c r="E28" s="105" t="s">
        <v>44</v>
      </c>
      <c r="F28" s="118">
        <f t="shared" si="28"/>
        <v>0</v>
      </c>
      <c r="G28" s="118">
        <f t="shared" si="1"/>
        <v>0</v>
      </c>
      <c r="H28" s="122"/>
      <c r="I28" s="118"/>
      <c r="J28" s="118"/>
      <c r="K28" s="122"/>
      <c r="L28" s="118"/>
      <c r="M28" s="118"/>
      <c r="N28" s="122"/>
      <c r="O28" s="118"/>
      <c r="P28" s="118"/>
      <c r="Q28" s="122"/>
      <c r="R28" s="118"/>
      <c r="S28" s="118"/>
      <c r="T28" s="122"/>
      <c r="U28" s="126"/>
      <c r="V28" s="126"/>
      <c r="W28" s="126"/>
      <c r="X28" s="126"/>
      <c r="Y28" s="126"/>
      <c r="Z28" s="122"/>
      <c r="AA28" s="126"/>
      <c r="AB28" s="126"/>
      <c r="AC28" s="122"/>
      <c r="AD28" s="126"/>
      <c r="AE28" s="126"/>
      <c r="AF28" s="126"/>
      <c r="AG28" s="126"/>
      <c r="AH28" s="126"/>
      <c r="AI28" s="122"/>
      <c r="AJ28" s="118"/>
      <c r="AK28" s="118"/>
      <c r="AL28" s="118"/>
      <c r="AM28" s="126"/>
      <c r="AN28" s="126"/>
      <c r="AO28" s="126"/>
      <c r="AP28" s="118"/>
      <c r="AQ28" s="106"/>
      <c r="AR28" s="106"/>
      <c r="AS28" s="143"/>
      <c r="AT28" s="143"/>
      <c r="AU28" s="135">
        <f t="shared" si="8"/>
        <v>0</v>
      </c>
      <c r="AV28" s="135">
        <f t="shared" si="9"/>
        <v>0</v>
      </c>
      <c r="AW28" s="136"/>
      <c r="AX28" s="137">
        <f t="shared" si="3"/>
        <v>0</v>
      </c>
      <c r="AY28" s="137">
        <f t="shared" si="4"/>
        <v>0</v>
      </c>
      <c r="AZ28" s="137">
        <f t="shared" si="24"/>
        <v>0</v>
      </c>
      <c r="BA28" s="137">
        <f t="shared" si="25"/>
        <v>0</v>
      </c>
    </row>
    <row r="29" spans="1:53" ht="34.5" customHeight="1">
      <c r="A29" s="226" t="s">
        <v>358</v>
      </c>
      <c r="B29" s="250" t="s">
        <v>322</v>
      </c>
      <c r="C29" s="235" t="s">
        <v>272</v>
      </c>
      <c r="D29" s="241" t="s">
        <v>286</v>
      </c>
      <c r="E29" s="105" t="s">
        <v>42</v>
      </c>
      <c r="F29" s="118">
        <f t="shared" si="28"/>
        <v>40</v>
      </c>
      <c r="G29" s="118">
        <f t="shared" si="1"/>
        <v>0</v>
      </c>
      <c r="H29" s="122">
        <f t="shared" si="30"/>
        <v>0</v>
      </c>
      <c r="I29" s="118">
        <f>SUM(I30:I31)</f>
        <v>0</v>
      </c>
      <c r="J29" s="118">
        <f>SUM(J30:J31)</f>
        <v>0</v>
      </c>
      <c r="K29" s="122"/>
      <c r="L29" s="118">
        <f>SUM(L30:L31)</f>
        <v>0</v>
      </c>
      <c r="M29" s="118">
        <f>SUM(M30:M31)</f>
        <v>0</v>
      </c>
      <c r="N29" s="122"/>
      <c r="O29" s="118">
        <f>SUM(O30:O31)</f>
        <v>0</v>
      </c>
      <c r="P29" s="118">
        <f>SUM(P30:P31)</f>
        <v>0</v>
      </c>
      <c r="Q29" s="122"/>
      <c r="R29" s="118">
        <f>SUM(R30:R31)</f>
        <v>40</v>
      </c>
      <c r="S29" s="118">
        <f>SUM(S30:S31)</f>
        <v>0</v>
      </c>
      <c r="T29" s="122">
        <f t="shared" si="37"/>
        <v>0</v>
      </c>
      <c r="U29" s="118">
        <f t="shared" ref="U29:AR29" si="49">SUM(U30:U31)</f>
        <v>0</v>
      </c>
      <c r="V29" s="118">
        <f t="shared" si="49"/>
        <v>0</v>
      </c>
      <c r="W29" s="122" t="e">
        <f>V29/U29</f>
        <v>#DIV/0!</v>
      </c>
      <c r="X29" s="118">
        <f t="shared" si="49"/>
        <v>0</v>
      </c>
      <c r="Y29" s="118">
        <f t="shared" si="49"/>
        <v>0</v>
      </c>
      <c r="Z29" s="122" t="e">
        <f t="shared" si="32"/>
        <v>#DIV/0!</v>
      </c>
      <c r="AA29" s="118">
        <f t="shared" si="49"/>
        <v>0</v>
      </c>
      <c r="AB29" s="118">
        <f t="shared" si="49"/>
        <v>0</v>
      </c>
      <c r="AC29" s="122" t="e">
        <f t="shared" ref="AC29:AC31" si="50">AB29/AA29</f>
        <v>#DIV/0!</v>
      </c>
      <c r="AD29" s="118">
        <f t="shared" si="49"/>
        <v>0</v>
      </c>
      <c r="AE29" s="118">
        <f t="shared" si="49"/>
        <v>0</v>
      </c>
      <c r="AF29" s="122" t="e">
        <f t="shared" ref="AF29:AF31" si="51">AE29/AD29</f>
        <v>#DIV/0!</v>
      </c>
      <c r="AG29" s="118">
        <f t="shared" si="49"/>
        <v>0</v>
      </c>
      <c r="AH29" s="118">
        <f t="shared" si="49"/>
        <v>0</v>
      </c>
      <c r="AI29" s="122" t="e">
        <f t="shared" si="14"/>
        <v>#DIV/0!</v>
      </c>
      <c r="AJ29" s="118">
        <f t="shared" si="49"/>
        <v>0</v>
      </c>
      <c r="AK29" s="118">
        <f t="shared" si="49"/>
        <v>0</v>
      </c>
      <c r="AL29" s="122" t="e">
        <f t="shared" ref="AL29" si="52">AK29/AJ29</f>
        <v>#DIV/0!</v>
      </c>
      <c r="AM29" s="118">
        <f t="shared" si="49"/>
        <v>0</v>
      </c>
      <c r="AN29" s="118">
        <f t="shared" si="49"/>
        <v>0</v>
      </c>
      <c r="AO29" s="122" t="e">
        <f t="shared" ref="AO29" si="53">AN29/AM29</f>
        <v>#DIV/0!</v>
      </c>
      <c r="AP29" s="118">
        <f t="shared" si="49"/>
        <v>0</v>
      </c>
      <c r="AQ29" s="106">
        <f t="shared" si="49"/>
        <v>0</v>
      </c>
      <c r="AR29" s="106">
        <f t="shared" si="49"/>
        <v>0</v>
      </c>
      <c r="AS29" s="139"/>
      <c r="AT29" s="140"/>
      <c r="AU29" s="135">
        <f t="shared" si="8"/>
        <v>0</v>
      </c>
      <c r="AV29" s="135">
        <f t="shared" si="9"/>
        <v>0</v>
      </c>
      <c r="AW29" s="136" t="e">
        <f t="shared" si="29"/>
        <v>#DIV/0!</v>
      </c>
      <c r="AX29" s="137">
        <f t="shared" si="3"/>
        <v>0</v>
      </c>
      <c r="AY29" s="137">
        <f t="shared" si="4"/>
        <v>40</v>
      </c>
      <c r="AZ29" s="137">
        <f t="shared" si="24"/>
        <v>0</v>
      </c>
      <c r="BA29" s="137">
        <f t="shared" si="25"/>
        <v>0</v>
      </c>
    </row>
    <row r="30" spans="1:53" ht="34.5" customHeight="1">
      <c r="A30" s="226"/>
      <c r="B30" s="250"/>
      <c r="C30" s="236"/>
      <c r="D30" s="242"/>
      <c r="E30" s="105" t="s">
        <v>3</v>
      </c>
      <c r="F30" s="118">
        <f t="shared" si="28"/>
        <v>0</v>
      </c>
      <c r="G30" s="118">
        <f t="shared" si="1"/>
        <v>0</v>
      </c>
      <c r="H30" s="122"/>
      <c r="I30" s="118"/>
      <c r="J30" s="118"/>
      <c r="K30" s="122"/>
      <c r="L30" s="118"/>
      <c r="M30" s="118"/>
      <c r="N30" s="122"/>
      <c r="O30" s="118"/>
      <c r="P30" s="118"/>
      <c r="Q30" s="122"/>
      <c r="R30" s="118"/>
      <c r="S30" s="118"/>
      <c r="T30" s="122"/>
      <c r="U30" s="126"/>
      <c r="V30" s="126"/>
      <c r="W30" s="122"/>
      <c r="X30" s="126"/>
      <c r="Y30" s="126"/>
      <c r="Z30" s="122"/>
      <c r="AA30" s="126"/>
      <c r="AB30" s="126"/>
      <c r="AC30" s="122"/>
      <c r="AD30" s="126"/>
      <c r="AE30" s="126"/>
      <c r="AF30" s="122"/>
      <c r="AG30" s="126"/>
      <c r="AH30" s="126"/>
      <c r="AI30" s="122"/>
      <c r="AJ30" s="118"/>
      <c r="AK30" s="118"/>
      <c r="AL30" s="118"/>
      <c r="AM30" s="126"/>
      <c r="AN30" s="126"/>
      <c r="AO30" s="118"/>
      <c r="AP30" s="118"/>
      <c r="AQ30" s="106"/>
      <c r="AR30" s="106"/>
      <c r="AS30" s="139"/>
      <c r="AT30" s="140"/>
      <c r="AU30" s="135">
        <f t="shared" si="8"/>
        <v>0</v>
      </c>
      <c r="AV30" s="135">
        <f t="shared" si="9"/>
        <v>0</v>
      </c>
      <c r="AW30" s="136"/>
      <c r="AX30" s="137">
        <f t="shared" si="3"/>
        <v>0</v>
      </c>
      <c r="AY30" s="137">
        <f t="shared" si="4"/>
        <v>0</v>
      </c>
      <c r="AZ30" s="137">
        <f t="shared" si="24"/>
        <v>0</v>
      </c>
      <c r="BA30" s="137">
        <f t="shared" si="25"/>
        <v>0</v>
      </c>
    </row>
    <row r="31" spans="1:53" ht="34.5" customHeight="1">
      <c r="A31" s="226"/>
      <c r="B31" s="250"/>
      <c r="C31" s="237"/>
      <c r="D31" s="243"/>
      <c r="E31" s="105" t="s">
        <v>44</v>
      </c>
      <c r="F31" s="117">
        <f t="shared" si="28"/>
        <v>40</v>
      </c>
      <c r="G31" s="118">
        <f t="shared" si="1"/>
        <v>0</v>
      </c>
      <c r="H31" s="122">
        <f t="shared" si="30"/>
        <v>0</v>
      </c>
      <c r="I31" s="118"/>
      <c r="J31" s="118"/>
      <c r="K31" s="122"/>
      <c r="L31" s="118"/>
      <c r="M31" s="118"/>
      <c r="N31" s="122"/>
      <c r="O31" s="118"/>
      <c r="P31" s="118"/>
      <c r="Q31" s="122"/>
      <c r="R31" s="118">
        <v>40</v>
      </c>
      <c r="S31" s="118"/>
      <c r="T31" s="122">
        <f t="shared" si="37"/>
        <v>0</v>
      </c>
      <c r="U31" s="126"/>
      <c r="V31" s="126"/>
      <c r="W31" s="122" t="e">
        <f>V31/U31</f>
        <v>#DIV/0!</v>
      </c>
      <c r="X31" s="126"/>
      <c r="Y31" s="126"/>
      <c r="Z31" s="122" t="e">
        <f t="shared" si="32"/>
        <v>#DIV/0!</v>
      </c>
      <c r="AA31" s="126"/>
      <c r="AB31" s="126"/>
      <c r="AC31" s="122" t="e">
        <f t="shared" si="50"/>
        <v>#DIV/0!</v>
      </c>
      <c r="AD31" s="126"/>
      <c r="AE31" s="126"/>
      <c r="AF31" s="122" t="e">
        <f t="shared" si="51"/>
        <v>#DIV/0!</v>
      </c>
      <c r="AG31" s="126"/>
      <c r="AH31" s="126"/>
      <c r="AI31" s="122" t="e">
        <f t="shared" si="14"/>
        <v>#DIV/0!</v>
      </c>
      <c r="AJ31" s="118"/>
      <c r="AK31" s="118"/>
      <c r="AL31" s="122" t="e">
        <f t="shared" ref="AL31" si="54">AK31/AJ31</f>
        <v>#DIV/0!</v>
      </c>
      <c r="AM31" s="126"/>
      <c r="AN31" s="126"/>
      <c r="AO31" s="122" t="e">
        <f t="shared" ref="AO31" si="55">AN31/AM31</f>
        <v>#DIV/0!</v>
      </c>
      <c r="AP31" s="118"/>
      <c r="AQ31" s="106"/>
      <c r="AR31" s="106"/>
      <c r="AS31" s="143"/>
      <c r="AT31" s="143"/>
      <c r="AU31" s="135">
        <f t="shared" si="8"/>
        <v>0</v>
      </c>
      <c r="AV31" s="135">
        <f t="shared" si="9"/>
        <v>0</v>
      </c>
      <c r="AW31" s="136" t="e">
        <f t="shared" si="29"/>
        <v>#DIV/0!</v>
      </c>
      <c r="AX31" s="137">
        <f t="shared" si="3"/>
        <v>0</v>
      </c>
      <c r="AY31" s="137">
        <f t="shared" si="4"/>
        <v>40</v>
      </c>
      <c r="AZ31" s="137">
        <f t="shared" si="24"/>
        <v>0</v>
      </c>
      <c r="BA31" s="137">
        <f t="shared" si="25"/>
        <v>0</v>
      </c>
    </row>
    <row r="32" spans="1:53" ht="20.25" customHeight="1">
      <c r="A32" s="226" t="s">
        <v>359</v>
      </c>
      <c r="B32" s="250" t="s">
        <v>323</v>
      </c>
      <c r="C32" s="235" t="s">
        <v>271</v>
      </c>
      <c r="D32" s="238" t="s">
        <v>284</v>
      </c>
      <c r="E32" s="105" t="s">
        <v>42</v>
      </c>
      <c r="F32" s="118">
        <f t="shared" si="28"/>
        <v>0</v>
      </c>
      <c r="G32" s="118">
        <f t="shared" si="1"/>
        <v>0</v>
      </c>
      <c r="H32" s="122"/>
      <c r="I32" s="106">
        <f>SUM(I33:I34)</f>
        <v>0</v>
      </c>
      <c r="J32" s="106">
        <f>SUM(J33:J34)</f>
        <v>0</v>
      </c>
      <c r="K32" s="122"/>
      <c r="L32" s="118">
        <f>SUM(L33:L34)</f>
        <v>0</v>
      </c>
      <c r="M32" s="118">
        <f>SUM(M33:M34)</f>
        <v>0</v>
      </c>
      <c r="N32" s="122"/>
      <c r="O32" s="118">
        <f>SUM(O33:O34)</f>
        <v>0</v>
      </c>
      <c r="P32" s="118">
        <f>SUM(P33:P34)</f>
        <v>0</v>
      </c>
      <c r="Q32" s="122"/>
      <c r="R32" s="118">
        <f>SUM(R33:R34)</f>
        <v>0</v>
      </c>
      <c r="S32" s="118">
        <f>SUM(S33:S34)</f>
        <v>0</v>
      </c>
      <c r="T32" s="122"/>
      <c r="U32" s="118">
        <f t="shared" ref="U32:AR32" si="56">SUM(U33:U34)</f>
        <v>0</v>
      </c>
      <c r="V32" s="118">
        <f t="shared" si="56"/>
        <v>0</v>
      </c>
      <c r="W32" s="122"/>
      <c r="X32" s="118">
        <f t="shared" si="56"/>
        <v>0</v>
      </c>
      <c r="Y32" s="118">
        <f t="shared" si="56"/>
        <v>0</v>
      </c>
      <c r="Z32" s="122"/>
      <c r="AA32" s="118">
        <f t="shared" si="56"/>
        <v>0</v>
      </c>
      <c r="AB32" s="118">
        <f t="shared" si="56"/>
        <v>0</v>
      </c>
      <c r="AC32" s="118">
        <f t="shared" si="56"/>
        <v>0</v>
      </c>
      <c r="AD32" s="118">
        <f t="shared" si="56"/>
        <v>0</v>
      </c>
      <c r="AE32" s="118">
        <f t="shared" si="56"/>
        <v>0</v>
      </c>
      <c r="AF32" s="118">
        <f t="shared" si="56"/>
        <v>0</v>
      </c>
      <c r="AG32" s="118">
        <f t="shared" si="56"/>
        <v>0</v>
      </c>
      <c r="AH32" s="118">
        <f t="shared" si="56"/>
        <v>0</v>
      </c>
      <c r="AI32" s="122"/>
      <c r="AJ32" s="118">
        <f t="shared" si="56"/>
        <v>0</v>
      </c>
      <c r="AK32" s="118">
        <f t="shared" si="56"/>
        <v>0</v>
      </c>
      <c r="AL32" s="118">
        <f t="shared" si="56"/>
        <v>0</v>
      </c>
      <c r="AM32" s="118">
        <f t="shared" si="56"/>
        <v>0</v>
      </c>
      <c r="AN32" s="118">
        <f t="shared" si="56"/>
        <v>0</v>
      </c>
      <c r="AO32" s="118">
        <f t="shared" si="56"/>
        <v>0</v>
      </c>
      <c r="AP32" s="118">
        <f t="shared" si="56"/>
        <v>0</v>
      </c>
      <c r="AQ32" s="106">
        <f t="shared" si="56"/>
        <v>0</v>
      </c>
      <c r="AR32" s="106">
        <f t="shared" si="56"/>
        <v>0</v>
      </c>
      <c r="AS32" s="147"/>
      <c r="AT32" s="143"/>
      <c r="AU32" s="135">
        <f t="shared" si="8"/>
        <v>0</v>
      </c>
      <c r="AV32" s="135">
        <f t="shared" si="9"/>
        <v>0</v>
      </c>
      <c r="AW32" s="136"/>
      <c r="AX32" s="137">
        <f t="shared" si="3"/>
        <v>0</v>
      </c>
      <c r="AY32" s="137">
        <f t="shared" si="4"/>
        <v>0</v>
      </c>
      <c r="AZ32" s="137">
        <f t="shared" si="24"/>
        <v>0</v>
      </c>
      <c r="BA32" s="137">
        <f t="shared" si="25"/>
        <v>0</v>
      </c>
    </row>
    <row r="33" spans="1:53" ht="20.25" customHeight="1">
      <c r="A33" s="226"/>
      <c r="B33" s="250"/>
      <c r="C33" s="236"/>
      <c r="D33" s="239"/>
      <c r="E33" s="105" t="s">
        <v>3</v>
      </c>
      <c r="F33" s="118">
        <f t="shared" si="28"/>
        <v>0</v>
      </c>
      <c r="G33" s="118">
        <f t="shared" si="1"/>
        <v>0</v>
      </c>
      <c r="H33" s="122"/>
      <c r="I33" s="106"/>
      <c r="J33" s="106"/>
      <c r="K33" s="122"/>
      <c r="L33" s="118"/>
      <c r="M33" s="118"/>
      <c r="N33" s="122"/>
      <c r="O33" s="118"/>
      <c r="P33" s="118"/>
      <c r="Q33" s="122"/>
      <c r="R33" s="118"/>
      <c r="S33" s="118"/>
      <c r="T33" s="122"/>
      <c r="U33" s="126"/>
      <c r="V33" s="126"/>
      <c r="W33" s="126"/>
      <c r="X33" s="126"/>
      <c r="Y33" s="126"/>
      <c r="Z33" s="122"/>
      <c r="AA33" s="126"/>
      <c r="AB33" s="126"/>
      <c r="AC33" s="126"/>
      <c r="AD33" s="126"/>
      <c r="AE33" s="126"/>
      <c r="AF33" s="126"/>
      <c r="AG33" s="126"/>
      <c r="AH33" s="126"/>
      <c r="AI33" s="122"/>
      <c r="AJ33" s="118"/>
      <c r="AK33" s="118"/>
      <c r="AL33" s="118"/>
      <c r="AM33" s="126"/>
      <c r="AN33" s="126"/>
      <c r="AO33" s="118"/>
      <c r="AP33" s="118"/>
      <c r="AQ33" s="106"/>
      <c r="AR33" s="106"/>
      <c r="AS33" s="147"/>
      <c r="AT33" s="143"/>
      <c r="AU33" s="135">
        <f t="shared" si="8"/>
        <v>0</v>
      </c>
      <c r="AV33" s="135">
        <f t="shared" si="9"/>
        <v>0</v>
      </c>
      <c r="AW33" s="136"/>
      <c r="AX33" s="137">
        <f t="shared" si="3"/>
        <v>0</v>
      </c>
      <c r="AY33" s="137">
        <f t="shared" si="4"/>
        <v>0</v>
      </c>
      <c r="AZ33" s="137">
        <f t="shared" si="24"/>
        <v>0</v>
      </c>
      <c r="BA33" s="137">
        <f t="shared" si="25"/>
        <v>0</v>
      </c>
    </row>
    <row r="34" spans="1:53" ht="20.25" customHeight="1">
      <c r="A34" s="226"/>
      <c r="B34" s="250"/>
      <c r="C34" s="237"/>
      <c r="D34" s="240"/>
      <c r="E34" s="105" t="s">
        <v>44</v>
      </c>
      <c r="F34" s="118">
        <f t="shared" si="28"/>
        <v>0</v>
      </c>
      <c r="G34" s="118">
        <f t="shared" si="1"/>
        <v>0</v>
      </c>
      <c r="H34" s="122"/>
      <c r="I34" s="106"/>
      <c r="J34" s="106"/>
      <c r="K34" s="122"/>
      <c r="L34" s="118"/>
      <c r="M34" s="118"/>
      <c r="N34" s="122"/>
      <c r="O34" s="118"/>
      <c r="P34" s="118"/>
      <c r="Q34" s="122"/>
      <c r="R34" s="118"/>
      <c r="S34" s="118"/>
      <c r="T34" s="122"/>
      <c r="U34" s="126"/>
      <c r="V34" s="126"/>
      <c r="W34" s="126"/>
      <c r="X34" s="126"/>
      <c r="Y34" s="126"/>
      <c r="Z34" s="122"/>
      <c r="AA34" s="126"/>
      <c r="AB34" s="126"/>
      <c r="AC34" s="126"/>
      <c r="AD34" s="126"/>
      <c r="AE34" s="126"/>
      <c r="AF34" s="126"/>
      <c r="AG34" s="126"/>
      <c r="AH34" s="126"/>
      <c r="AI34" s="122"/>
      <c r="AJ34" s="118"/>
      <c r="AK34" s="118"/>
      <c r="AL34" s="118"/>
      <c r="AM34" s="126"/>
      <c r="AN34" s="126"/>
      <c r="AO34" s="118"/>
      <c r="AP34" s="118"/>
      <c r="AQ34" s="106"/>
      <c r="AR34" s="106"/>
      <c r="AS34" s="147"/>
      <c r="AT34" s="143"/>
      <c r="AU34" s="135">
        <f t="shared" si="8"/>
        <v>0</v>
      </c>
      <c r="AV34" s="135">
        <f t="shared" si="9"/>
        <v>0</v>
      </c>
      <c r="AW34" s="136"/>
      <c r="AX34" s="137">
        <f t="shared" si="3"/>
        <v>0</v>
      </c>
      <c r="AY34" s="137">
        <f t="shared" si="4"/>
        <v>0</v>
      </c>
      <c r="AZ34" s="137">
        <f t="shared" si="24"/>
        <v>0</v>
      </c>
      <c r="BA34" s="137">
        <f t="shared" si="25"/>
        <v>0</v>
      </c>
    </row>
    <row r="35" spans="1:53" ht="21" customHeight="1">
      <c r="A35" s="226" t="s">
        <v>360</v>
      </c>
      <c r="B35" s="234" t="s">
        <v>324</v>
      </c>
      <c r="C35" s="235" t="s">
        <v>272</v>
      </c>
      <c r="D35" s="241">
        <v>8</v>
      </c>
      <c r="E35" s="105" t="s">
        <v>42</v>
      </c>
      <c r="F35" s="118">
        <f t="shared" si="28"/>
        <v>606850.5</v>
      </c>
      <c r="G35" s="118">
        <f t="shared" si="1"/>
        <v>109034.64128000001</v>
      </c>
      <c r="H35" s="122">
        <f t="shared" si="30"/>
        <v>0.17967298581775909</v>
      </c>
      <c r="I35" s="118">
        <f>SUM(I36:I37)</f>
        <v>10960</v>
      </c>
      <c r="J35" s="118">
        <f>SUM(J36:J37)</f>
        <v>10960</v>
      </c>
      <c r="K35" s="122">
        <f t="shared" si="35"/>
        <v>1</v>
      </c>
      <c r="L35" s="118">
        <f>SUM(L36:L37)</f>
        <v>47509.375</v>
      </c>
      <c r="M35" s="118">
        <f>SUM(M36:M37)</f>
        <v>44622.981</v>
      </c>
      <c r="N35" s="122">
        <f t="shared" ref="N35:N40" si="57">M35/L35</f>
        <v>0.93924580148654868</v>
      </c>
      <c r="O35" s="118">
        <f>SUM(O36:O37)</f>
        <v>51087.55</v>
      </c>
      <c r="P35" s="118">
        <f>SUM(P36:P37)</f>
        <v>53451.660280000004</v>
      </c>
      <c r="Q35" s="122">
        <f t="shared" si="31"/>
        <v>1.0462756636401629</v>
      </c>
      <c r="R35" s="118">
        <f>SUM(R36:R37)</f>
        <v>57970.775000000001</v>
      </c>
      <c r="S35" s="118">
        <f>SUM(S36:S37)</f>
        <v>0</v>
      </c>
      <c r="T35" s="122">
        <f t="shared" si="37"/>
        <v>0</v>
      </c>
      <c r="U35" s="118">
        <f t="shared" ref="U35:AR35" si="58">SUM(U36:U37)</f>
        <v>70480.375</v>
      </c>
      <c r="V35" s="118">
        <f t="shared" si="58"/>
        <v>0</v>
      </c>
      <c r="W35" s="122">
        <f>V35/U35</f>
        <v>0</v>
      </c>
      <c r="X35" s="118">
        <f t="shared" si="58"/>
        <v>104935.09999999999</v>
      </c>
      <c r="Y35" s="118">
        <f t="shared" si="58"/>
        <v>0</v>
      </c>
      <c r="Z35" s="122">
        <f t="shared" si="32"/>
        <v>0</v>
      </c>
      <c r="AA35" s="118">
        <f t="shared" si="58"/>
        <v>41830.678000000007</v>
      </c>
      <c r="AB35" s="118">
        <f t="shared" si="58"/>
        <v>0</v>
      </c>
      <c r="AC35" s="122">
        <f t="shared" ref="AC35:AC40" si="59">AB35/AA35</f>
        <v>0</v>
      </c>
      <c r="AD35" s="118">
        <f t="shared" si="58"/>
        <v>15772</v>
      </c>
      <c r="AE35" s="118">
        <f t="shared" si="58"/>
        <v>0</v>
      </c>
      <c r="AF35" s="122">
        <f t="shared" ref="AF35:AF40" si="60">AE35/AD35</f>
        <v>0</v>
      </c>
      <c r="AG35" s="118">
        <f t="shared" si="58"/>
        <v>33206.199999999997</v>
      </c>
      <c r="AH35" s="118">
        <f t="shared" si="58"/>
        <v>0</v>
      </c>
      <c r="AI35" s="122">
        <f t="shared" si="14"/>
        <v>0</v>
      </c>
      <c r="AJ35" s="118">
        <f t="shared" si="58"/>
        <v>50568.093150000001</v>
      </c>
      <c r="AK35" s="118">
        <f t="shared" si="58"/>
        <v>0</v>
      </c>
      <c r="AL35" s="122">
        <f t="shared" ref="AL35:AL40" si="61">AK35/AJ35</f>
        <v>0</v>
      </c>
      <c r="AM35" s="118">
        <f t="shared" si="58"/>
        <v>45193.353000000003</v>
      </c>
      <c r="AN35" s="118">
        <f t="shared" si="58"/>
        <v>0</v>
      </c>
      <c r="AO35" s="122">
        <f t="shared" ref="AO35:AO40" si="62">AN35/AM35</f>
        <v>0</v>
      </c>
      <c r="AP35" s="118">
        <f t="shared" si="58"/>
        <v>77337.000849999997</v>
      </c>
      <c r="AQ35" s="106">
        <f t="shared" si="58"/>
        <v>0</v>
      </c>
      <c r="AR35" s="106">
        <f t="shared" si="58"/>
        <v>0</v>
      </c>
      <c r="AS35" s="147"/>
      <c r="AT35" s="143"/>
      <c r="AU35" s="135">
        <f t="shared" si="8"/>
        <v>109556.925</v>
      </c>
      <c r="AV35" s="135">
        <f t="shared" si="9"/>
        <v>109034.64128000001</v>
      </c>
      <c r="AW35" s="136">
        <f t="shared" si="29"/>
        <v>0.99523276397178917</v>
      </c>
      <c r="AX35" s="137">
        <f t="shared" si="3"/>
        <v>109556.925</v>
      </c>
      <c r="AY35" s="137">
        <f t="shared" si="4"/>
        <v>233386.25</v>
      </c>
      <c r="AZ35" s="137">
        <f t="shared" si="24"/>
        <v>90808.877999999997</v>
      </c>
      <c r="BA35" s="137">
        <f t="shared" si="25"/>
        <v>173098.44699999999</v>
      </c>
    </row>
    <row r="36" spans="1:53" s="153" customFormat="1" ht="106.5" customHeight="1">
      <c r="A36" s="226"/>
      <c r="B36" s="234"/>
      <c r="C36" s="236"/>
      <c r="D36" s="242"/>
      <c r="E36" s="148" t="s">
        <v>3</v>
      </c>
      <c r="F36" s="149">
        <f t="shared" si="28"/>
        <v>558992.29999999993</v>
      </c>
      <c r="G36" s="125">
        <f t="shared" si="1"/>
        <v>99386.8</v>
      </c>
      <c r="H36" s="150">
        <f t="shared" si="30"/>
        <v>0.17779636678358543</v>
      </c>
      <c r="I36" s="125">
        <v>10510</v>
      </c>
      <c r="J36" s="118">
        <v>10510</v>
      </c>
      <c r="K36" s="150">
        <f t="shared" si="35"/>
        <v>1</v>
      </c>
      <c r="L36" s="125">
        <v>43593.4</v>
      </c>
      <c r="M36" s="118">
        <v>40707.006000000001</v>
      </c>
      <c r="N36" s="122">
        <f t="shared" si="57"/>
        <v>0.93378827987722912</v>
      </c>
      <c r="O36" s="125">
        <v>45283.4</v>
      </c>
      <c r="P36" s="118">
        <v>48169.794000000002</v>
      </c>
      <c r="Q36" s="122">
        <f t="shared" si="31"/>
        <v>1.0637406643494085</v>
      </c>
      <c r="R36" s="125">
        <f>48559+3500</f>
        <v>52059</v>
      </c>
      <c r="S36" s="125"/>
      <c r="T36" s="150">
        <v>0</v>
      </c>
      <c r="U36" s="124">
        <v>66984</v>
      </c>
      <c r="V36" s="124"/>
      <c r="W36" s="150">
        <v>0</v>
      </c>
      <c r="X36" s="124">
        <v>101700.9</v>
      </c>
      <c r="Y36" s="124"/>
      <c r="Z36" s="150">
        <v>0</v>
      </c>
      <c r="AA36" s="124">
        <f>33025.978+4627.3</f>
        <v>37653.278000000006</v>
      </c>
      <c r="AB36" s="124"/>
      <c r="AC36" s="150">
        <v>0</v>
      </c>
      <c r="AD36" s="124">
        <v>13539.5</v>
      </c>
      <c r="AE36" s="124"/>
      <c r="AF36" s="150">
        <v>0</v>
      </c>
      <c r="AG36" s="124">
        <v>31030</v>
      </c>
      <c r="AH36" s="124"/>
      <c r="AI36" s="150">
        <v>0</v>
      </c>
      <c r="AJ36" s="125">
        <f>41142+4300</f>
        <v>45442</v>
      </c>
      <c r="AK36" s="125"/>
      <c r="AL36" s="150">
        <v>0</v>
      </c>
      <c r="AM36" s="124">
        <v>40939.978000000003</v>
      </c>
      <c r="AN36" s="124"/>
      <c r="AO36" s="150">
        <v>0</v>
      </c>
      <c r="AP36" s="125">
        <v>70256.843999999997</v>
      </c>
      <c r="AQ36" s="151"/>
      <c r="AR36" s="151"/>
      <c r="AS36" s="142" t="s">
        <v>420</v>
      </c>
      <c r="AT36" s="143"/>
      <c r="AU36" s="135">
        <f t="shared" si="8"/>
        <v>99386.8</v>
      </c>
      <c r="AV36" s="135">
        <f t="shared" si="9"/>
        <v>99386.8</v>
      </c>
      <c r="AW36" s="152">
        <f t="shared" si="29"/>
        <v>1</v>
      </c>
      <c r="AX36" s="137">
        <f t="shared" si="3"/>
        <v>99386.8</v>
      </c>
      <c r="AY36" s="137">
        <f t="shared" si="4"/>
        <v>220743.9</v>
      </c>
      <c r="AZ36" s="137">
        <f t="shared" si="24"/>
        <v>82222.778000000006</v>
      </c>
      <c r="BA36" s="137">
        <f t="shared" si="25"/>
        <v>156638.82199999999</v>
      </c>
    </row>
    <row r="37" spans="1:53" ht="66.75" customHeight="1">
      <c r="A37" s="226"/>
      <c r="B37" s="234"/>
      <c r="C37" s="237"/>
      <c r="D37" s="243"/>
      <c r="E37" s="105" t="s">
        <v>44</v>
      </c>
      <c r="F37" s="118">
        <f t="shared" si="28"/>
        <v>47858.2</v>
      </c>
      <c r="G37" s="118">
        <f t="shared" si="1"/>
        <v>9647.8412800000006</v>
      </c>
      <c r="H37" s="122">
        <f t="shared" si="30"/>
        <v>0.20159223038058266</v>
      </c>
      <c r="I37" s="118">
        <v>450</v>
      </c>
      <c r="J37" s="118">
        <v>450</v>
      </c>
      <c r="K37" s="122">
        <f t="shared" si="35"/>
        <v>1</v>
      </c>
      <c r="L37" s="118">
        <v>3915.9749999999999</v>
      </c>
      <c r="M37" s="118">
        <v>3915.9749999999999</v>
      </c>
      <c r="N37" s="122">
        <f t="shared" si="57"/>
        <v>1</v>
      </c>
      <c r="O37" s="118">
        <v>5804.15</v>
      </c>
      <c r="P37" s="118">
        <v>5281.8662800000002</v>
      </c>
      <c r="Q37" s="122">
        <f t="shared" si="31"/>
        <v>0.91001546824255064</v>
      </c>
      <c r="R37" s="118">
        <v>5911.7749999999996</v>
      </c>
      <c r="S37" s="118"/>
      <c r="T37" s="122">
        <f t="shared" si="37"/>
        <v>0</v>
      </c>
      <c r="U37" s="126">
        <v>3496.375</v>
      </c>
      <c r="V37" s="126"/>
      <c r="W37" s="122">
        <f>V37/U37</f>
        <v>0</v>
      </c>
      <c r="X37" s="126">
        <v>3234.2</v>
      </c>
      <c r="Y37" s="126"/>
      <c r="Z37" s="122">
        <f t="shared" si="32"/>
        <v>0</v>
      </c>
      <c r="AA37" s="126">
        <v>4177.3999999999996</v>
      </c>
      <c r="AB37" s="126"/>
      <c r="AC37" s="122">
        <f t="shared" si="59"/>
        <v>0</v>
      </c>
      <c r="AD37" s="126">
        <v>2232.5</v>
      </c>
      <c r="AE37" s="126"/>
      <c r="AF37" s="122">
        <f t="shared" si="60"/>
        <v>0</v>
      </c>
      <c r="AG37" s="126">
        <v>2176.1999999999998</v>
      </c>
      <c r="AH37" s="126"/>
      <c r="AI37" s="122">
        <f t="shared" si="14"/>
        <v>0</v>
      </c>
      <c r="AJ37" s="118">
        <v>5126.0931499999997</v>
      </c>
      <c r="AK37" s="118"/>
      <c r="AL37" s="122">
        <f t="shared" si="61"/>
        <v>0</v>
      </c>
      <c r="AM37" s="126">
        <v>4253.375</v>
      </c>
      <c r="AN37" s="126"/>
      <c r="AO37" s="122">
        <f t="shared" si="62"/>
        <v>0</v>
      </c>
      <c r="AP37" s="118">
        <v>7080.1568500000003</v>
      </c>
      <c r="AQ37" s="106"/>
      <c r="AR37" s="106"/>
      <c r="AS37" s="142" t="s">
        <v>421</v>
      </c>
      <c r="AT37" s="143" t="s">
        <v>444</v>
      </c>
      <c r="AU37" s="135">
        <f t="shared" si="8"/>
        <v>10170.125</v>
      </c>
      <c r="AV37" s="135">
        <f t="shared" si="9"/>
        <v>9647.8412800000006</v>
      </c>
      <c r="AW37" s="136">
        <f t="shared" si="29"/>
        <v>0.94864529983653112</v>
      </c>
      <c r="AX37" s="137">
        <f t="shared" si="3"/>
        <v>10170.125</v>
      </c>
      <c r="AY37" s="137">
        <f t="shared" si="4"/>
        <v>12642.349999999999</v>
      </c>
      <c r="AZ37" s="137">
        <f t="shared" si="24"/>
        <v>8586.0999999999985</v>
      </c>
      <c r="BA37" s="137">
        <f t="shared" si="25"/>
        <v>16459.625</v>
      </c>
    </row>
    <row r="38" spans="1:53" ht="18.75" customHeight="1">
      <c r="A38" s="226" t="s">
        <v>361</v>
      </c>
      <c r="B38" s="234" t="s">
        <v>325</v>
      </c>
      <c r="C38" s="235" t="s">
        <v>273</v>
      </c>
      <c r="D38" s="238" t="s">
        <v>285</v>
      </c>
      <c r="E38" s="105" t="s">
        <v>42</v>
      </c>
      <c r="F38" s="118">
        <f t="shared" si="28"/>
        <v>28642.338230000005</v>
      </c>
      <c r="G38" s="118">
        <f t="shared" si="1"/>
        <v>6110.6552300000003</v>
      </c>
      <c r="H38" s="122">
        <f t="shared" si="30"/>
        <v>0.21334344916015605</v>
      </c>
      <c r="I38" s="118">
        <f>SUM(I39:I40)</f>
        <v>1631</v>
      </c>
      <c r="J38" s="118">
        <f>SUM(J39:J40)</f>
        <v>1631</v>
      </c>
      <c r="K38" s="122">
        <f t="shared" si="35"/>
        <v>1</v>
      </c>
      <c r="L38" s="118">
        <f>SUM(L39:L40)</f>
        <v>2617.2552299999998</v>
      </c>
      <c r="M38" s="118">
        <f>SUM(M39:M40)</f>
        <v>2617.2552299999998</v>
      </c>
      <c r="N38" s="122">
        <f t="shared" si="57"/>
        <v>1</v>
      </c>
      <c r="O38" s="118">
        <f>SUM(O39:O40)</f>
        <v>2644.4</v>
      </c>
      <c r="P38" s="118">
        <f>SUM(P39:P40)</f>
        <v>1862.4</v>
      </c>
      <c r="Q38" s="122">
        <f t="shared" si="31"/>
        <v>0.70428074421418851</v>
      </c>
      <c r="R38" s="118">
        <f>SUM(R39:R40)</f>
        <v>3008</v>
      </c>
      <c r="S38" s="118">
        <f>SUM(S39:S40)</f>
        <v>0</v>
      </c>
      <c r="T38" s="122">
        <f t="shared" si="37"/>
        <v>0</v>
      </c>
      <c r="U38" s="118">
        <f t="shared" ref="U38:AR38" si="63">SUM(U39:U40)</f>
        <v>2668</v>
      </c>
      <c r="V38" s="118">
        <f t="shared" si="63"/>
        <v>0</v>
      </c>
      <c r="W38" s="122">
        <f t="shared" ref="W38" si="64">V38/U38</f>
        <v>0</v>
      </c>
      <c r="X38" s="118">
        <f t="shared" si="63"/>
        <v>2808.1</v>
      </c>
      <c r="Y38" s="118">
        <f t="shared" si="63"/>
        <v>0</v>
      </c>
      <c r="Z38" s="122">
        <f t="shared" si="32"/>
        <v>0</v>
      </c>
      <c r="AA38" s="118">
        <f t="shared" si="63"/>
        <v>2798</v>
      </c>
      <c r="AB38" s="118">
        <f t="shared" si="63"/>
        <v>0</v>
      </c>
      <c r="AC38" s="122">
        <f t="shared" si="59"/>
        <v>0</v>
      </c>
      <c r="AD38" s="118">
        <f t="shared" si="63"/>
        <v>1734.4</v>
      </c>
      <c r="AE38" s="118">
        <f t="shared" si="63"/>
        <v>0</v>
      </c>
      <c r="AF38" s="122">
        <f t="shared" si="60"/>
        <v>0</v>
      </c>
      <c r="AG38" s="118">
        <f t="shared" si="63"/>
        <v>1611</v>
      </c>
      <c r="AH38" s="118">
        <f t="shared" si="63"/>
        <v>0</v>
      </c>
      <c r="AI38" s="122">
        <f t="shared" si="14"/>
        <v>0</v>
      </c>
      <c r="AJ38" s="118">
        <f t="shared" si="63"/>
        <v>2296</v>
      </c>
      <c r="AK38" s="118">
        <f t="shared" si="63"/>
        <v>0</v>
      </c>
      <c r="AL38" s="122">
        <f t="shared" si="61"/>
        <v>0</v>
      </c>
      <c r="AM38" s="118">
        <f t="shared" si="63"/>
        <v>1835</v>
      </c>
      <c r="AN38" s="118">
        <f t="shared" si="63"/>
        <v>0</v>
      </c>
      <c r="AO38" s="122">
        <f t="shared" si="62"/>
        <v>0</v>
      </c>
      <c r="AP38" s="118">
        <f t="shared" si="63"/>
        <v>2991.183</v>
      </c>
      <c r="AQ38" s="106">
        <f t="shared" si="63"/>
        <v>0</v>
      </c>
      <c r="AR38" s="106">
        <f t="shared" si="63"/>
        <v>0</v>
      </c>
      <c r="AS38" s="139"/>
      <c r="AT38" s="140"/>
      <c r="AU38" s="135">
        <f t="shared" si="8"/>
        <v>6892.6552300000003</v>
      </c>
      <c r="AV38" s="135">
        <f t="shared" si="9"/>
        <v>6110.6552300000003</v>
      </c>
      <c r="AW38" s="136">
        <f t="shared" si="29"/>
        <v>0.88654589938049178</v>
      </c>
      <c r="AX38" s="137">
        <f t="shared" si="3"/>
        <v>6892.6552300000003</v>
      </c>
      <c r="AY38" s="137">
        <f t="shared" si="4"/>
        <v>8484.1</v>
      </c>
      <c r="AZ38" s="137">
        <f t="shared" si="24"/>
        <v>6143.4</v>
      </c>
      <c r="BA38" s="137">
        <f t="shared" si="25"/>
        <v>7122.183</v>
      </c>
    </row>
    <row r="39" spans="1:53" ht="79.5" customHeight="1">
      <c r="A39" s="226"/>
      <c r="B39" s="234"/>
      <c r="C39" s="236"/>
      <c r="D39" s="239"/>
      <c r="E39" s="105" t="s">
        <v>3</v>
      </c>
      <c r="F39" s="118">
        <f t="shared" si="28"/>
        <v>7226.9</v>
      </c>
      <c r="G39" s="118">
        <f t="shared" si="1"/>
        <v>600</v>
      </c>
      <c r="H39" s="122">
        <f t="shared" si="30"/>
        <v>8.3023149621552814E-2</v>
      </c>
      <c r="I39" s="118"/>
      <c r="J39" s="118"/>
      <c r="K39" s="122"/>
      <c r="L39" s="118">
        <v>600</v>
      </c>
      <c r="M39" s="118">
        <v>600</v>
      </c>
      <c r="N39" s="122">
        <f t="shared" si="57"/>
        <v>1</v>
      </c>
      <c r="O39" s="118">
        <v>782</v>
      </c>
      <c r="P39" s="118">
        <v>0</v>
      </c>
      <c r="Q39" s="122">
        <f t="shared" si="31"/>
        <v>0</v>
      </c>
      <c r="R39" s="118">
        <v>782</v>
      </c>
      <c r="S39" s="118"/>
      <c r="T39" s="122">
        <f t="shared" si="37"/>
        <v>0</v>
      </c>
      <c r="U39" s="126">
        <v>855</v>
      </c>
      <c r="V39" s="126"/>
      <c r="W39" s="122">
        <f>V39/U39</f>
        <v>0</v>
      </c>
      <c r="X39" s="126">
        <v>882</v>
      </c>
      <c r="Y39" s="126"/>
      <c r="Z39" s="122"/>
      <c r="AA39" s="126">
        <v>212</v>
      </c>
      <c r="AB39" s="126">
        <v>0</v>
      </c>
      <c r="AC39" s="122"/>
      <c r="AD39" s="126"/>
      <c r="AE39" s="126">
        <v>0</v>
      </c>
      <c r="AF39" s="122"/>
      <c r="AG39" s="126">
        <v>300</v>
      </c>
      <c r="AH39" s="126"/>
      <c r="AI39" s="122">
        <f t="shared" si="14"/>
        <v>0</v>
      </c>
      <c r="AJ39" s="118">
        <v>700</v>
      </c>
      <c r="AK39" s="118"/>
      <c r="AL39" s="122">
        <f t="shared" si="61"/>
        <v>0</v>
      </c>
      <c r="AM39" s="126">
        <v>882</v>
      </c>
      <c r="AN39" s="126"/>
      <c r="AO39" s="122">
        <f t="shared" si="62"/>
        <v>0</v>
      </c>
      <c r="AP39" s="118">
        <v>1231.9000000000001</v>
      </c>
      <c r="AQ39" s="106"/>
      <c r="AR39" s="106"/>
      <c r="AS39" s="142" t="s">
        <v>422</v>
      </c>
      <c r="AT39" s="143" t="s">
        <v>447</v>
      </c>
      <c r="AU39" s="135">
        <f t="shared" si="8"/>
        <v>1382</v>
      </c>
      <c r="AV39" s="135">
        <f t="shared" si="9"/>
        <v>600</v>
      </c>
      <c r="AW39" s="136">
        <f t="shared" si="29"/>
        <v>0.43415340086830678</v>
      </c>
      <c r="AX39" s="137">
        <f t="shared" si="3"/>
        <v>1382</v>
      </c>
      <c r="AY39" s="137">
        <f t="shared" si="4"/>
        <v>2519</v>
      </c>
      <c r="AZ39" s="137">
        <f t="shared" si="24"/>
        <v>512</v>
      </c>
      <c r="BA39" s="137">
        <f t="shared" si="25"/>
        <v>2813.9</v>
      </c>
    </row>
    <row r="40" spans="1:53" ht="47.25" customHeight="1">
      <c r="A40" s="226"/>
      <c r="B40" s="234"/>
      <c r="C40" s="237"/>
      <c r="D40" s="240"/>
      <c r="E40" s="105" t="s">
        <v>44</v>
      </c>
      <c r="F40" s="118">
        <f t="shared" si="28"/>
        <v>21415.43823</v>
      </c>
      <c r="G40" s="118">
        <f t="shared" si="1"/>
        <v>5510.6552300000003</v>
      </c>
      <c r="H40" s="122">
        <f t="shared" si="30"/>
        <v>0.25732161867602371</v>
      </c>
      <c r="I40" s="118">
        <f>1631</f>
        <v>1631</v>
      </c>
      <c r="J40" s="118">
        <f>1631</f>
        <v>1631</v>
      </c>
      <c r="K40" s="122">
        <f t="shared" si="35"/>
        <v>1</v>
      </c>
      <c r="L40" s="118">
        <f>2361-343.74477</f>
        <v>2017.25523</v>
      </c>
      <c r="M40" s="118">
        <v>2017.25523</v>
      </c>
      <c r="N40" s="122">
        <f t="shared" si="57"/>
        <v>1</v>
      </c>
      <c r="O40" s="118">
        <f>1862.4</f>
        <v>1862.4</v>
      </c>
      <c r="P40" s="118">
        <v>1862.4</v>
      </c>
      <c r="Q40" s="122">
        <f t="shared" si="31"/>
        <v>1</v>
      </c>
      <c r="R40" s="118">
        <f>2226</f>
        <v>2226</v>
      </c>
      <c r="S40" s="118"/>
      <c r="T40" s="122">
        <f t="shared" si="37"/>
        <v>0</v>
      </c>
      <c r="U40" s="126">
        <f>1813</f>
        <v>1813</v>
      </c>
      <c r="V40" s="126"/>
      <c r="W40" s="122">
        <f t="shared" ref="W40" si="65">V40/U40</f>
        <v>0</v>
      </c>
      <c r="X40" s="126">
        <f>1926.1</f>
        <v>1926.1</v>
      </c>
      <c r="Y40" s="126"/>
      <c r="Z40" s="122">
        <f t="shared" si="32"/>
        <v>0</v>
      </c>
      <c r="AA40" s="126">
        <f>2586</f>
        <v>2586</v>
      </c>
      <c r="AB40" s="126"/>
      <c r="AC40" s="122">
        <f t="shared" si="59"/>
        <v>0</v>
      </c>
      <c r="AD40" s="126">
        <f>1734.4</f>
        <v>1734.4</v>
      </c>
      <c r="AE40" s="126"/>
      <c r="AF40" s="122">
        <f t="shared" si="60"/>
        <v>0</v>
      </c>
      <c r="AG40" s="126">
        <f>1311</f>
        <v>1311</v>
      </c>
      <c r="AH40" s="126"/>
      <c r="AI40" s="122">
        <f t="shared" si="14"/>
        <v>0</v>
      </c>
      <c r="AJ40" s="118">
        <f>1596</f>
        <v>1596</v>
      </c>
      <c r="AK40" s="118"/>
      <c r="AL40" s="122">
        <f t="shared" si="61"/>
        <v>0</v>
      </c>
      <c r="AM40" s="126">
        <f>953</f>
        <v>953</v>
      </c>
      <c r="AN40" s="126"/>
      <c r="AO40" s="122">
        <f t="shared" si="62"/>
        <v>0</v>
      </c>
      <c r="AP40" s="118">
        <f>1759.283</f>
        <v>1759.2829999999999</v>
      </c>
      <c r="AQ40" s="106"/>
      <c r="AR40" s="106"/>
      <c r="AS40" s="142" t="s">
        <v>423</v>
      </c>
      <c r="AT40" s="143"/>
      <c r="AU40" s="135">
        <f t="shared" si="8"/>
        <v>5510.6552300000003</v>
      </c>
      <c r="AV40" s="135">
        <f t="shared" si="9"/>
        <v>5510.6552300000003</v>
      </c>
      <c r="AW40" s="136">
        <f t="shared" si="29"/>
        <v>1</v>
      </c>
      <c r="AX40" s="137">
        <f t="shared" si="3"/>
        <v>5510.6552300000003</v>
      </c>
      <c r="AY40" s="137">
        <f t="shared" si="4"/>
        <v>5965.1</v>
      </c>
      <c r="AZ40" s="137">
        <f t="shared" si="24"/>
        <v>5631.4</v>
      </c>
      <c r="BA40" s="137">
        <f t="shared" si="25"/>
        <v>4308.2829999999994</v>
      </c>
    </row>
    <row r="41" spans="1:53" ht="16.5" customHeight="1">
      <c r="A41" s="127" t="s">
        <v>4</v>
      </c>
      <c r="B41" s="244" t="s">
        <v>299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6"/>
      <c r="AU41" s="135">
        <f t="shared" si="8"/>
        <v>0</v>
      </c>
      <c r="AV41" s="135">
        <f t="shared" si="9"/>
        <v>0</v>
      </c>
      <c r="AW41" s="136"/>
      <c r="AX41" s="137"/>
      <c r="AY41" s="137"/>
      <c r="AZ41" s="137"/>
      <c r="BA41" s="137"/>
    </row>
    <row r="42" spans="1:53" ht="16.5" customHeight="1">
      <c r="A42" s="185" t="s">
        <v>258</v>
      </c>
      <c r="B42" s="247" t="s">
        <v>293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9"/>
      <c r="AU42" s="135">
        <f t="shared" si="8"/>
        <v>0</v>
      </c>
      <c r="AV42" s="135">
        <f t="shared" si="9"/>
        <v>0</v>
      </c>
      <c r="AW42" s="136"/>
      <c r="AX42" s="137"/>
      <c r="AY42" s="137"/>
      <c r="AZ42" s="137"/>
      <c r="BA42" s="137"/>
    </row>
    <row r="43" spans="1:53" ht="18" customHeight="1">
      <c r="A43" s="226" t="s">
        <v>258</v>
      </c>
      <c r="B43" s="250" t="s">
        <v>326</v>
      </c>
      <c r="C43" s="251" t="s">
        <v>270</v>
      </c>
      <c r="D43" s="238" t="s">
        <v>395</v>
      </c>
      <c r="E43" s="256" t="s">
        <v>385</v>
      </c>
      <c r="F43" s="259"/>
      <c r="G43" s="259"/>
      <c r="H43" s="262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106">
        <f>SUM(AQ44:AQ45)</f>
        <v>0</v>
      </c>
      <c r="AR43" s="106">
        <f>SUM(AR44:AR45)</f>
        <v>0</v>
      </c>
      <c r="AS43" s="120"/>
      <c r="AT43" s="268"/>
      <c r="AU43" s="135">
        <f t="shared" si="8"/>
        <v>0</v>
      </c>
      <c r="AV43" s="135">
        <f t="shared" si="9"/>
        <v>0</v>
      </c>
      <c r="AW43" s="136"/>
      <c r="AX43" s="137"/>
      <c r="AY43" s="137"/>
      <c r="AZ43" s="137"/>
      <c r="BA43" s="137"/>
    </row>
    <row r="44" spans="1:53" ht="18.75">
      <c r="A44" s="226"/>
      <c r="B44" s="250"/>
      <c r="C44" s="252"/>
      <c r="D44" s="239"/>
      <c r="E44" s="257"/>
      <c r="F44" s="260"/>
      <c r="G44" s="260"/>
      <c r="H44" s="263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106"/>
      <c r="AR44" s="106"/>
      <c r="AS44" s="121"/>
      <c r="AT44" s="269"/>
      <c r="AU44" s="135">
        <f t="shared" si="8"/>
        <v>0</v>
      </c>
      <c r="AV44" s="135">
        <f t="shared" si="9"/>
        <v>0</v>
      </c>
      <c r="AW44" s="136"/>
      <c r="AX44" s="137"/>
      <c r="AY44" s="137"/>
      <c r="AZ44" s="137"/>
      <c r="BA44" s="137"/>
    </row>
    <row r="45" spans="1:53" ht="18.75">
      <c r="A45" s="226"/>
      <c r="B45" s="250"/>
      <c r="C45" s="253"/>
      <c r="D45" s="240"/>
      <c r="E45" s="258"/>
      <c r="F45" s="261"/>
      <c r="G45" s="261"/>
      <c r="H45" s="264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106"/>
      <c r="AR45" s="106"/>
      <c r="AS45" s="121"/>
      <c r="AT45" s="269"/>
      <c r="AU45" s="135">
        <f t="shared" si="8"/>
        <v>0</v>
      </c>
      <c r="AV45" s="135">
        <f t="shared" si="9"/>
        <v>0</v>
      </c>
      <c r="AW45" s="136"/>
      <c r="AX45" s="137"/>
      <c r="AY45" s="137"/>
      <c r="AZ45" s="137"/>
      <c r="BA45" s="137"/>
    </row>
    <row r="46" spans="1:53" ht="18.75">
      <c r="A46" s="127" t="s">
        <v>5</v>
      </c>
      <c r="B46" s="244" t="s">
        <v>300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6"/>
      <c r="AU46" s="135">
        <f t="shared" si="8"/>
        <v>0</v>
      </c>
      <c r="AV46" s="135">
        <f t="shared" si="9"/>
        <v>0</v>
      </c>
      <c r="AW46" s="136"/>
      <c r="AX46" s="137"/>
      <c r="AY46" s="137"/>
      <c r="AZ46" s="137"/>
      <c r="BA46" s="137"/>
    </row>
    <row r="47" spans="1:53" ht="18.75">
      <c r="A47" s="185" t="s">
        <v>260</v>
      </c>
      <c r="B47" s="247" t="s">
        <v>293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9"/>
      <c r="AU47" s="135">
        <f t="shared" si="8"/>
        <v>0</v>
      </c>
      <c r="AV47" s="135">
        <f t="shared" si="9"/>
        <v>0</v>
      </c>
      <c r="AW47" s="136"/>
      <c r="AX47" s="137"/>
      <c r="AY47" s="137"/>
      <c r="AZ47" s="137"/>
      <c r="BA47" s="137"/>
    </row>
    <row r="48" spans="1:53" ht="21.75" customHeight="1">
      <c r="A48" s="226" t="s">
        <v>260</v>
      </c>
      <c r="B48" s="250" t="s">
        <v>327</v>
      </c>
      <c r="C48" s="235" t="s">
        <v>271</v>
      </c>
      <c r="D48" s="238" t="s">
        <v>286</v>
      </c>
      <c r="E48" s="105" t="s">
        <v>42</v>
      </c>
      <c r="F48" s="118">
        <f t="shared" ref="F48:G53" si="66">I48+L48+O48+R48+U48+X48+AA48+AD48+AG48+AJ48+AM48+AP48</f>
        <v>1059.3619999999999</v>
      </c>
      <c r="G48" s="118">
        <f t="shared" si="66"/>
        <v>490.49</v>
      </c>
      <c r="H48" s="122">
        <f t="shared" si="30"/>
        <v>0.46300509174389876</v>
      </c>
      <c r="I48" s="118">
        <f>SUM(I49:I50)</f>
        <v>0</v>
      </c>
      <c r="J48" s="118">
        <f>SUM(J49:J50)</f>
        <v>0</v>
      </c>
      <c r="K48" s="122"/>
      <c r="L48" s="118">
        <f>SUM(L49:L50)</f>
        <v>148.69999999999999</v>
      </c>
      <c r="M48" s="118">
        <f>SUM(M49:M50)</f>
        <v>148.69999999999999</v>
      </c>
      <c r="N48" s="122">
        <f t="shared" ref="N48:N49" si="67">M48/L48</f>
        <v>1</v>
      </c>
      <c r="O48" s="118">
        <f>SUM(O49:O50)</f>
        <v>341.79</v>
      </c>
      <c r="P48" s="118">
        <f>SUM(P49:P50)</f>
        <v>341.79</v>
      </c>
      <c r="Q48" s="122">
        <f t="shared" ref="Q48:Q49" si="68">P48/O48</f>
        <v>1</v>
      </c>
      <c r="R48" s="118">
        <f>SUM(R49:R50)</f>
        <v>95.82</v>
      </c>
      <c r="S48" s="118">
        <f>SUM(S49:S50)</f>
        <v>0</v>
      </c>
      <c r="T48" s="122"/>
      <c r="U48" s="118">
        <f t="shared" ref="U48:AR48" si="69">SUM(U49:U50)</f>
        <v>362.35199999999998</v>
      </c>
      <c r="V48" s="118">
        <f t="shared" si="69"/>
        <v>0</v>
      </c>
      <c r="W48" s="122">
        <f t="shared" ref="W48" si="70">V48/U48</f>
        <v>0</v>
      </c>
      <c r="X48" s="118">
        <f t="shared" si="69"/>
        <v>0</v>
      </c>
      <c r="Y48" s="118">
        <f t="shared" si="69"/>
        <v>0</v>
      </c>
      <c r="Z48" s="122"/>
      <c r="AA48" s="118">
        <f t="shared" si="69"/>
        <v>110.7</v>
      </c>
      <c r="AB48" s="118">
        <f t="shared" si="69"/>
        <v>0</v>
      </c>
      <c r="AC48" s="118">
        <f t="shared" si="69"/>
        <v>0</v>
      </c>
      <c r="AD48" s="118">
        <f t="shared" si="69"/>
        <v>0</v>
      </c>
      <c r="AE48" s="118">
        <f t="shared" si="69"/>
        <v>0</v>
      </c>
      <c r="AF48" s="118">
        <f t="shared" si="69"/>
        <v>0</v>
      </c>
      <c r="AG48" s="118">
        <f t="shared" si="69"/>
        <v>0</v>
      </c>
      <c r="AH48" s="118">
        <f t="shared" si="69"/>
        <v>0</v>
      </c>
      <c r="AI48" s="118">
        <f t="shared" si="69"/>
        <v>0</v>
      </c>
      <c r="AJ48" s="118">
        <f t="shared" si="69"/>
        <v>0</v>
      </c>
      <c r="AK48" s="118">
        <f t="shared" si="69"/>
        <v>0</v>
      </c>
      <c r="AL48" s="122" t="e">
        <f t="shared" ref="AL48" si="71">AK48/AJ48</f>
        <v>#DIV/0!</v>
      </c>
      <c r="AM48" s="118">
        <f t="shared" si="69"/>
        <v>0</v>
      </c>
      <c r="AN48" s="118">
        <f t="shared" si="69"/>
        <v>0</v>
      </c>
      <c r="AO48" s="118">
        <f t="shared" si="69"/>
        <v>0</v>
      </c>
      <c r="AP48" s="118">
        <f t="shared" si="69"/>
        <v>0</v>
      </c>
      <c r="AQ48" s="106">
        <f t="shared" si="69"/>
        <v>0</v>
      </c>
      <c r="AR48" s="106">
        <f t="shared" si="69"/>
        <v>0</v>
      </c>
      <c r="AS48" s="147"/>
      <c r="AT48" s="143"/>
      <c r="AU48" s="135">
        <f t="shared" si="8"/>
        <v>490.49</v>
      </c>
      <c r="AV48" s="135">
        <f t="shared" si="9"/>
        <v>490.49</v>
      </c>
      <c r="AW48" s="136">
        <f t="shared" si="29"/>
        <v>1</v>
      </c>
      <c r="AX48" s="137">
        <f t="shared" si="3"/>
        <v>490.49</v>
      </c>
      <c r="AY48" s="137">
        <f t="shared" si="4"/>
        <v>458.17199999999997</v>
      </c>
      <c r="AZ48" s="137">
        <f t="shared" si="24"/>
        <v>110.7</v>
      </c>
      <c r="BA48" s="137">
        <f t="shared" si="25"/>
        <v>0</v>
      </c>
    </row>
    <row r="49" spans="1:53" ht="39" customHeight="1">
      <c r="A49" s="226"/>
      <c r="B49" s="250"/>
      <c r="C49" s="236"/>
      <c r="D49" s="239"/>
      <c r="E49" s="105" t="s">
        <v>3</v>
      </c>
      <c r="F49" s="118">
        <f t="shared" si="66"/>
        <v>968.87199999999996</v>
      </c>
      <c r="G49" s="118">
        <f t="shared" si="66"/>
        <v>450</v>
      </c>
      <c r="H49" s="122">
        <f t="shared" si="30"/>
        <v>0.46445763733496276</v>
      </c>
      <c r="I49" s="118"/>
      <c r="J49" s="118"/>
      <c r="K49" s="122"/>
      <c r="L49" s="118">
        <v>148.69999999999999</v>
      </c>
      <c r="M49" s="118">
        <v>148.69999999999999</v>
      </c>
      <c r="N49" s="122">
        <f t="shared" si="67"/>
        <v>1</v>
      </c>
      <c r="O49" s="118">
        <v>301.3</v>
      </c>
      <c r="P49" s="118">
        <v>301.3</v>
      </c>
      <c r="Q49" s="122">
        <f t="shared" si="68"/>
        <v>1</v>
      </c>
      <c r="R49" s="118">
        <v>95.82</v>
      </c>
      <c r="S49" s="118"/>
      <c r="T49" s="122"/>
      <c r="U49" s="126">
        <f>66.18+246.172</f>
        <v>312.35199999999998</v>
      </c>
      <c r="V49" s="126"/>
      <c r="W49" s="122"/>
      <c r="X49" s="126"/>
      <c r="Y49" s="126"/>
      <c r="Z49" s="122"/>
      <c r="AA49" s="126">
        <v>110.7</v>
      </c>
      <c r="AB49" s="126"/>
      <c r="AC49" s="126"/>
      <c r="AD49" s="126"/>
      <c r="AE49" s="126"/>
      <c r="AF49" s="126"/>
      <c r="AG49" s="126"/>
      <c r="AH49" s="126"/>
      <c r="AI49" s="126"/>
      <c r="AJ49" s="118"/>
      <c r="AK49" s="118"/>
      <c r="AL49" s="118"/>
      <c r="AM49" s="126"/>
      <c r="AN49" s="126"/>
      <c r="AO49" s="126"/>
      <c r="AP49" s="118"/>
      <c r="AQ49" s="106"/>
      <c r="AR49" s="106"/>
      <c r="AS49" s="147" t="s">
        <v>441</v>
      </c>
      <c r="AT49" s="143"/>
      <c r="AU49" s="135">
        <f t="shared" si="8"/>
        <v>450</v>
      </c>
      <c r="AV49" s="135">
        <f t="shared" si="9"/>
        <v>450</v>
      </c>
      <c r="AW49" s="136">
        <f t="shared" si="29"/>
        <v>1</v>
      </c>
      <c r="AX49" s="137">
        <f t="shared" si="3"/>
        <v>450</v>
      </c>
      <c r="AY49" s="137">
        <f t="shared" si="4"/>
        <v>408.17199999999997</v>
      </c>
      <c r="AZ49" s="137">
        <f t="shared" si="24"/>
        <v>110.7</v>
      </c>
      <c r="BA49" s="137">
        <f t="shared" si="25"/>
        <v>0</v>
      </c>
    </row>
    <row r="50" spans="1:53" ht="48" customHeight="1">
      <c r="A50" s="226"/>
      <c r="B50" s="250"/>
      <c r="C50" s="237"/>
      <c r="D50" s="240"/>
      <c r="E50" s="105" t="s">
        <v>44</v>
      </c>
      <c r="F50" s="118">
        <f t="shared" si="66"/>
        <v>90.490000000000009</v>
      </c>
      <c r="G50" s="118">
        <f t="shared" si="66"/>
        <v>40.49</v>
      </c>
      <c r="H50" s="122">
        <f t="shared" ref="H50" si="72">G50/F50</f>
        <v>0.44745275721074151</v>
      </c>
      <c r="I50" s="118"/>
      <c r="J50" s="118"/>
      <c r="K50" s="122"/>
      <c r="L50" s="118"/>
      <c r="M50" s="118"/>
      <c r="N50" s="122"/>
      <c r="O50" s="118">
        <v>40.49</v>
      </c>
      <c r="P50" s="118">
        <v>40.49</v>
      </c>
      <c r="Q50" s="122">
        <f t="shared" ref="Q50" si="73">P50/O50</f>
        <v>1</v>
      </c>
      <c r="R50" s="118"/>
      <c r="S50" s="118"/>
      <c r="T50" s="122"/>
      <c r="U50" s="126">
        <v>50</v>
      </c>
      <c r="V50" s="126"/>
      <c r="W50" s="122">
        <f t="shared" ref="W50" si="74">V50/U50</f>
        <v>0</v>
      </c>
      <c r="X50" s="126"/>
      <c r="Y50" s="126"/>
      <c r="Z50" s="122"/>
      <c r="AA50" s="126"/>
      <c r="AB50" s="126"/>
      <c r="AC50" s="126"/>
      <c r="AD50" s="126"/>
      <c r="AE50" s="126"/>
      <c r="AF50" s="126"/>
      <c r="AG50" s="126"/>
      <c r="AH50" s="126"/>
      <c r="AI50" s="126"/>
      <c r="AJ50" s="118"/>
      <c r="AK50" s="118"/>
      <c r="AL50" s="122" t="e">
        <f t="shared" ref="AL50" si="75">AK50/AJ50</f>
        <v>#DIV/0!</v>
      </c>
      <c r="AM50" s="126"/>
      <c r="AN50" s="126"/>
      <c r="AO50" s="126"/>
      <c r="AP50" s="118"/>
      <c r="AQ50" s="106"/>
      <c r="AR50" s="106"/>
      <c r="AS50" s="143" t="s">
        <v>424</v>
      </c>
      <c r="AT50" s="143"/>
      <c r="AU50" s="135">
        <f t="shared" si="8"/>
        <v>40.49</v>
      </c>
      <c r="AV50" s="135">
        <f t="shared" si="9"/>
        <v>40.49</v>
      </c>
      <c r="AW50" s="136">
        <f t="shared" si="29"/>
        <v>1</v>
      </c>
      <c r="AX50" s="137">
        <f t="shared" si="3"/>
        <v>40.49</v>
      </c>
      <c r="AY50" s="137">
        <f t="shared" si="4"/>
        <v>50</v>
      </c>
      <c r="AZ50" s="137">
        <f t="shared" si="24"/>
        <v>0</v>
      </c>
      <c r="BA50" s="137">
        <f t="shared" si="25"/>
        <v>0</v>
      </c>
    </row>
    <row r="51" spans="1:53" ht="21" customHeight="1">
      <c r="A51" s="226" t="s">
        <v>261</v>
      </c>
      <c r="B51" s="250" t="s">
        <v>328</v>
      </c>
      <c r="C51" s="235" t="s">
        <v>271</v>
      </c>
      <c r="D51" s="238" t="s">
        <v>286</v>
      </c>
      <c r="E51" s="105" t="s">
        <v>42</v>
      </c>
      <c r="F51" s="118">
        <f t="shared" si="66"/>
        <v>0</v>
      </c>
      <c r="G51" s="118">
        <f t="shared" si="66"/>
        <v>0</v>
      </c>
      <c r="H51" s="122"/>
      <c r="I51" s="118">
        <f>SUM(I52:I53)</f>
        <v>0</v>
      </c>
      <c r="J51" s="118">
        <f>SUM(J52:J53)</f>
        <v>0</v>
      </c>
      <c r="K51" s="122"/>
      <c r="L51" s="118">
        <f>SUM(L52:L53)</f>
        <v>0</v>
      </c>
      <c r="M51" s="118">
        <f>SUM(M52:M53)</f>
        <v>0</v>
      </c>
      <c r="N51" s="122"/>
      <c r="O51" s="118">
        <f>SUM(O52:O53)</f>
        <v>0</v>
      </c>
      <c r="P51" s="118">
        <f>SUM(P52:P53)</f>
        <v>0</v>
      </c>
      <c r="Q51" s="122"/>
      <c r="R51" s="118">
        <f>SUM(R52:R53)</f>
        <v>0</v>
      </c>
      <c r="S51" s="118">
        <f>SUM(S52:S53)</f>
        <v>0</v>
      </c>
      <c r="T51" s="122"/>
      <c r="U51" s="118">
        <f t="shared" ref="U51:AR51" si="76">SUM(U52:U53)</f>
        <v>0</v>
      </c>
      <c r="V51" s="118">
        <f t="shared" si="76"/>
        <v>0</v>
      </c>
      <c r="W51" s="118">
        <f t="shared" si="76"/>
        <v>0</v>
      </c>
      <c r="X51" s="118">
        <f t="shared" si="76"/>
        <v>0</v>
      </c>
      <c r="Y51" s="118">
        <f t="shared" si="76"/>
        <v>0</v>
      </c>
      <c r="Z51" s="118"/>
      <c r="AA51" s="118">
        <f t="shared" si="76"/>
        <v>0</v>
      </c>
      <c r="AB51" s="118">
        <f t="shared" si="76"/>
        <v>0</v>
      </c>
      <c r="AC51" s="118">
        <f t="shared" si="76"/>
        <v>0</v>
      </c>
      <c r="AD51" s="118">
        <f t="shared" si="76"/>
        <v>0</v>
      </c>
      <c r="AE51" s="118">
        <f t="shared" si="76"/>
        <v>0</v>
      </c>
      <c r="AF51" s="118">
        <f t="shared" si="76"/>
        <v>0</v>
      </c>
      <c r="AG51" s="118">
        <f t="shared" si="76"/>
        <v>0</v>
      </c>
      <c r="AH51" s="118">
        <f t="shared" si="76"/>
        <v>0</v>
      </c>
      <c r="AI51" s="118">
        <f t="shared" si="76"/>
        <v>0</v>
      </c>
      <c r="AJ51" s="118">
        <f t="shared" si="76"/>
        <v>0</v>
      </c>
      <c r="AK51" s="118">
        <f t="shared" si="76"/>
        <v>0</v>
      </c>
      <c r="AL51" s="118">
        <f t="shared" si="76"/>
        <v>0</v>
      </c>
      <c r="AM51" s="118">
        <f t="shared" si="76"/>
        <v>0</v>
      </c>
      <c r="AN51" s="118">
        <f t="shared" si="76"/>
        <v>0</v>
      </c>
      <c r="AO51" s="118">
        <f t="shared" si="76"/>
        <v>0</v>
      </c>
      <c r="AP51" s="118">
        <f t="shared" si="76"/>
        <v>0</v>
      </c>
      <c r="AQ51" s="106">
        <f t="shared" si="76"/>
        <v>0</v>
      </c>
      <c r="AR51" s="106">
        <f t="shared" si="76"/>
        <v>0</v>
      </c>
      <c r="AS51" s="147"/>
      <c r="AT51" s="143"/>
      <c r="AU51" s="135">
        <f t="shared" si="8"/>
        <v>0</v>
      </c>
      <c r="AV51" s="135">
        <f t="shared" si="9"/>
        <v>0</v>
      </c>
      <c r="AW51" s="136"/>
      <c r="AX51" s="137">
        <f t="shared" si="3"/>
        <v>0</v>
      </c>
      <c r="AY51" s="137">
        <f t="shared" si="4"/>
        <v>0</v>
      </c>
      <c r="AZ51" s="137">
        <f t="shared" si="24"/>
        <v>0</v>
      </c>
      <c r="BA51" s="137">
        <f t="shared" si="25"/>
        <v>0</v>
      </c>
    </row>
    <row r="52" spans="1:53" ht="18.75" customHeight="1">
      <c r="A52" s="226"/>
      <c r="B52" s="250"/>
      <c r="C52" s="236"/>
      <c r="D52" s="239"/>
      <c r="E52" s="105" t="s">
        <v>3</v>
      </c>
      <c r="F52" s="118">
        <f t="shared" si="66"/>
        <v>0</v>
      </c>
      <c r="G52" s="118">
        <f t="shared" si="66"/>
        <v>0</v>
      </c>
      <c r="H52" s="122"/>
      <c r="I52" s="118"/>
      <c r="J52" s="118"/>
      <c r="K52" s="122"/>
      <c r="L52" s="118"/>
      <c r="M52" s="118"/>
      <c r="N52" s="122"/>
      <c r="O52" s="118"/>
      <c r="P52" s="118"/>
      <c r="Q52" s="122"/>
      <c r="R52" s="118"/>
      <c r="S52" s="118"/>
      <c r="T52" s="122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18"/>
      <c r="AK52" s="118"/>
      <c r="AL52" s="118"/>
      <c r="AM52" s="126"/>
      <c r="AN52" s="126"/>
      <c r="AO52" s="126"/>
      <c r="AP52" s="118"/>
      <c r="AQ52" s="106"/>
      <c r="AR52" s="106"/>
      <c r="AS52" s="147"/>
      <c r="AT52" s="143"/>
      <c r="AU52" s="135">
        <f t="shared" si="8"/>
        <v>0</v>
      </c>
      <c r="AV52" s="135">
        <f t="shared" si="9"/>
        <v>0</v>
      </c>
      <c r="AW52" s="136"/>
      <c r="AX52" s="137">
        <f t="shared" si="3"/>
        <v>0</v>
      </c>
      <c r="AY52" s="137">
        <f t="shared" si="4"/>
        <v>0</v>
      </c>
      <c r="AZ52" s="137">
        <f t="shared" si="24"/>
        <v>0</v>
      </c>
      <c r="BA52" s="137">
        <f t="shared" si="25"/>
        <v>0</v>
      </c>
    </row>
    <row r="53" spans="1:53" ht="19.5" customHeight="1">
      <c r="A53" s="226"/>
      <c r="B53" s="250"/>
      <c r="C53" s="237"/>
      <c r="D53" s="240"/>
      <c r="E53" s="105" t="s">
        <v>44</v>
      </c>
      <c r="F53" s="118">
        <f t="shared" si="66"/>
        <v>0</v>
      </c>
      <c r="G53" s="118">
        <f t="shared" si="66"/>
        <v>0</v>
      </c>
      <c r="H53" s="122"/>
      <c r="I53" s="118"/>
      <c r="J53" s="118"/>
      <c r="K53" s="122"/>
      <c r="L53" s="118"/>
      <c r="M53" s="118"/>
      <c r="N53" s="122"/>
      <c r="O53" s="118"/>
      <c r="P53" s="118"/>
      <c r="Q53" s="122"/>
      <c r="R53" s="118"/>
      <c r="S53" s="118"/>
      <c r="T53" s="122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18"/>
      <c r="AK53" s="118"/>
      <c r="AL53" s="118"/>
      <c r="AM53" s="126"/>
      <c r="AN53" s="126"/>
      <c r="AO53" s="126"/>
      <c r="AP53" s="118"/>
      <c r="AQ53" s="106"/>
      <c r="AR53" s="106"/>
      <c r="AS53" s="147"/>
      <c r="AT53" s="143"/>
      <c r="AU53" s="135">
        <f t="shared" si="8"/>
        <v>0</v>
      </c>
      <c r="AV53" s="135">
        <f t="shared" si="9"/>
        <v>0</v>
      </c>
      <c r="AW53" s="136"/>
      <c r="AX53" s="137">
        <f t="shared" si="3"/>
        <v>0</v>
      </c>
      <c r="AY53" s="137">
        <f t="shared" si="4"/>
        <v>0</v>
      </c>
      <c r="AZ53" s="137">
        <f t="shared" si="24"/>
        <v>0</v>
      </c>
      <c r="BA53" s="137">
        <f t="shared" si="25"/>
        <v>0</v>
      </c>
    </row>
    <row r="54" spans="1:53" ht="17.25" customHeight="1">
      <c r="A54" s="127" t="s">
        <v>6</v>
      </c>
      <c r="B54" s="244" t="s">
        <v>301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6"/>
      <c r="AU54" s="135">
        <f t="shared" si="8"/>
        <v>0</v>
      </c>
      <c r="AV54" s="135">
        <f t="shared" si="9"/>
        <v>0</v>
      </c>
      <c r="AW54" s="136"/>
      <c r="AX54" s="137"/>
      <c r="AY54" s="137"/>
      <c r="AZ54" s="137"/>
      <c r="BA54" s="137"/>
    </row>
    <row r="55" spans="1:53" ht="17.25" customHeight="1">
      <c r="A55" s="185" t="s">
        <v>302</v>
      </c>
      <c r="B55" s="247" t="s">
        <v>303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9"/>
      <c r="AU55" s="135">
        <f t="shared" si="8"/>
        <v>0</v>
      </c>
      <c r="AV55" s="135">
        <f t="shared" si="9"/>
        <v>0</v>
      </c>
      <c r="AW55" s="136"/>
      <c r="AX55" s="137"/>
      <c r="AY55" s="137"/>
      <c r="AZ55" s="137"/>
      <c r="BA55" s="137"/>
    </row>
    <row r="56" spans="1:53" ht="20.25" customHeight="1">
      <c r="A56" s="226" t="s">
        <v>363</v>
      </c>
      <c r="B56" s="250" t="s">
        <v>329</v>
      </c>
      <c r="C56" s="235" t="s">
        <v>270</v>
      </c>
      <c r="D56" s="241" t="s">
        <v>284</v>
      </c>
      <c r="E56" s="105" t="s">
        <v>42</v>
      </c>
      <c r="F56" s="118">
        <f t="shared" ref="F56:G70" si="77">I56+L56+O56+R56+U56+X56+AA56+AD56+AG56+AJ56+AM56+AP56</f>
        <v>0</v>
      </c>
      <c r="G56" s="118">
        <f t="shared" si="77"/>
        <v>0</v>
      </c>
      <c r="H56" s="122"/>
      <c r="I56" s="117">
        <f>SUM(I57:I58)</f>
        <v>0</v>
      </c>
      <c r="J56" s="117">
        <f>SUM(J57:J58)</f>
        <v>0</v>
      </c>
      <c r="K56" s="106">
        <f>SUM(K57:K58)</f>
        <v>0</v>
      </c>
      <c r="L56" s="118">
        <f>SUM(L57:L58)</f>
        <v>0</v>
      </c>
      <c r="M56" s="118">
        <f>SUM(M57:M58)</f>
        <v>0</v>
      </c>
      <c r="N56" s="122"/>
      <c r="O56" s="118">
        <f>SUM(O57:O58)</f>
        <v>0</v>
      </c>
      <c r="P56" s="118">
        <f>SUM(P57:P58)</f>
        <v>0</v>
      </c>
      <c r="Q56" s="122"/>
      <c r="R56" s="118">
        <f>SUM(R57:R58)</f>
        <v>0</v>
      </c>
      <c r="S56" s="118">
        <f>SUM(S57:S58)</f>
        <v>0</v>
      </c>
      <c r="T56" s="122"/>
      <c r="U56" s="118">
        <f t="shared" ref="U56:AR56" si="78">SUM(U57:U58)</f>
        <v>0</v>
      </c>
      <c r="V56" s="118">
        <f t="shared" si="78"/>
        <v>0</v>
      </c>
      <c r="W56" s="118">
        <f t="shared" si="78"/>
        <v>0</v>
      </c>
      <c r="X56" s="118">
        <f t="shared" si="78"/>
        <v>0</v>
      </c>
      <c r="Y56" s="118">
        <f t="shared" si="78"/>
        <v>0</v>
      </c>
      <c r="Z56" s="122" t="e">
        <f t="shared" ref="Z56:Z58" si="79">Y56/X56</f>
        <v>#DIV/0!</v>
      </c>
      <c r="AA56" s="118">
        <f t="shared" si="78"/>
        <v>0</v>
      </c>
      <c r="AB56" s="118">
        <f t="shared" si="78"/>
        <v>0</v>
      </c>
      <c r="AC56" s="118">
        <f t="shared" si="78"/>
        <v>0</v>
      </c>
      <c r="AD56" s="118">
        <f t="shared" si="78"/>
        <v>0</v>
      </c>
      <c r="AE56" s="118">
        <f t="shared" si="78"/>
        <v>0</v>
      </c>
      <c r="AF56" s="118">
        <f t="shared" si="78"/>
        <v>0</v>
      </c>
      <c r="AG56" s="118">
        <f t="shared" si="78"/>
        <v>0</v>
      </c>
      <c r="AH56" s="118">
        <f t="shared" si="78"/>
        <v>0</v>
      </c>
      <c r="AI56" s="118">
        <f t="shared" si="78"/>
        <v>0</v>
      </c>
      <c r="AJ56" s="118">
        <f t="shared" si="78"/>
        <v>0</v>
      </c>
      <c r="AK56" s="118">
        <f t="shared" si="78"/>
        <v>0</v>
      </c>
      <c r="AL56" s="118">
        <f t="shared" si="78"/>
        <v>0</v>
      </c>
      <c r="AM56" s="118">
        <f t="shared" si="78"/>
        <v>0</v>
      </c>
      <c r="AN56" s="118">
        <f t="shared" si="78"/>
        <v>0</v>
      </c>
      <c r="AO56" s="118">
        <f t="shared" si="78"/>
        <v>0</v>
      </c>
      <c r="AP56" s="118">
        <f t="shared" si="78"/>
        <v>0</v>
      </c>
      <c r="AQ56" s="106">
        <f t="shared" si="78"/>
        <v>0</v>
      </c>
      <c r="AR56" s="106">
        <f t="shared" si="78"/>
        <v>0</v>
      </c>
      <c r="AS56" s="139"/>
      <c r="AT56" s="140"/>
      <c r="AU56" s="135">
        <f t="shared" si="8"/>
        <v>0</v>
      </c>
      <c r="AV56" s="135">
        <f t="shared" si="9"/>
        <v>0</v>
      </c>
      <c r="AW56" s="136"/>
      <c r="AX56" s="137">
        <f t="shared" si="3"/>
        <v>0</v>
      </c>
      <c r="AY56" s="137">
        <f t="shared" si="4"/>
        <v>0</v>
      </c>
      <c r="AZ56" s="137">
        <f t="shared" si="24"/>
        <v>0</v>
      </c>
      <c r="BA56" s="137">
        <f t="shared" si="25"/>
        <v>0</v>
      </c>
    </row>
    <row r="57" spans="1:53" ht="20.25" customHeight="1">
      <c r="A57" s="226"/>
      <c r="B57" s="250"/>
      <c r="C57" s="236"/>
      <c r="D57" s="242"/>
      <c r="E57" s="105" t="s">
        <v>3</v>
      </c>
      <c r="F57" s="118">
        <f t="shared" si="77"/>
        <v>0</v>
      </c>
      <c r="G57" s="118">
        <f t="shared" si="77"/>
        <v>0</v>
      </c>
      <c r="H57" s="122"/>
      <c r="I57" s="117"/>
      <c r="J57" s="117"/>
      <c r="K57" s="106"/>
      <c r="L57" s="118"/>
      <c r="M57" s="118"/>
      <c r="N57" s="122"/>
      <c r="O57" s="118"/>
      <c r="P57" s="118"/>
      <c r="Q57" s="122"/>
      <c r="R57" s="118"/>
      <c r="S57" s="118"/>
      <c r="T57" s="122"/>
      <c r="U57" s="126"/>
      <c r="V57" s="126"/>
      <c r="W57" s="126"/>
      <c r="X57" s="126"/>
      <c r="Y57" s="126"/>
      <c r="Z57" s="122"/>
      <c r="AA57" s="126"/>
      <c r="AB57" s="126"/>
      <c r="AC57" s="126"/>
      <c r="AD57" s="126"/>
      <c r="AE57" s="126"/>
      <c r="AF57" s="126"/>
      <c r="AG57" s="126"/>
      <c r="AH57" s="126"/>
      <c r="AI57" s="126"/>
      <c r="AJ57" s="118"/>
      <c r="AK57" s="118"/>
      <c r="AL57" s="118"/>
      <c r="AM57" s="126"/>
      <c r="AN57" s="126"/>
      <c r="AO57" s="126"/>
      <c r="AP57" s="118"/>
      <c r="AQ57" s="106"/>
      <c r="AR57" s="106"/>
      <c r="AS57" s="147"/>
      <c r="AT57" s="143"/>
      <c r="AU57" s="135">
        <f t="shared" si="8"/>
        <v>0</v>
      </c>
      <c r="AV57" s="135">
        <f t="shared" si="9"/>
        <v>0</v>
      </c>
      <c r="AW57" s="136"/>
      <c r="AX57" s="137">
        <f t="shared" si="3"/>
        <v>0</v>
      </c>
      <c r="AY57" s="137">
        <f t="shared" si="4"/>
        <v>0</v>
      </c>
      <c r="AZ57" s="137">
        <f t="shared" si="24"/>
        <v>0</v>
      </c>
      <c r="BA57" s="137">
        <f t="shared" si="25"/>
        <v>0</v>
      </c>
    </row>
    <row r="58" spans="1:53" ht="20.25" customHeight="1">
      <c r="A58" s="226"/>
      <c r="B58" s="250"/>
      <c r="C58" s="237"/>
      <c r="D58" s="243"/>
      <c r="E58" s="105" t="s">
        <v>44</v>
      </c>
      <c r="F58" s="118">
        <f t="shared" si="77"/>
        <v>0</v>
      </c>
      <c r="G58" s="118">
        <f t="shared" si="77"/>
        <v>0</v>
      </c>
      <c r="H58" s="122"/>
      <c r="I58" s="117"/>
      <c r="J58" s="117"/>
      <c r="K58" s="106"/>
      <c r="L58" s="118"/>
      <c r="M58" s="118"/>
      <c r="N58" s="122"/>
      <c r="O58" s="118"/>
      <c r="P58" s="118"/>
      <c r="Q58" s="122"/>
      <c r="R58" s="118"/>
      <c r="S58" s="118"/>
      <c r="T58" s="122"/>
      <c r="U58" s="126"/>
      <c r="V58" s="126"/>
      <c r="W58" s="126"/>
      <c r="X58" s="126"/>
      <c r="Y58" s="126"/>
      <c r="Z58" s="122" t="e">
        <f t="shared" si="79"/>
        <v>#DIV/0!</v>
      </c>
      <c r="AA58" s="126"/>
      <c r="AB58" s="126"/>
      <c r="AC58" s="126"/>
      <c r="AD58" s="126"/>
      <c r="AE58" s="126"/>
      <c r="AF58" s="126"/>
      <c r="AG58" s="126"/>
      <c r="AH58" s="126"/>
      <c r="AI58" s="126"/>
      <c r="AJ58" s="118"/>
      <c r="AK58" s="118"/>
      <c r="AL58" s="118"/>
      <c r="AM58" s="126"/>
      <c r="AN58" s="126"/>
      <c r="AO58" s="126"/>
      <c r="AP58" s="118"/>
      <c r="AQ58" s="106"/>
      <c r="AR58" s="106"/>
      <c r="AS58" s="143"/>
      <c r="AT58" s="143"/>
      <c r="AU58" s="135">
        <f t="shared" si="8"/>
        <v>0</v>
      </c>
      <c r="AV58" s="135">
        <f t="shared" si="9"/>
        <v>0</v>
      </c>
      <c r="AW58" s="136"/>
      <c r="AX58" s="137">
        <f t="shared" si="3"/>
        <v>0</v>
      </c>
      <c r="AY58" s="137">
        <f t="shared" si="4"/>
        <v>0</v>
      </c>
      <c r="AZ58" s="137">
        <f t="shared" si="24"/>
        <v>0</v>
      </c>
      <c r="BA58" s="137">
        <f t="shared" si="25"/>
        <v>0</v>
      </c>
    </row>
    <row r="59" spans="1:53" ht="34.5" customHeight="1">
      <c r="A59" s="226" t="s">
        <v>364</v>
      </c>
      <c r="B59" s="234" t="s">
        <v>330</v>
      </c>
      <c r="C59" s="235" t="s">
        <v>275</v>
      </c>
      <c r="D59" s="238" t="s">
        <v>392</v>
      </c>
      <c r="E59" s="105" t="s">
        <v>42</v>
      </c>
      <c r="F59" s="118">
        <f t="shared" si="77"/>
        <v>128.01</v>
      </c>
      <c r="G59" s="118">
        <f t="shared" si="77"/>
        <v>0</v>
      </c>
      <c r="H59" s="122">
        <f t="shared" ref="H59" si="80">G59/F59</f>
        <v>0</v>
      </c>
      <c r="I59" s="117">
        <f>SUM(I60:I61)</f>
        <v>0</v>
      </c>
      <c r="J59" s="117">
        <f>SUM(J60:J61)</f>
        <v>0</v>
      </c>
      <c r="K59" s="106">
        <f>SUM(K60:K61)</f>
        <v>0</v>
      </c>
      <c r="L59" s="118">
        <f>SUM(L60:L61)</f>
        <v>0</v>
      </c>
      <c r="M59" s="118">
        <f>SUM(M60:M61)</f>
        <v>0</v>
      </c>
      <c r="N59" s="122"/>
      <c r="O59" s="118">
        <f>SUM(O60:O61)</f>
        <v>50</v>
      </c>
      <c r="P59" s="118">
        <f>SUM(P60:P61)</f>
        <v>0</v>
      </c>
      <c r="Q59" s="122">
        <f t="shared" ref="Q59:Q64" si="81">P59/O59</f>
        <v>0</v>
      </c>
      <c r="R59" s="118">
        <f>SUM(R60:R61)</f>
        <v>0</v>
      </c>
      <c r="S59" s="118">
        <f>SUM(S60:S61)</f>
        <v>0</v>
      </c>
      <c r="T59" s="122" t="e">
        <f t="shared" ref="T59" si="82">S59/R59</f>
        <v>#DIV/0!</v>
      </c>
      <c r="U59" s="118">
        <f t="shared" ref="U59:AR59" si="83">SUM(U60:U61)</f>
        <v>0</v>
      </c>
      <c r="V59" s="118">
        <f t="shared" si="83"/>
        <v>0</v>
      </c>
      <c r="W59" s="118">
        <f t="shared" si="83"/>
        <v>0</v>
      </c>
      <c r="X59" s="118">
        <f t="shared" si="83"/>
        <v>0</v>
      </c>
      <c r="Y59" s="118">
        <f t="shared" si="83"/>
        <v>0</v>
      </c>
      <c r="Z59" s="122"/>
      <c r="AA59" s="118">
        <f t="shared" si="83"/>
        <v>0</v>
      </c>
      <c r="AB59" s="118">
        <f t="shared" si="83"/>
        <v>0</v>
      </c>
      <c r="AC59" s="118">
        <f t="shared" si="83"/>
        <v>0</v>
      </c>
      <c r="AD59" s="118">
        <f t="shared" si="83"/>
        <v>0</v>
      </c>
      <c r="AE59" s="118">
        <f t="shared" si="83"/>
        <v>0</v>
      </c>
      <c r="AF59" s="118">
        <f t="shared" si="83"/>
        <v>0</v>
      </c>
      <c r="AG59" s="118">
        <f t="shared" si="83"/>
        <v>12.81</v>
      </c>
      <c r="AH59" s="118">
        <f t="shared" si="83"/>
        <v>0</v>
      </c>
      <c r="AI59" s="122">
        <f t="shared" ref="AI59:AI64" si="84">AH59/AG59</f>
        <v>0</v>
      </c>
      <c r="AJ59" s="118">
        <f t="shared" si="83"/>
        <v>0</v>
      </c>
      <c r="AK59" s="118">
        <f t="shared" si="83"/>
        <v>0</v>
      </c>
      <c r="AL59" s="118">
        <f t="shared" si="83"/>
        <v>0</v>
      </c>
      <c r="AM59" s="118">
        <f t="shared" si="83"/>
        <v>0</v>
      </c>
      <c r="AN59" s="118">
        <f t="shared" si="83"/>
        <v>0</v>
      </c>
      <c r="AO59" s="118">
        <f t="shared" si="83"/>
        <v>0</v>
      </c>
      <c r="AP59" s="118">
        <f t="shared" si="83"/>
        <v>65.2</v>
      </c>
      <c r="AQ59" s="106">
        <f t="shared" si="83"/>
        <v>0</v>
      </c>
      <c r="AR59" s="106">
        <f t="shared" si="83"/>
        <v>0</v>
      </c>
      <c r="AS59" s="147"/>
      <c r="AT59" s="143"/>
      <c r="AU59" s="135">
        <f t="shared" si="8"/>
        <v>50</v>
      </c>
      <c r="AV59" s="135">
        <f t="shared" si="9"/>
        <v>0</v>
      </c>
      <c r="AW59" s="136">
        <f t="shared" si="29"/>
        <v>0</v>
      </c>
      <c r="AX59" s="137">
        <f t="shared" si="3"/>
        <v>50</v>
      </c>
      <c r="AY59" s="137">
        <f t="shared" si="4"/>
        <v>0</v>
      </c>
      <c r="AZ59" s="137">
        <f t="shared" si="24"/>
        <v>12.81</v>
      </c>
      <c r="BA59" s="137">
        <f t="shared" si="25"/>
        <v>65.2</v>
      </c>
    </row>
    <row r="60" spans="1:53" ht="34.5" customHeight="1">
      <c r="A60" s="226"/>
      <c r="B60" s="234"/>
      <c r="C60" s="236"/>
      <c r="D60" s="239"/>
      <c r="E60" s="105" t="s">
        <v>3</v>
      </c>
      <c r="F60" s="118">
        <f t="shared" si="77"/>
        <v>0</v>
      </c>
      <c r="G60" s="118">
        <f t="shared" si="77"/>
        <v>0</v>
      </c>
      <c r="H60" s="122"/>
      <c r="I60" s="117"/>
      <c r="J60" s="117"/>
      <c r="K60" s="106"/>
      <c r="L60" s="118"/>
      <c r="M60" s="118"/>
      <c r="N60" s="122"/>
      <c r="O60" s="118"/>
      <c r="P60" s="118"/>
      <c r="Q60" s="122"/>
      <c r="R60" s="118"/>
      <c r="S60" s="118"/>
      <c r="T60" s="122"/>
      <c r="U60" s="126"/>
      <c r="V60" s="126"/>
      <c r="W60" s="126"/>
      <c r="X60" s="126"/>
      <c r="Y60" s="126"/>
      <c r="Z60" s="122"/>
      <c r="AA60" s="126"/>
      <c r="AB60" s="126"/>
      <c r="AC60" s="126"/>
      <c r="AD60" s="126"/>
      <c r="AE60" s="126"/>
      <c r="AF60" s="126"/>
      <c r="AG60" s="126"/>
      <c r="AH60" s="126"/>
      <c r="AI60" s="122"/>
      <c r="AJ60" s="118"/>
      <c r="AK60" s="118"/>
      <c r="AL60" s="118"/>
      <c r="AM60" s="126"/>
      <c r="AN60" s="126"/>
      <c r="AO60" s="126"/>
      <c r="AP60" s="118"/>
      <c r="AQ60" s="106"/>
      <c r="AR60" s="106"/>
      <c r="AS60" s="147"/>
      <c r="AT60" s="143"/>
      <c r="AU60" s="135">
        <f t="shared" si="8"/>
        <v>0</v>
      </c>
      <c r="AV60" s="135">
        <f t="shared" si="9"/>
        <v>0</v>
      </c>
      <c r="AW60" s="136"/>
      <c r="AX60" s="137">
        <f t="shared" si="3"/>
        <v>0</v>
      </c>
      <c r="AY60" s="137">
        <f t="shared" si="4"/>
        <v>0</v>
      </c>
      <c r="AZ60" s="137">
        <f t="shared" si="24"/>
        <v>0</v>
      </c>
      <c r="BA60" s="137">
        <f t="shared" si="25"/>
        <v>0</v>
      </c>
    </row>
    <row r="61" spans="1:53" ht="34.5" customHeight="1">
      <c r="A61" s="226"/>
      <c r="B61" s="234"/>
      <c r="C61" s="237"/>
      <c r="D61" s="240"/>
      <c r="E61" s="105" t="s">
        <v>44</v>
      </c>
      <c r="F61" s="118">
        <f t="shared" si="77"/>
        <v>128.01</v>
      </c>
      <c r="G61" s="118">
        <f t="shared" si="77"/>
        <v>0</v>
      </c>
      <c r="H61" s="122">
        <f t="shared" ref="H61:H62" si="85">G61/F61</f>
        <v>0</v>
      </c>
      <c r="I61" s="117"/>
      <c r="J61" s="117"/>
      <c r="K61" s="106"/>
      <c r="L61" s="118"/>
      <c r="M61" s="118"/>
      <c r="N61" s="122"/>
      <c r="O61" s="118">
        <v>50</v>
      </c>
      <c r="P61" s="118"/>
      <c r="Q61" s="122">
        <f t="shared" si="81"/>
        <v>0</v>
      </c>
      <c r="R61" s="118"/>
      <c r="S61" s="118"/>
      <c r="T61" s="122" t="e">
        <f t="shared" ref="T61:T62" si="86">S61/R61</f>
        <v>#DIV/0!</v>
      </c>
      <c r="U61" s="126"/>
      <c r="V61" s="126"/>
      <c r="W61" s="126"/>
      <c r="X61" s="126"/>
      <c r="Y61" s="126"/>
      <c r="Z61" s="122"/>
      <c r="AA61" s="126"/>
      <c r="AB61" s="126"/>
      <c r="AC61" s="126"/>
      <c r="AD61" s="126"/>
      <c r="AE61" s="126"/>
      <c r="AF61" s="126"/>
      <c r="AG61" s="126">
        <v>12.81</v>
      </c>
      <c r="AH61" s="126"/>
      <c r="AI61" s="122">
        <f t="shared" si="84"/>
        <v>0</v>
      </c>
      <c r="AJ61" s="118"/>
      <c r="AK61" s="118"/>
      <c r="AL61" s="118"/>
      <c r="AM61" s="126"/>
      <c r="AN61" s="126"/>
      <c r="AO61" s="126"/>
      <c r="AP61" s="118">
        <v>65.2</v>
      </c>
      <c r="AQ61" s="106"/>
      <c r="AR61" s="106"/>
      <c r="AS61" s="145"/>
      <c r="AT61" s="143" t="s">
        <v>440</v>
      </c>
      <c r="AU61" s="135">
        <f t="shared" si="8"/>
        <v>50</v>
      </c>
      <c r="AV61" s="135">
        <f t="shared" si="9"/>
        <v>0</v>
      </c>
      <c r="AW61" s="136">
        <f t="shared" si="29"/>
        <v>0</v>
      </c>
      <c r="AX61" s="137">
        <f t="shared" si="3"/>
        <v>50</v>
      </c>
      <c r="AY61" s="137">
        <f t="shared" si="4"/>
        <v>0</v>
      </c>
      <c r="AZ61" s="137">
        <f t="shared" si="24"/>
        <v>12.81</v>
      </c>
      <c r="BA61" s="137">
        <f t="shared" si="25"/>
        <v>65.2</v>
      </c>
    </row>
    <row r="62" spans="1:53" ht="34.5" customHeight="1">
      <c r="A62" s="226" t="s">
        <v>365</v>
      </c>
      <c r="B62" s="234" t="s">
        <v>402</v>
      </c>
      <c r="C62" s="235" t="s">
        <v>275</v>
      </c>
      <c r="D62" s="238" t="s">
        <v>392</v>
      </c>
      <c r="E62" s="105" t="s">
        <v>42</v>
      </c>
      <c r="F62" s="118">
        <f t="shared" si="77"/>
        <v>249.49</v>
      </c>
      <c r="G62" s="118">
        <f t="shared" si="77"/>
        <v>249.49</v>
      </c>
      <c r="H62" s="122">
        <f t="shared" si="85"/>
        <v>1</v>
      </c>
      <c r="I62" s="118">
        <f>SUM(I63:I64)</f>
        <v>30</v>
      </c>
      <c r="J62" s="118">
        <f>SUM(J63:J64)</f>
        <v>30</v>
      </c>
      <c r="K62" s="122">
        <f t="shared" ref="K62" si="87">J62/I62</f>
        <v>1</v>
      </c>
      <c r="L62" s="118">
        <f>SUM(L63:L64)</f>
        <v>0</v>
      </c>
      <c r="M62" s="118">
        <f>SUM(M63:M64)</f>
        <v>0</v>
      </c>
      <c r="N62" s="122"/>
      <c r="O62" s="118">
        <f>SUM(O63:O64)</f>
        <v>219.49</v>
      </c>
      <c r="P62" s="118">
        <f>SUM(P63:P64)</f>
        <v>219.49</v>
      </c>
      <c r="Q62" s="122">
        <f t="shared" si="81"/>
        <v>1</v>
      </c>
      <c r="R62" s="118">
        <f>SUM(R63:R64)</f>
        <v>0</v>
      </c>
      <c r="S62" s="118">
        <f>SUM(S63:S64)</f>
        <v>0</v>
      </c>
      <c r="T62" s="122" t="e">
        <f t="shared" si="86"/>
        <v>#DIV/0!</v>
      </c>
      <c r="U62" s="118">
        <f t="shared" ref="U62:AR62" si="88">SUM(U63:U64)</f>
        <v>0</v>
      </c>
      <c r="V62" s="118">
        <f t="shared" si="88"/>
        <v>0</v>
      </c>
      <c r="W62" s="122" t="e">
        <f t="shared" ref="W62" si="89">V62/U62</f>
        <v>#DIV/0!</v>
      </c>
      <c r="X62" s="118">
        <f t="shared" si="88"/>
        <v>0</v>
      </c>
      <c r="Y62" s="118">
        <f t="shared" si="88"/>
        <v>0</v>
      </c>
      <c r="Z62" s="122"/>
      <c r="AA62" s="118">
        <f t="shared" si="88"/>
        <v>0</v>
      </c>
      <c r="AB62" s="118">
        <f t="shared" si="88"/>
        <v>0</v>
      </c>
      <c r="AC62" s="118">
        <f t="shared" si="88"/>
        <v>0</v>
      </c>
      <c r="AD62" s="118">
        <f t="shared" si="88"/>
        <v>0</v>
      </c>
      <c r="AE62" s="118">
        <f t="shared" si="88"/>
        <v>0</v>
      </c>
      <c r="AF62" s="118">
        <f t="shared" si="88"/>
        <v>0</v>
      </c>
      <c r="AG62" s="118">
        <f t="shared" si="88"/>
        <v>0</v>
      </c>
      <c r="AH62" s="118">
        <f t="shared" si="88"/>
        <v>0</v>
      </c>
      <c r="AI62" s="122" t="e">
        <f t="shared" si="84"/>
        <v>#DIV/0!</v>
      </c>
      <c r="AJ62" s="118">
        <f t="shared" si="88"/>
        <v>0</v>
      </c>
      <c r="AK62" s="118">
        <f t="shared" si="88"/>
        <v>0</v>
      </c>
      <c r="AL62" s="122" t="e">
        <f t="shared" ref="AL62" si="90">AK62/AJ62</f>
        <v>#DIV/0!</v>
      </c>
      <c r="AM62" s="118">
        <f t="shared" si="88"/>
        <v>0</v>
      </c>
      <c r="AN62" s="118">
        <f t="shared" si="88"/>
        <v>0</v>
      </c>
      <c r="AO62" s="122" t="e">
        <f t="shared" ref="AO62" si="91">AN62/AM62</f>
        <v>#DIV/0!</v>
      </c>
      <c r="AP62" s="118">
        <f t="shared" si="88"/>
        <v>0</v>
      </c>
      <c r="AQ62" s="106">
        <f t="shared" si="88"/>
        <v>0</v>
      </c>
      <c r="AR62" s="106">
        <f t="shared" si="88"/>
        <v>0</v>
      </c>
      <c r="AS62" s="147"/>
      <c r="AT62" s="143"/>
      <c r="AU62" s="135">
        <f t="shared" si="8"/>
        <v>249.49</v>
      </c>
      <c r="AV62" s="135">
        <f t="shared" si="9"/>
        <v>249.49</v>
      </c>
      <c r="AW62" s="136">
        <f t="shared" si="29"/>
        <v>1</v>
      </c>
      <c r="AX62" s="137">
        <f t="shared" si="3"/>
        <v>249.49</v>
      </c>
      <c r="AY62" s="137">
        <f t="shared" si="4"/>
        <v>0</v>
      </c>
      <c r="AZ62" s="137">
        <f t="shared" si="24"/>
        <v>0</v>
      </c>
      <c r="BA62" s="137">
        <f t="shared" si="25"/>
        <v>0</v>
      </c>
    </row>
    <row r="63" spans="1:53" ht="34.5" customHeight="1">
      <c r="A63" s="226"/>
      <c r="B63" s="234"/>
      <c r="C63" s="236"/>
      <c r="D63" s="239"/>
      <c r="E63" s="105" t="s">
        <v>3</v>
      </c>
      <c r="F63" s="118">
        <f t="shared" si="77"/>
        <v>0</v>
      </c>
      <c r="G63" s="118">
        <f t="shared" si="77"/>
        <v>0</v>
      </c>
      <c r="H63" s="122"/>
      <c r="I63" s="118"/>
      <c r="J63" s="118"/>
      <c r="K63" s="122"/>
      <c r="L63" s="118"/>
      <c r="M63" s="118"/>
      <c r="N63" s="122"/>
      <c r="O63" s="118"/>
      <c r="P63" s="118"/>
      <c r="Q63" s="122"/>
      <c r="R63" s="118"/>
      <c r="S63" s="118"/>
      <c r="T63" s="122"/>
      <c r="U63" s="126"/>
      <c r="V63" s="126"/>
      <c r="W63" s="126"/>
      <c r="X63" s="126"/>
      <c r="Y63" s="126"/>
      <c r="Z63" s="122"/>
      <c r="AA63" s="126"/>
      <c r="AB63" s="126"/>
      <c r="AC63" s="126"/>
      <c r="AD63" s="126"/>
      <c r="AE63" s="126"/>
      <c r="AF63" s="126"/>
      <c r="AG63" s="126"/>
      <c r="AH63" s="126"/>
      <c r="AI63" s="122"/>
      <c r="AJ63" s="118"/>
      <c r="AK63" s="118"/>
      <c r="AL63" s="118"/>
      <c r="AM63" s="126"/>
      <c r="AN63" s="126"/>
      <c r="AO63" s="126"/>
      <c r="AP63" s="118"/>
      <c r="AQ63" s="106"/>
      <c r="AR63" s="106"/>
      <c r="AS63" s="147"/>
      <c r="AT63" s="143"/>
      <c r="AU63" s="135">
        <f t="shared" si="8"/>
        <v>0</v>
      </c>
      <c r="AV63" s="135">
        <f t="shared" si="9"/>
        <v>0</v>
      </c>
      <c r="AW63" s="136"/>
      <c r="AX63" s="137">
        <f t="shared" si="3"/>
        <v>0</v>
      </c>
      <c r="AY63" s="137">
        <f t="shared" si="4"/>
        <v>0</v>
      </c>
      <c r="AZ63" s="137">
        <f t="shared" si="24"/>
        <v>0</v>
      </c>
      <c r="BA63" s="137">
        <f t="shared" si="25"/>
        <v>0</v>
      </c>
    </row>
    <row r="64" spans="1:53" ht="56.25" customHeight="1">
      <c r="A64" s="226"/>
      <c r="B64" s="234"/>
      <c r="C64" s="237"/>
      <c r="D64" s="240"/>
      <c r="E64" s="105" t="s">
        <v>44</v>
      </c>
      <c r="F64" s="118">
        <f t="shared" si="77"/>
        <v>249.49</v>
      </c>
      <c r="G64" s="118">
        <f t="shared" si="77"/>
        <v>249.49</v>
      </c>
      <c r="H64" s="122">
        <f t="shared" ref="H64:H65" si="92">G64/F64</f>
        <v>1</v>
      </c>
      <c r="I64" s="118">
        <v>30</v>
      </c>
      <c r="J64" s="118">
        <v>30</v>
      </c>
      <c r="K64" s="122">
        <f t="shared" ref="K64" si="93">J64/I64</f>
        <v>1</v>
      </c>
      <c r="L64" s="118"/>
      <c r="M64" s="118"/>
      <c r="N64" s="122"/>
      <c r="O64" s="118">
        <v>219.49</v>
      </c>
      <c r="P64" s="118">
        <v>219.49</v>
      </c>
      <c r="Q64" s="122">
        <f t="shared" si="81"/>
        <v>1</v>
      </c>
      <c r="R64" s="118"/>
      <c r="S64" s="118"/>
      <c r="T64" s="122" t="e">
        <f t="shared" ref="T64:T65" si="94">S64/R64</f>
        <v>#DIV/0!</v>
      </c>
      <c r="U64" s="126"/>
      <c r="V64" s="126"/>
      <c r="W64" s="122" t="e">
        <f t="shared" ref="W64" si="95">V64/U64</f>
        <v>#DIV/0!</v>
      </c>
      <c r="X64" s="126"/>
      <c r="Y64" s="126"/>
      <c r="Z64" s="122"/>
      <c r="AA64" s="126"/>
      <c r="AB64" s="126"/>
      <c r="AC64" s="126"/>
      <c r="AD64" s="126"/>
      <c r="AE64" s="126"/>
      <c r="AF64" s="126"/>
      <c r="AG64" s="126"/>
      <c r="AH64" s="126"/>
      <c r="AI64" s="122" t="e">
        <f t="shared" si="84"/>
        <v>#DIV/0!</v>
      </c>
      <c r="AJ64" s="118"/>
      <c r="AK64" s="118"/>
      <c r="AL64" s="122" t="e">
        <f t="shared" ref="AL64" si="96">AK64/AJ64</f>
        <v>#DIV/0!</v>
      </c>
      <c r="AM64" s="126"/>
      <c r="AN64" s="126"/>
      <c r="AO64" s="122" t="e">
        <f t="shared" ref="AO64" si="97">AN64/AM64</f>
        <v>#DIV/0!</v>
      </c>
      <c r="AP64" s="118"/>
      <c r="AQ64" s="106"/>
      <c r="AR64" s="106"/>
      <c r="AS64" s="143" t="s">
        <v>425</v>
      </c>
      <c r="AT64" s="143"/>
      <c r="AU64" s="135">
        <f t="shared" si="8"/>
        <v>249.49</v>
      </c>
      <c r="AV64" s="135">
        <f t="shared" si="9"/>
        <v>249.49</v>
      </c>
      <c r="AW64" s="136">
        <f t="shared" si="29"/>
        <v>1</v>
      </c>
      <c r="AX64" s="137">
        <f t="shared" si="3"/>
        <v>249.49</v>
      </c>
      <c r="AY64" s="137">
        <f t="shared" si="4"/>
        <v>0</v>
      </c>
      <c r="AZ64" s="137">
        <f t="shared" si="24"/>
        <v>0</v>
      </c>
      <c r="BA64" s="137">
        <f t="shared" si="25"/>
        <v>0</v>
      </c>
    </row>
    <row r="65" spans="1:53" ht="34.5" customHeight="1">
      <c r="A65" s="226" t="s">
        <v>366</v>
      </c>
      <c r="B65" s="234" t="s">
        <v>331</v>
      </c>
      <c r="C65" s="235" t="s">
        <v>275</v>
      </c>
      <c r="D65" s="238" t="s">
        <v>391</v>
      </c>
      <c r="E65" s="105" t="s">
        <v>42</v>
      </c>
      <c r="F65" s="118">
        <f t="shared" si="77"/>
        <v>142.5</v>
      </c>
      <c r="G65" s="118">
        <f t="shared" si="77"/>
        <v>0</v>
      </c>
      <c r="H65" s="122">
        <f t="shared" si="92"/>
        <v>0</v>
      </c>
      <c r="I65" s="117">
        <f>SUM(I66:I67)</f>
        <v>0</v>
      </c>
      <c r="J65" s="117">
        <f>SUM(J66:J67)</f>
        <v>0</v>
      </c>
      <c r="K65" s="106">
        <f>SUM(K66:K67)</f>
        <v>0</v>
      </c>
      <c r="L65" s="118">
        <f>SUM(L66:L67)</f>
        <v>0</v>
      </c>
      <c r="M65" s="118">
        <f>SUM(M66:M67)</f>
        <v>0</v>
      </c>
      <c r="N65" s="122"/>
      <c r="O65" s="118">
        <f>SUM(O66:O67)</f>
        <v>0</v>
      </c>
      <c r="P65" s="118">
        <f>SUM(P66:P67)</f>
        <v>0</v>
      </c>
      <c r="Q65" s="122"/>
      <c r="R65" s="118">
        <f>SUM(R66:R67)</f>
        <v>142.5</v>
      </c>
      <c r="S65" s="118">
        <f>SUM(S66:S67)</f>
        <v>0</v>
      </c>
      <c r="T65" s="122">
        <f t="shared" si="94"/>
        <v>0</v>
      </c>
      <c r="U65" s="118">
        <f t="shared" ref="U65:AR65" si="98">SUM(U66:U67)</f>
        <v>0</v>
      </c>
      <c r="V65" s="118">
        <f t="shared" si="98"/>
        <v>0</v>
      </c>
      <c r="W65" s="118">
        <f t="shared" si="98"/>
        <v>0</v>
      </c>
      <c r="X65" s="118">
        <f t="shared" si="98"/>
        <v>0</v>
      </c>
      <c r="Y65" s="118">
        <f t="shared" si="98"/>
        <v>0</v>
      </c>
      <c r="Z65" s="122"/>
      <c r="AA65" s="118">
        <f t="shared" si="98"/>
        <v>0</v>
      </c>
      <c r="AB65" s="118">
        <f t="shared" si="98"/>
        <v>0</v>
      </c>
      <c r="AC65" s="122" t="e">
        <f t="shared" ref="AC65:AC67" si="99">AB65/AA65</f>
        <v>#DIV/0!</v>
      </c>
      <c r="AD65" s="118">
        <f t="shared" si="98"/>
        <v>0</v>
      </c>
      <c r="AE65" s="118">
        <f t="shared" si="98"/>
        <v>0</v>
      </c>
      <c r="AF65" s="118">
        <f t="shared" si="98"/>
        <v>0</v>
      </c>
      <c r="AG65" s="118">
        <f t="shared" si="98"/>
        <v>0</v>
      </c>
      <c r="AH65" s="118">
        <f t="shared" si="98"/>
        <v>0</v>
      </c>
      <c r="AI65" s="118">
        <f t="shared" si="98"/>
        <v>0</v>
      </c>
      <c r="AJ65" s="118">
        <f t="shared" si="98"/>
        <v>0</v>
      </c>
      <c r="AK65" s="118">
        <f t="shared" si="98"/>
        <v>0</v>
      </c>
      <c r="AL65" s="118">
        <f t="shared" si="98"/>
        <v>0</v>
      </c>
      <c r="AM65" s="118">
        <f t="shared" si="98"/>
        <v>0</v>
      </c>
      <c r="AN65" s="118">
        <f t="shared" si="98"/>
        <v>0</v>
      </c>
      <c r="AO65" s="118">
        <f t="shared" si="98"/>
        <v>0</v>
      </c>
      <c r="AP65" s="118">
        <f t="shared" si="98"/>
        <v>0</v>
      </c>
      <c r="AQ65" s="106">
        <f t="shared" si="98"/>
        <v>0</v>
      </c>
      <c r="AR65" s="106">
        <f t="shared" si="98"/>
        <v>0</v>
      </c>
      <c r="AS65" s="147"/>
      <c r="AT65" s="143"/>
      <c r="AU65" s="135">
        <f t="shared" si="8"/>
        <v>0</v>
      </c>
      <c r="AV65" s="135">
        <f t="shared" si="9"/>
        <v>0</v>
      </c>
      <c r="AW65" s="136" t="e">
        <f t="shared" si="29"/>
        <v>#DIV/0!</v>
      </c>
      <c r="AX65" s="137">
        <f t="shared" si="3"/>
        <v>0</v>
      </c>
      <c r="AY65" s="137">
        <f t="shared" si="4"/>
        <v>142.5</v>
      </c>
      <c r="AZ65" s="137">
        <f t="shared" si="24"/>
        <v>0</v>
      </c>
      <c r="BA65" s="137">
        <f t="shared" si="25"/>
        <v>0</v>
      </c>
    </row>
    <row r="66" spans="1:53" ht="34.5" customHeight="1">
      <c r="A66" s="226"/>
      <c r="B66" s="234"/>
      <c r="C66" s="236"/>
      <c r="D66" s="239"/>
      <c r="E66" s="105" t="s">
        <v>3</v>
      </c>
      <c r="F66" s="118">
        <f t="shared" si="77"/>
        <v>0</v>
      </c>
      <c r="G66" s="118">
        <f t="shared" si="77"/>
        <v>0</v>
      </c>
      <c r="H66" s="122"/>
      <c r="I66" s="117"/>
      <c r="J66" s="117"/>
      <c r="K66" s="106"/>
      <c r="L66" s="118"/>
      <c r="M66" s="118"/>
      <c r="N66" s="122"/>
      <c r="O66" s="118"/>
      <c r="P66" s="118"/>
      <c r="Q66" s="122"/>
      <c r="R66" s="118"/>
      <c r="S66" s="118"/>
      <c r="T66" s="122"/>
      <c r="U66" s="126"/>
      <c r="V66" s="126"/>
      <c r="W66" s="126"/>
      <c r="X66" s="126"/>
      <c r="Y66" s="126"/>
      <c r="Z66" s="122"/>
      <c r="AA66" s="126"/>
      <c r="AB66" s="126"/>
      <c r="AC66" s="122"/>
      <c r="AD66" s="126"/>
      <c r="AE66" s="126"/>
      <c r="AF66" s="126"/>
      <c r="AG66" s="126"/>
      <c r="AH66" s="126"/>
      <c r="AI66" s="126"/>
      <c r="AJ66" s="118"/>
      <c r="AK66" s="118"/>
      <c r="AL66" s="118"/>
      <c r="AM66" s="126"/>
      <c r="AN66" s="126"/>
      <c r="AO66" s="126"/>
      <c r="AP66" s="118"/>
      <c r="AQ66" s="106"/>
      <c r="AR66" s="106"/>
      <c r="AS66" s="147"/>
      <c r="AT66" s="143"/>
      <c r="AU66" s="135">
        <f t="shared" si="8"/>
        <v>0</v>
      </c>
      <c r="AV66" s="135">
        <f t="shared" si="9"/>
        <v>0</v>
      </c>
      <c r="AW66" s="136"/>
      <c r="AX66" s="137">
        <f t="shared" si="3"/>
        <v>0</v>
      </c>
      <c r="AY66" s="137">
        <f t="shared" si="4"/>
        <v>0</v>
      </c>
      <c r="AZ66" s="137">
        <f t="shared" si="24"/>
        <v>0</v>
      </c>
      <c r="BA66" s="137">
        <f t="shared" si="25"/>
        <v>0</v>
      </c>
    </row>
    <row r="67" spans="1:53" ht="34.5" customHeight="1">
      <c r="A67" s="226"/>
      <c r="B67" s="234"/>
      <c r="C67" s="237"/>
      <c r="D67" s="240"/>
      <c r="E67" s="105" t="s">
        <v>44</v>
      </c>
      <c r="F67" s="118">
        <f t="shared" si="77"/>
        <v>142.5</v>
      </c>
      <c r="G67" s="118">
        <f t="shared" si="77"/>
        <v>0</v>
      </c>
      <c r="H67" s="122">
        <f t="shared" ref="H67:H68" si="100">G67/F67</f>
        <v>0</v>
      </c>
      <c r="I67" s="117"/>
      <c r="J67" s="117"/>
      <c r="K67" s="106"/>
      <c r="L67" s="118"/>
      <c r="M67" s="118"/>
      <c r="N67" s="122"/>
      <c r="O67" s="118"/>
      <c r="P67" s="118"/>
      <c r="Q67" s="122"/>
      <c r="R67" s="118">
        <f>45+97.5</f>
        <v>142.5</v>
      </c>
      <c r="S67" s="118"/>
      <c r="T67" s="122">
        <f t="shared" ref="T67" si="101">S67/R67</f>
        <v>0</v>
      </c>
      <c r="U67" s="126"/>
      <c r="V67" s="126"/>
      <c r="W67" s="126"/>
      <c r="X67" s="126"/>
      <c r="Y67" s="126"/>
      <c r="Z67" s="122"/>
      <c r="AA67" s="118"/>
      <c r="AB67" s="126"/>
      <c r="AC67" s="122" t="e">
        <f t="shared" si="99"/>
        <v>#DIV/0!</v>
      </c>
      <c r="AD67" s="126"/>
      <c r="AE67" s="126"/>
      <c r="AF67" s="126"/>
      <c r="AG67" s="126"/>
      <c r="AH67" s="126"/>
      <c r="AI67" s="126"/>
      <c r="AJ67" s="118"/>
      <c r="AK67" s="118"/>
      <c r="AL67" s="118"/>
      <c r="AM67" s="126"/>
      <c r="AN67" s="126"/>
      <c r="AO67" s="126"/>
      <c r="AP67" s="118"/>
      <c r="AQ67" s="106"/>
      <c r="AR67" s="106"/>
      <c r="AS67" s="143"/>
      <c r="AT67" s="143"/>
      <c r="AU67" s="135">
        <f t="shared" si="8"/>
        <v>0</v>
      </c>
      <c r="AV67" s="135">
        <f t="shared" si="9"/>
        <v>0</v>
      </c>
      <c r="AW67" s="136" t="e">
        <f t="shared" si="29"/>
        <v>#DIV/0!</v>
      </c>
      <c r="AX67" s="137">
        <f t="shared" si="3"/>
        <v>0</v>
      </c>
      <c r="AY67" s="137">
        <f t="shared" si="4"/>
        <v>142.5</v>
      </c>
      <c r="AZ67" s="137">
        <f t="shared" si="24"/>
        <v>0</v>
      </c>
      <c r="BA67" s="137">
        <f t="shared" si="25"/>
        <v>0</v>
      </c>
    </row>
    <row r="68" spans="1:53" ht="18.75" customHeight="1">
      <c r="A68" s="226" t="s">
        <v>367</v>
      </c>
      <c r="B68" s="273" t="s">
        <v>332</v>
      </c>
      <c r="C68" s="235" t="s">
        <v>274</v>
      </c>
      <c r="D68" s="238" t="s">
        <v>288</v>
      </c>
      <c r="E68" s="105" t="s">
        <v>42</v>
      </c>
      <c r="F68" s="118">
        <f t="shared" si="77"/>
        <v>30</v>
      </c>
      <c r="G68" s="118">
        <f t="shared" si="77"/>
        <v>0</v>
      </c>
      <c r="H68" s="122">
        <f t="shared" si="100"/>
        <v>0</v>
      </c>
      <c r="I68" s="117">
        <f>SUM(I69:I70)</f>
        <v>0</v>
      </c>
      <c r="J68" s="117">
        <f>SUM(J69:J70)</f>
        <v>0</v>
      </c>
      <c r="K68" s="106">
        <f>SUM(K69:K70)</f>
        <v>0</v>
      </c>
      <c r="L68" s="118">
        <f>SUM(L69:L70)</f>
        <v>0</v>
      </c>
      <c r="M68" s="118">
        <f>SUM(M69:M70)</f>
        <v>0</v>
      </c>
      <c r="N68" s="122"/>
      <c r="O68" s="118">
        <f>SUM(O69:O70)</f>
        <v>0</v>
      </c>
      <c r="P68" s="118">
        <f>SUM(P69:P70)</f>
        <v>0</v>
      </c>
      <c r="Q68" s="122"/>
      <c r="R68" s="118">
        <f>SUM(R69:R70)</f>
        <v>0</v>
      </c>
      <c r="S68" s="118">
        <f>SUM(S69:S70)</f>
        <v>0</v>
      </c>
      <c r="T68" s="122"/>
      <c r="U68" s="118">
        <f t="shared" ref="U68:AR68" si="102">SUM(U69:U70)</f>
        <v>0</v>
      </c>
      <c r="V68" s="118">
        <f t="shared" si="102"/>
        <v>0</v>
      </c>
      <c r="W68" s="118">
        <f t="shared" si="102"/>
        <v>0</v>
      </c>
      <c r="X68" s="118">
        <f t="shared" si="102"/>
        <v>0</v>
      </c>
      <c r="Y68" s="118">
        <f t="shared" si="102"/>
        <v>0</v>
      </c>
      <c r="Z68" s="122"/>
      <c r="AA68" s="118">
        <f t="shared" si="102"/>
        <v>0</v>
      </c>
      <c r="AB68" s="118">
        <f t="shared" si="102"/>
        <v>0</v>
      </c>
      <c r="AC68" s="122"/>
      <c r="AD68" s="118">
        <f t="shared" si="102"/>
        <v>0</v>
      </c>
      <c r="AE68" s="118">
        <f t="shared" si="102"/>
        <v>0</v>
      </c>
      <c r="AF68" s="118">
        <f t="shared" si="102"/>
        <v>0</v>
      </c>
      <c r="AG68" s="118">
        <f t="shared" si="102"/>
        <v>0</v>
      </c>
      <c r="AH68" s="118">
        <f t="shared" si="102"/>
        <v>0</v>
      </c>
      <c r="AI68" s="122" t="e">
        <f t="shared" ref="AI68:AI70" si="103">AH68/AG68</f>
        <v>#DIV/0!</v>
      </c>
      <c r="AJ68" s="118">
        <f t="shared" si="102"/>
        <v>0</v>
      </c>
      <c r="AK68" s="118">
        <f t="shared" si="102"/>
        <v>0</v>
      </c>
      <c r="AL68" s="118">
        <f t="shared" si="102"/>
        <v>0</v>
      </c>
      <c r="AM68" s="118">
        <f t="shared" si="102"/>
        <v>15</v>
      </c>
      <c r="AN68" s="118">
        <f t="shared" si="102"/>
        <v>0</v>
      </c>
      <c r="AO68" s="118">
        <f t="shared" si="102"/>
        <v>0</v>
      </c>
      <c r="AP68" s="118">
        <f t="shared" si="102"/>
        <v>15</v>
      </c>
      <c r="AQ68" s="106">
        <f t="shared" si="102"/>
        <v>0</v>
      </c>
      <c r="AR68" s="106">
        <f t="shared" si="102"/>
        <v>0</v>
      </c>
      <c r="AS68" s="147"/>
      <c r="AT68" s="143"/>
      <c r="AU68" s="135">
        <f t="shared" si="8"/>
        <v>0</v>
      </c>
      <c r="AV68" s="135">
        <f t="shared" si="9"/>
        <v>0</v>
      </c>
      <c r="AW68" s="136" t="e">
        <f t="shared" si="29"/>
        <v>#DIV/0!</v>
      </c>
      <c r="AX68" s="137">
        <f t="shared" si="3"/>
        <v>0</v>
      </c>
      <c r="AY68" s="137">
        <f t="shared" si="4"/>
        <v>0</v>
      </c>
      <c r="AZ68" s="137">
        <f t="shared" si="24"/>
        <v>0</v>
      </c>
      <c r="BA68" s="137">
        <f t="shared" si="25"/>
        <v>30</v>
      </c>
    </row>
    <row r="69" spans="1:53" ht="18.75" customHeight="1">
      <c r="A69" s="226"/>
      <c r="B69" s="274"/>
      <c r="C69" s="236"/>
      <c r="D69" s="239"/>
      <c r="E69" s="105" t="s">
        <v>3</v>
      </c>
      <c r="F69" s="118">
        <f t="shared" si="77"/>
        <v>0</v>
      </c>
      <c r="G69" s="118">
        <f t="shared" si="77"/>
        <v>0</v>
      </c>
      <c r="H69" s="122"/>
      <c r="I69" s="117"/>
      <c r="J69" s="117"/>
      <c r="K69" s="106"/>
      <c r="L69" s="118"/>
      <c r="M69" s="118"/>
      <c r="N69" s="122"/>
      <c r="O69" s="118"/>
      <c r="P69" s="118"/>
      <c r="Q69" s="122"/>
      <c r="R69" s="118"/>
      <c r="S69" s="118"/>
      <c r="T69" s="122"/>
      <c r="U69" s="118"/>
      <c r="V69" s="118"/>
      <c r="W69" s="118"/>
      <c r="X69" s="118"/>
      <c r="Y69" s="118"/>
      <c r="Z69" s="122"/>
      <c r="AA69" s="118"/>
      <c r="AB69" s="118"/>
      <c r="AC69" s="122"/>
      <c r="AD69" s="118"/>
      <c r="AE69" s="118"/>
      <c r="AF69" s="118"/>
      <c r="AG69" s="118"/>
      <c r="AH69" s="118"/>
      <c r="AI69" s="122"/>
      <c r="AJ69" s="118"/>
      <c r="AK69" s="118"/>
      <c r="AL69" s="118"/>
      <c r="AM69" s="118"/>
      <c r="AN69" s="118"/>
      <c r="AO69" s="118"/>
      <c r="AP69" s="118"/>
      <c r="AQ69" s="106"/>
      <c r="AR69" s="106"/>
      <c r="AS69" s="147"/>
      <c r="AT69" s="143"/>
      <c r="AU69" s="135">
        <f t="shared" si="8"/>
        <v>0</v>
      </c>
      <c r="AV69" s="135">
        <f t="shared" si="9"/>
        <v>0</v>
      </c>
      <c r="AW69" s="136"/>
      <c r="AX69" s="137">
        <f t="shared" si="3"/>
        <v>0</v>
      </c>
      <c r="AY69" s="137">
        <f t="shared" si="4"/>
        <v>0</v>
      </c>
      <c r="AZ69" s="137">
        <f t="shared" si="24"/>
        <v>0</v>
      </c>
      <c r="BA69" s="137">
        <f t="shared" si="25"/>
        <v>0</v>
      </c>
    </row>
    <row r="70" spans="1:53" ht="18.75" customHeight="1">
      <c r="A70" s="226"/>
      <c r="B70" s="275"/>
      <c r="C70" s="237"/>
      <c r="D70" s="240"/>
      <c r="E70" s="105" t="s">
        <v>44</v>
      </c>
      <c r="F70" s="118">
        <f t="shared" si="77"/>
        <v>30</v>
      </c>
      <c r="G70" s="118">
        <f t="shared" si="77"/>
        <v>0</v>
      </c>
      <c r="H70" s="122">
        <f t="shared" ref="H70" si="104">G70/F70</f>
        <v>0</v>
      </c>
      <c r="I70" s="117"/>
      <c r="J70" s="117"/>
      <c r="K70" s="106"/>
      <c r="L70" s="118"/>
      <c r="M70" s="118">
        <v>0</v>
      </c>
      <c r="N70" s="122"/>
      <c r="O70" s="118"/>
      <c r="P70" s="118"/>
      <c r="Q70" s="122"/>
      <c r="R70" s="118"/>
      <c r="S70" s="118"/>
      <c r="T70" s="122"/>
      <c r="U70" s="118"/>
      <c r="V70" s="118"/>
      <c r="W70" s="118"/>
      <c r="X70" s="118"/>
      <c r="Y70" s="118"/>
      <c r="Z70" s="122"/>
      <c r="AA70" s="118"/>
      <c r="AB70" s="118"/>
      <c r="AC70" s="122"/>
      <c r="AD70" s="118"/>
      <c r="AE70" s="118"/>
      <c r="AF70" s="118"/>
      <c r="AG70" s="118"/>
      <c r="AH70" s="118"/>
      <c r="AI70" s="122" t="e">
        <f t="shared" si="103"/>
        <v>#DIV/0!</v>
      </c>
      <c r="AJ70" s="118"/>
      <c r="AK70" s="118"/>
      <c r="AL70" s="118"/>
      <c r="AM70" s="118">
        <v>15</v>
      </c>
      <c r="AN70" s="118"/>
      <c r="AO70" s="118"/>
      <c r="AP70" s="118">
        <v>15</v>
      </c>
      <c r="AQ70" s="106"/>
      <c r="AR70" s="106"/>
      <c r="AS70" s="143"/>
      <c r="AT70" s="143"/>
      <c r="AU70" s="135">
        <f t="shared" si="8"/>
        <v>0</v>
      </c>
      <c r="AV70" s="135">
        <f t="shared" si="9"/>
        <v>0</v>
      </c>
      <c r="AW70" s="136" t="e">
        <f t="shared" si="29"/>
        <v>#DIV/0!</v>
      </c>
      <c r="AX70" s="137">
        <f t="shared" si="3"/>
        <v>0</v>
      </c>
      <c r="AY70" s="137">
        <f t="shared" si="4"/>
        <v>0</v>
      </c>
      <c r="AZ70" s="137">
        <f t="shared" si="24"/>
        <v>0</v>
      </c>
      <c r="BA70" s="137">
        <f t="shared" si="25"/>
        <v>30</v>
      </c>
    </row>
    <row r="71" spans="1:53" ht="21" customHeight="1">
      <c r="A71" s="127" t="s">
        <v>10</v>
      </c>
      <c r="B71" s="244" t="s">
        <v>304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6"/>
      <c r="AU71" s="135">
        <f t="shared" si="8"/>
        <v>0</v>
      </c>
      <c r="AV71" s="135">
        <f t="shared" si="9"/>
        <v>0</v>
      </c>
      <c r="AW71" s="136"/>
      <c r="AX71" s="137"/>
      <c r="AY71" s="137"/>
      <c r="AZ71" s="137"/>
      <c r="BA71" s="137"/>
    </row>
    <row r="72" spans="1:53" ht="21" customHeight="1">
      <c r="A72" s="185" t="s">
        <v>305</v>
      </c>
      <c r="B72" s="247" t="s">
        <v>306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9"/>
      <c r="AU72" s="135">
        <f t="shared" si="8"/>
        <v>0</v>
      </c>
      <c r="AV72" s="135">
        <f t="shared" si="9"/>
        <v>0</v>
      </c>
      <c r="AW72" s="136"/>
      <c r="AX72" s="137"/>
      <c r="AY72" s="137"/>
      <c r="AZ72" s="137"/>
      <c r="BA72" s="137"/>
    </row>
    <row r="73" spans="1:53" ht="38.25" customHeight="1">
      <c r="A73" s="226" t="s">
        <v>362</v>
      </c>
      <c r="B73" s="250" t="s">
        <v>333</v>
      </c>
      <c r="C73" s="270" t="s">
        <v>276</v>
      </c>
      <c r="D73" s="238" t="s">
        <v>289</v>
      </c>
      <c r="E73" s="105" t="s">
        <v>42</v>
      </c>
      <c r="F73" s="118">
        <f t="shared" ref="F73:G93" si="105">I73+L73+O73+R73+U73+X73+AA73+AD73+AG73+AJ73+AM73+AP73</f>
        <v>0</v>
      </c>
      <c r="G73" s="118">
        <f t="shared" si="105"/>
        <v>0</v>
      </c>
      <c r="H73" s="122"/>
      <c r="I73" s="106">
        <f>SUM(I74:I75)</f>
        <v>0</v>
      </c>
      <c r="J73" s="106">
        <f>SUM(J74:J75)</f>
        <v>0</v>
      </c>
      <c r="K73" s="106">
        <f>SUM(K74:K75)</f>
        <v>0</v>
      </c>
      <c r="L73" s="118">
        <f>SUM(L74:L75)</f>
        <v>0</v>
      </c>
      <c r="M73" s="118">
        <f>SUM(M74:M75)</f>
        <v>0</v>
      </c>
      <c r="N73" s="122"/>
      <c r="O73" s="118">
        <f>SUM(O74:O75)</f>
        <v>0</v>
      </c>
      <c r="P73" s="118">
        <f>SUM(P74:P75)</f>
        <v>0</v>
      </c>
      <c r="Q73" s="122"/>
      <c r="R73" s="118">
        <f>SUM(R74:R75)</f>
        <v>0</v>
      </c>
      <c r="S73" s="118">
        <f>SUM(S74:S75)</f>
        <v>0</v>
      </c>
      <c r="T73" s="122"/>
      <c r="U73" s="118">
        <f t="shared" ref="U73:AR73" si="106">SUM(U74:U75)</f>
        <v>0</v>
      </c>
      <c r="V73" s="118">
        <f t="shared" si="106"/>
        <v>0</v>
      </c>
      <c r="W73" s="118">
        <f t="shared" si="106"/>
        <v>0</v>
      </c>
      <c r="X73" s="118">
        <f t="shared" si="106"/>
        <v>0</v>
      </c>
      <c r="Y73" s="118">
        <f t="shared" si="106"/>
        <v>0</v>
      </c>
      <c r="Z73" s="122" t="e">
        <f t="shared" ref="Z73:Z93" si="107">Y73/X73</f>
        <v>#DIV/0!</v>
      </c>
      <c r="AA73" s="118">
        <f t="shared" si="106"/>
        <v>0</v>
      </c>
      <c r="AB73" s="118">
        <f t="shared" si="106"/>
        <v>0</v>
      </c>
      <c r="AC73" s="122" t="e">
        <f t="shared" ref="AC73" si="108">AB73/AA73</f>
        <v>#DIV/0!</v>
      </c>
      <c r="AD73" s="118">
        <f t="shared" si="106"/>
        <v>0</v>
      </c>
      <c r="AE73" s="118">
        <f t="shared" si="106"/>
        <v>0</v>
      </c>
      <c r="AF73" s="122" t="e">
        <f t="shared" ref="AF73:AF78" si="109">AE73/AD73</f>
        <v>#DIV/0!</v>
      </c>
      <c r="AG73" s="118">
        <f t="shared" si="106"/>
        <v>0</v>
      </c>
      <c r="AH73" s="118">
        <f t="shared" si="106"/>
        <v>0</v>
      </c>
      <c r="AI73" s="122" t="e">
        <f t="shared" ref="AI73" si="110">AH73/AG73</f>
        <v>#DIV/0!</v>
      </c>
      <c r="AJ73" s="118">
        <f t="shared" si="106"/>
        <v>0</v>
      </c>
      <c r="AK73" s="118">
        <f t="shared" si="106"/>
        <v>0</v>
      </c>
      <c r="AL73" s="122" t="e">
        <f t="shared" ref="AL73" si="111">AK73/AJ73</f>
        <v>#DIV/0!</v>
      </c>
      <c r="AM73" s="118">
        <f t="shared" si="106"/>
        <v>0</v>
      </c>
      <c r="AN73" s="118">
        <f t="shared" si="106"/>
        <v>0</v>
      </c>
      <c r="AO73" s="118"/>
      <c r="AP73" s="118">
        <f t="shared" si="106"/>
        <v>0</v>
      </c>
      <c r="AQ73" s="106">
        <f t="shared" si="106"/>
        <v>0</v>
      </c>
      <c r="AR73" s="106">
        <f t="shared" si="106"/>
        <v>0</v>
      </c>
      <c r="AS73" s="147"/>
      <c r="AT73" s="143"/>
      <c r="AU73" s="135">
        <f t="shared" ref="AU73:AU136" si="112">I73+L73+O73</f>
        <v>0</v>
      </c>
      <c r="AV73" s="135">
        <f t="shared" ref="AV73:AV136" si="113">J73+M73+P73</f>
        <v>0</v>
      </c>
      <c r="AW73" s="136" t="e">
        <f t="shared" si="29"/>
        <v>#DIV/0!</v>
      </c>
      <c r="AX73" s="137">
        <f t="shared" ref="AX73:AX134" si="114">I73+L73+O73</f>
        <v>0</v>
      </c>
      <c r="AY73" s="137">
        <f t="shared" ref="AY73:AY134" si="115">R73+U73+X73</f>
        <v>0</v>
      </c>
      <c r="AZ73" s="137">
        <f t="shared" si="24"/>
        <v>0</v>
      </c>
      <c r="BA73" s="137">
        <f t="shared" si="25"/>
        <v>0</v>
      </c>
    </row>
    <row r="74" spans="1:53" ht="38.25" customHeight="1">
      <c r="A74" s="226"/>
      <c r="B74" s="250"/>
      <c r="C74" s="271"/>
      <c r="D74" s="239"/>
      <c r="E74" s="105" t="s">
        <v>3</v>
      </c>
      <c r="F74" s="118">
        <f t="shared" si="105"/>
        <v>0</v>
      </c>
      <c r="G74" s="118">
        <f t="shared" si="105"/>
        <v>0</v>
      </c>
      <c r="H74" s="122"/>
      <c r="I74" s="106"/>
      <c r="J74" s="106"/>
      <c r="K74" s="106"/>
      <c r="L74" s="118"/>
      <c r="M74" s="118"/>
      <c r="N74" s="122"/>
      <c r="O74" s="118"/>
      <c r="P74" s="118"/>
      <c r="Q74" s="122"/>
      <c r="R74" s="118"/>
      <c r="S74" s="118"/>
      <c r="T74" s="122"/>
      <c r="U74" s="126"/>
      <c r="V74" s="126"/>
      <c r="W74" s="126"/>
      <c r="X74" s="126"/>
      <c r="Y74" s="126"/>
      <c r="Z74" s="122"/>
      <c r="AA74" s="126"/>
      <c r="AB74" s="126"/>
      <c r="AC74" s="122"/>
      <c r="AD74" s="126"/>
      <c r="AE74" s="126"/>
      <c r="AF74" s="122"/>
      <c r="AG74" s="126"/>
      <c r="AH74" s="126"/>
      <c r="AI74" s="126"/>
      <c r="AJ74" s="118"/>
      <c r="AK74" s="118"/>
      <c r="AL74" s="118"/>
      <c r="AM74" s="126"/>
      <c r="AN74" s="126"/>
      <c r="AO74" s="126"/>
      <c r="AP74" s="118"/>
      <c r="AQ74" s="106"/>
      <c r="AR74" s="106"/>
      <c r="AS74" s="147"/>
      <c r="AT74" s="143"/>
      <c r="AU74" s="135">
        <f t="shared" si="112"/>
        <v>0</v>
      </c>
      <c r="AV74" s="135">
        <f t="shared" si="113"/>
        <v>0</v>
      </c>
      <c r="AW74" s="136" t="e">
        <f t="shared" si="29"/>
        <v>#DIV/0!</v>
      </c>
      <c r="AX74" s="137">
        <f t="shared" si="114"/>
        <v>0</v>
      </c>
      <c r="AY74" s="137">
        <f t="shared" si="115"/>
        <v>0</v>
      </c>
      <c r="AZ74" s="137">
        <f t="shared" si="24"/>
        <v>0</v>
      </c>
      <c r="BA74" s="137">
        <f t="shared" si="25"/>
        <v>0</v>
      </c>
    </row>
    <row r="75" spans="1:53" ht="38.25" customHeight="1">
      <c r="A75" s="226"/>
      <c r="B75" s="250"/>
      <c r="C75" s="272"/>
      <c r="D75" s="240"/>
      <c r="E75" s="105" t="s">
        <v>44</v>
      </c>
      <c r="F75" s="118">
        <f t="shared" si="105"/>
        <v>0</v>
      </c>
      <c r="G75" s="118">
        <f t="shared" si="105"/>
        <v>0</v>
      </c>
      <c r="H75" s="122"/>
      <c r="I75" s="106"/>
      <c r="J75" s="106"/>
      <c r="K75" s="106"/>
      <c r="L75" s="118"/>
      <c r="M75" s="118"/>
      <c r="N75" s="122"/>
      <c r="O75" s="118"/>
      <c r="P75" s="118"/>
      <c r="Q75" s="122"/>
      <c r="R75" s="118"/>
      <c r="S75" s="118"/>
      <c r="T75" s="122"/>
      <c r="U75" s="126"/>
      <c r="V75" s="126"/>
      <c r="W75" s="126"/>
      <c r="X75" s="126"/>
      <c r="Y75" s="126"/>
      <c r="Z75" s="122" t="e">
        <f t="shared" si="107"/>
        <v>#DIV/0!</v>
      </c>
      <c r="AA75" s="126"/>
      <c r="AB75" s="126"/>
      <c r="AC75" s="122" t="e">
        <f t="shared" ref="AC75:AC83" si="116">AB75/AA75</f>
        <v>#DIV/0!</v>
      </c>
      <c r="AD75" s="126"/>
      <c r="AE75" s="126"/>
      <c r="AF75" s="122" t="e">
        <f t="shared" si="109"/>
        <v>#DIV/0!</v>
      </c>
      <c r="AG75" s="126"/>
      <c r="AH75" s="126"/>
      <c r="AI75" s="122" t="e">
        <f t="shared" ref="AI75" si="117">AH75/AG75</f>
        <v>#DIV/0!</v>
      </c>
      <c r="AJ75" s="118"/>
      <c r="AK75" s="125"/>
      <c r="AL75" s="122" t="e">
        <f t="shared" ref="AL75" si="118">AK75/AJ75</f>
        <v>#DIV/0!</v>
      </c>
      <c r="AM75" s="126"/>
      <c r="AN75" s="126"/>
      <c r="AO75" s="122"/>
      <c r="AP75" s="118"/>
      <c r="AQ75" s="106"/>
      <c r="AR75" s="106"/>
      <c r="AS75" s="143"/>
      <c r="AT75" s="143"/>
      <c r="AU75" s="135">
        <f t="shared" si="112"/>
        <v>0</v>
      </c>
      <c r="AV75" s="135">
        <f t="shared" si="113"/>
        <v>0</v>
      </c>
      <c r="AW75" s="136" t="e">
        <f t="shared" si="29"/>
        <v>#DIV/0!</v>
      </c>
      <c r="AX75" s="137">
        <f t="shared" si="114"/>
        <v>0</v>
      </c>
      <c r="AY75" s="137">
        <f t="shared" si="115"/>
        <v>0</v>
      </c>
      <c r="AZ75" s="137">
        <f t="shared" si="24"/>
        <v>0</v>
      </c>
      <c r="BA75" s="137">
        <f t="shared" si="25"/>
        <v>0</v>
      </c>
    </row>
    <row r="76" spans="1:53" ht="34.5" customHeight="1">
      <c r="A76" s="226" t="s">
        <v>368</v>
      </c>
      <c r="B76" s="250" t="s">
        <v>334</v>
      </c>
      <c r="C76" s="251" t="s">
        <v>277</v>
      </c>
      <c r="D76" s="276" t="s">
        <v>388</v>
      </c>
      <c r="E76" s="105" t="s">
        <v>42</v>
      </c>
      <c r="F76" s="118">
        <f>I76+L76+O76+R76+U76+X76+AA76+AD76+AG76+AJ76+AM76+AP76</f>
        <v>165</v>
      </c>
      <c r="G76" s="118">
        <f t="shared" si="105"/>
        <v>0</v>
      </c>
      <c r="H76" s="122">
        <f t="shared" ref="H76" si="119">G76/F76</f>
        <v>0</v>
      </c>
      <c r="I76" s="106">
        <f>SUM(I77:I78)</f>
        <v>0</v>
      </c>
      <c r="J76" s="106">
        <f>SUM(J77:J78)</f>
        <v>0</v>
      </c>
      <c r="K76" s="106">
        <f>SUM(K77:K78)</f>
        <v>0</v>
      </c>
      <c r="L76" s="118">
        <f>SUM(L77:L78)</f>
        <v>0</v>
      </c>
      <c r="M76" s="118">
        <f>SUM(M77:M78)</f>
        <v>0</v>
      </c>
      <c r="N76" s="122"/>
      <c r="O76" s="118">
        <f>SUM(O77:O78)</f>
        <v>0</v>
      </c>
      <c r="P76" s="118">
        <f>SUM(P77:P78)</f>
        <v>0</v>
      </c>
      <c r="Q76" s="122"/>
      <c r="R76" s="118">
        <f>SUM(R77:R78)</f>
        <v>0</v>
      </c>
      <c r="S76" s="118">
        <f>SUM(S77:S78)</f>
        <v>0</v>
      </c>
      <c r="T76" s="122"/>
      <c r="U76" s="118">
        <f t="shared" ref="U76:AR76" si="120">SUM(U77:U78)</f>
        <v>165</v>
      </c>
      <c r="V76" s="118">
        <f t="shared" si="120"/>
        <v>0</v>
      </c>
      <c r="W76" s="122">
        <f t="shared" ref="W76" si="121">V76/U76</f>
        <v>0</v>
      </c>
      <c r="X76" s="118">
        <f t="shared" si="120"/>
        <v>0</v>
      </c>
      <c r="Y76" s="118">
        <f t="shared" si="120"/>
        <v>0</v>
      </c>
      <c r="Z76" s="122" t="e">
        <f t="shared" si="107"/>
        <v>#DIV/0!</v>
      </c>
      <c r="AA76" s="118">
        <f t="shared" si="120"/>
        <v>0</v>
      </c>
      <c r="AB76" s="118">
        <f t="shared" si="120"/>
        <v>0</v>
      </c>
      <c r="AC76" s="122" t="e">
        <f t="shared" si="116"/>
        <v>#DIV/0!</v>
      </c>
      <c r="AD76" s="118">
        <f t="shared" si="120"/>
        <v>0</v>
      </c>
      <c r="AE76" s="118">
        <f t="shared" si="120"/>
        <v>0</v>
      </c>
      <c r="AF76" s="122" t="e">
        <f t="shared" si="109"/>
        <v>#DIV/0!</v>
      </c>
      <c r="AG76" s="118">
        <f t="shared" si="120"/>
        <v>0</v>
      </c>
      <c r="AH76" s="118">
        <f t="shared" si="120"/>
        <v>0</v>
      </c>
      <c r="AI76" s="122"/>
      <c r="AJ76" s="118">
        <f t="shared" si="120"/>
        <v>0</v>
      </c>
      <c r="AK76" s="118">
        <f t="shared" si="120"/>
        <v>0</v>
      </c>
      <c r="AL76" s="118">
        <f t="shared" si="120"/>
        <v>0</v>
      </c>
      <c r="AM76" s="118">
        <f t="shared" si="120"/>
        <v>0</v>
      </c>
      <c r="AN76" s="118">
        <f t="shared" si="120"/>
        <v>0</v>
      </c>
      <c r="AO76" s="122" t="e">
        <f t="shared" ref="AO76" si="122">AN76/AM76</f>
        <v>#DIV/0!</v>
      </c>
      <c r="AP76" s="118">
        <f t="shared" si="120"/>
        <v>0</v>
      </c>
      <c r="AQ76" s="106">
        <f t="shared" si="120"/>
        <v>0</v>
      </c>
      <c r="AR76" s="106">
        <f t="shared" si="120"/>
        <v>0</v>
      </c>
      <c r="AS76" s="147"/>
      <c r="AT76" s="143"/>
      <c r="AU76" s="135">
        <f t="shared" si="112"/>
        <v>0</v>
      </c>
      <c r="AV76" s="135">
        <f t="shared" si="113"/>
        <v>0</v>
      </c>
      <c r="AW76" s="136" t="e">
        <f t="shared" si="29"/>
        <v>#DIV/0!</v>
      </c>
      <c r="AX76" s="137">
        <f t="shared" si="114"/>
        <v>0</v>
      </c>
      <c r="AY76" s="137">
        <f t="shared" si="115"/>
        <v>165</v>
      </c>
      <c r="AZ76" s="137">
        <f t="shared" si="24"/>
        <v>0</v>
      </c>
      <c r="BA76" s="137">
        <f t="shared" si="25"/>
        <v>0</v>
      </c>
    </row>
    <row r="77" spans="1:53" ht="34.5" customHeight="1">
      <c r="A77" s="226"/>
      <c r="B77" s="250"/>
      <c r="C77" s="252"/>
      <c r="D77" s="277"/>
      <c r="E77" s="105" t="s">
        <v>3</v>
      </c>
      <c r="F77" s="118">
        <f t="shared" si="105"/>
        <v>165</v>
      </c>
      <c r="G77" s="118">
        <f t="shared" si="105"/>
        <v>0</v>
      </c>
      <c r="H77" s="122"/>
      <c r="I77" s="106"/>
      <c r="J77" s="106"/>
      <c r="K77" s="106"/>
      <c r="L77" s="118"/>
      <c r="M77" s="118"/>
      <c r="N77" s="122"/>
      <c r="O77" s="118"/>
      <c r="P77" s="118"/>
      <c r="Q77" s="122"/>
      <c r="R77" s="118"/>
      <c r="S77" s="118"/>
      <c r="T77" s="122"/>
      <c r="U77" s="126">
        <v>165</v>
      </c>
      <c r="V77" s="126"/>
      <c r="W77" s="126"/>
      <c r="X77" s="126"/>
      <c r="Y77" s="126"/>
      <c r="Z77" s="122"/>
      <c r="AA77" s="126"/>
      <c r="AB77" s="126"/>
      <c r="AC77" s="126"/>
      <c r="AD77" s="126"/>
      <c r="AE77" s="126"/>
      <c r="AF77" s="122"/>
      <c r="AG77" s="126"/>
      <c r="AH77" s="126"/>
      <c r="AI77" s="126"/>
      <c r="AJ77" s="118"/>
      <c r="AK77" s="118"/>
      <c r="AL77" s="118"/>
      <c r="AM77" s="126"/>
      <c r="AN77" s="126"/>
      <c r="AO77" s="118"/>
      <c r="AP77" s="118"/>
      <c r="AQ77" s="106"/>
      <c r="AR77" s="106"/>
      <c r="AS77" s="147"/>
      <c r="AT77" s="143"/>
      <c r="AU77" s="135">
        <f t="shared" si="112"/>
        <v>0</v>
      </c>
      <c r="AV77" s="135">
        <f t="shared" si="113"/>
        <v>0</v>
      </c>
      <c r="AW77" s="136" t="e">
        <f t="shared" si="29"/>
        <v>#DIV/0!</v>
      </c>
      <c r="AX77" s="137">
        <f t="shared" si="114"/>
        <v>0</v>
      </c>
      <c r="AY77" s="137">
        <f t="shared" si="115"/>
        <v>165</v>
      </c>
      <c r="AZ77" s="137">
        <f t="shared" ref="AZ77:AZ139" si="123">AA77+AD77+AG77</f>
        <v>0</v>
      </c>
      <c r="BA77" s="137">
        <f t="shared" ref="BA77:BA139" si="124">AJ77+AM77+AP77</f>
        <v>0</v>
      </c>
    </row>
    <row r="78" spans="1:53" ht="34.5" customHeight="1">
      <c r="A78" s="226"/>
      <c r="B78" s="250"/>
      <c r="C78" s="253"/>
      <c r="D78" s="278"/>
      <c r="E78" s="105" t="s">
        <v>44</v>
      </c>
      <c r="F78" s="118">
        <f t="shared" si="105"/>
        <v>0</v>
      </c>
      <c r="G78" s="118">
        <f t="shared" si="105"/>
        <v>0</v>
      </c>
      <c r="H78" s="122"/>
      <c r="I78" s="106"/>
      <c r="J78" s="106"/>
      <c r="K78" s="106"/>
      <c r="L78" s="118"/>
      <c r="M78" s="118"/>
      <c r="N78" s="122"/>
      <c r="O78" s="118"/>
      <c r="P78" s="118"/>
      <c r="Q78" s="122"/>
      <c r="R78" s="118"/>
      <c r="S78" s="118"/>
      <c r="T78" s="122"/>
      <c r="U78" s="126"/>
      <c r="V78" s="126"/>
      <c r="W78" s="122" t="e">
        <f t="shared" ref="W78" si="125">V78/U78</f>
        <v>#DIV/0!</v>
      </c>
      <c r="X78" s="126"/>
      <c r="Y78" s="126"/>
      <c r="Z78" s="122" t="e">
        <f t="shared" si="107"/>
        <v>#DIV/0!</v>
      </c>
      <c r="AA78" s="126"/>
      <c r="AB78" s="126"/>
      <c r="AC78" s="122" t="e">
        <f t="shared" si="116"/>
        <v>#DIV/0!</v>
      </c>
      <c r="AD78" s="126"/>
      <c r="AE78" s="126"/>
      <c r="AF78" s="122" t="e">
        <f t="shared" si="109"/>
        <v>#DIV/0!</v>
      </c>
      <c r="AG78" s="126"/>
      <c r="AH78" s="126"/>
      <c r="AI78" s="122"/>
      <c r="AJ78" s="118"/>
      <c r="AK78" s="118"/>
      <c r="AL78" s="118"/>
      <c r="AM78" s="126"/>
      <c r="AN78" s="126"/>
      <c r="AO78" s="122" t="e">
        <f t="shared" ref="AO78" si="126">AN78/AM78</f>
        <v>#DIV/0!</v>
      </c>
      <c r="AP78" s="118"/>
      <c r="AQ78" s="106"/>
      <c r="AR78" s="106"/>
      <c r="AS78" s="147"/>
      <c r="AT78" s="143"/>
      <c r="AU78" s="135">
        <f t="shared" si="112"/>
        <v>0</v>
      </c>
      <c r="AV78" s="135">
        <f t="shared" si="113"/>
        <v>0</v>
      </c>
      <c r="AW78" s="136" t="e">
        <f t="shared" si="29"/>
        <v>#DIV/0!</v>
      </c>
      <c r="AX78" s="137">
        <f t="shared" si="114"/>
        <v>0</v>
      </c>
      <c r="AY78" s="137">
        <f t="shared" si="115"/>
        <v>0</v>
      </c>
      <c r="AZ78" s="137">
        <f t="shared" si="123"/>
        <v>0</v>
      </c>
      <c r="BA78" s="137">
        <f t="shared" si="124"/>
        <v>0</v>
      </c>
    </row>
    <row r="79" spans="1:53" ht="23.25" customHeight="1">
      <c r="A79" s="226" t="s">
        <v>369</v>
      </c>
      <c r="B79" s="250" t="s">
        <v>335</v>
      </c>
      <c r="C79" s="251" t="s">
        <v>278</v>
      </c>
      <c r="D79" s="276" t="s">
        <v>388</v>
      </c>
      <c r="E79" s="105" t="s">
        <v>42</v>
      </c>
      <c r="F79" s="118">
        <f t="shared" si="105"/>
        <v>245</v>
      </c>
      <c r="G79" s="118">
        <f t="shared" si="105"/>
        <v>0</v>
      </c>
      <c r="H79" s="122">
        <f t="shared" ref="H79:H80" si="127">G79/F79</f>
        <v>0</v>
      </c>
      <c r="I79" s="106">
        <f>SUM(I80:I81)</f>
        <v>0</v>
      </c>
      <c r="J79" s="106">
        <f>SUM(J80:J81)</f>
        <v>0</v>
      </c>
      <c r="K79" s="106">
        <f>SUM(K80:K81)</f>
        <v>0</v>
      </c>
      <c r="L79" s="118">
        <f>SUM(L80:L81)</f>
        <v>0</v>
      </c>
      <c r="M79" s="118">
        <f>SUM(M80:M81)</f>
        <v>0</v>
      </c>
      <c r="N79" s="122"/>
      <c r="O79" s="118">
        <f>SUM(O80:O81)</f>
        <v>0</v>
      </c>
      <c r="P79" s="118">
        <f>SUM(P80:P81)</f>
        <v>0</v>
      </c>
      <c r="Q79" s="122"/>
      <c r="R79" s="118">
        <f>SUM(R80:R81)</f>
        <v>0</v>
      </c>
      <c r="S79" s="118">
        <f>SUM(S80:S81)</f>
        <v>0</v>
      </c>
      <c r="T79" s="122"/>
      <c r="U79" s="118">
        <f t="shared" ref="U79:AR79" si="128">SUM(U80:U81)</f>
        <v>245</v>
      </c>
      <c r="V79" s="118">
        <f t="shared" si="128"/>
        <v>0</v>
      </c>
      <c r="W79" s="118">
        <f t="shared" si="128"/>
        <v>0</v>
      </c>
      <c r="X79" s="118">
        <f t="shared" si="128"/>
        <v>0</v>
      </c>
      <c r="Y79" s="118">
        <f t="shared" si="128"/>
        <v>0</v>
      </c>
      <c r="Z79" s="122"/>
      <c r="AA79" s="118">
        <f t="shared" si="128"/>
        <v>0</v>
      </c>
      <c r="AB79" s="118">
        <f t="shared" si="128"/>
        <v>0</v>
      </c>
      <c r="AC79" s="122"/>
      <c r="AD79" s="118">
        <f t="shared" si="128"/>
        <v>0</v>
      </c>
      <c r="AE79" s="118">
        <f t="shared" si="128"/>
        <v>0</v>
      </c>
      <c r="AF79" s="118">
        <f t="shared" si="128"/>
        <v>0</v>
      </c>
      <c r="AG79" s="118">
        <f t="shared" si="128"/>
        <v>0</v>
      </c>
      <c r="AH79" s="118">
        <f t="shared" si="128"/>
        <v>0</v>
      </c>
      <c r="AI79" s="122"/>
      <c r="AJ79" s="118">
        <f t="shared" si="128"/>
        <v>0</v>
      </c>
      <c r="AK79" s="118">
        <f t="shared" si="128"/>
        <v>0</v>
      </c>
      <c r="AL79" s="118">
        <f t="shared" si="128"/>
        <v>0</v>
      </c>
      <c r="AM79" s="118">
        <f t="shared" si="128"/>
        <v>0</v>
      </c>
      <c r="AN79" s="118">
        <f t="shared" si="128"/>
        <v>0</v>
      </c>
      <c r="AO79" s="118">
        <f t="shared" si="128"/>
        <v>0</v>
      </c>
      <c r="AP79" s="118">
        <f t="shared" si="128"/>
        <v>0</v>
      </c>
      <c r="AQ79" s="106">
        <f t="shared" si="128"/>
        <v>0</v>
      </c>
      <c r="AR79" s="106">
        <f t="shared" si="128"/>
        <v>0</v>
      </c>
      <c r="AS79" s="147"/>
      <c r="AT79" s="143"/>
      <c r="AU79" s="135">
        <f t="shared" si="112"/>
        <v>0</v>
      </c>
      <c r="AV79" s="135">
        <f t="shared" si="113"/>
        <v>0</v>
      </c>
      <c r="AW79" s="136" t="e">
        <f t="shared" si="29"/>
        <v>#DIV/0!</v>
      </c>
      <c r="AX79" s="137">
        <f t="shared" si="114"/>
        <v>0</v>
      </c>
      <c r="AY79" s="137">
        <f t="shared" si="115"/>
        <v>245</v>
      </c>
      <c r="AZ79" s="137">
        <f t="shared" si="123"/>
        <v>0</v>
      </c>
      <c r="BA79" s="137">
        <f t="shared" si="124"/>
        <v>0</v>
      </c>
    </row>
    <row r="80" spans="1:53" ht="23.25" customHeight="1">
      <c r="A80" s="226"/>
      <c r="B80" s="250"/>
      <c r="C80" s="252"/>
      <c r="D80" s="277"/>
      <c r="E80" s="105" t="s">
        <v>3</v>
      </c>
      <c r="F80" s="118">
        <f t="shared" si="105"/>
        <v>245</v>
      </c>
      <c r="G80" s="118">
        <f t="shared" si="105"/>
        <v>0</v>
      </c>
      <c r="H80" s="122">
        <f t="shared" si="127"/>
        <v>0</v>
      </c>
      <c r="I80" s="106"/>
      <c r="J80" s="106"/>
      <c r="K80" s="106"/>
      <c r="L80" s="118"/>
      <c r="M80" s="118"/>
      <c r="N80" s="122"/>
      <c r="O80" s="118"/>
      <c r="P80" s="118"/>
      <c r="Q80" s="122"/>
      <c r="R80" s="118"/>
      <c r="S80" s="118"/>
      <c r="T80" s="122"/>
      <c r="U80" s="126">
        <v>245</v>
      </c>
      <c r="V80" s="126"/>
      <c r="W80" s="126"/>
      <c r="X80" s="126"/>
      <c r="Y80" s="126"/>
      <c r="Z80" s="122"/>
      <c r="AA80" s="126"/>
      <c r="AB80" s="126"/>
      <c r="AC80" s="122"/>
      <c r="AD80" s="126"/>
      <c r="AE80" s="126"/>
      <c r="AF80" s="126"/>
      <c r="AG80" s="126"/>
      <c r="AH80" s="126"/>
      <c r="AI80" s="122"/>
      <c r="AJ80" s="118"/>
      <c r="AK80" s="118"/>
      <c r="AL80" s="118"/>
      <c r="AM80" s="126"/>
      <c r="AN80" s="126"/>
      <c r="AO80" s="126"/>
      <c r="AP80" s="118"/>
      <c r="AQ80" s="106"/>
      <c r="AR80" s="106"/>
      <c r="AS80" s="147"/>
      <c r="AT80" s="143"/>
      <c r="AU80" s="135">
        <f t="shared" si="112"/>
        <v>0</v>
      </c>
      <c r="AV80" s="135">
        <f t="shared" si="113"/>
        <v>0</v>
      </c>
      <c r="AW80" s="136" t="e">
        <f t="shared" ref="AW80:AW81" si="129">(AV80)/(AU80)*100%</f>
        <v>#DIV/0!</v>
      </c>
      <c r="AX80" s="137">
        <f t="shared" si="114"/>
        <v>0</v>
      </c>
      <c r="AY80" s="137">
        <f t="shared" si="115"/>
        <v>245</v>
      </c>
      <c r="AZ80" s="137">
        <f t="shared" si="123"/>
        <v>0</v>
      </c>
      <c r="BA80" s="137">
        <f t="shared" si="124"/>
        <v>0</v>
      </c>
    </row>
    <row r="81" spans="1:53" ht="23.25" customHeight="1">
      <c r="A81" s="226"/>
      <c r="B81" s="250"/>
      <c r="C81" s="253"/>
      <c r="D81" s="278"/>
      <c r="E81" s="105" t="s">
        <v>44</v>
      </c>
      <c r="F81" s="118">
        <f t="shared" si="105"/>
        <v>0</v>
      </c>
      <c r="G81" s="118">
        <f t="shared" si="105"/>
        <v>0</v>
      </c>
      <c r="H81" s="122"/>
      <c r="I81" s="106"/>
      <c r="J81" s="106"/>
      <c r="K81" s="106"/>
      <c r="L81" s="118"/>
      <c r="M81" s="118"/>
      <c r="N81" s="122"/>
      <c r="O81" s="118"/>
      <c r="P81" s="118"/>
      <c r="Q81" s="122"/>
      <c r="R81" s="118"/>
      <c r="S81" s="118"/>
      <c r="T81" s="122"/>
      <c r="U81" s="126"/>
      <c r="V81" s="126"/>
      <c r="W81" s="126"/>
      <c r="X81" s="126"/>
      <c r="Y81" s="126"/>
      <c r="Z81" s="122"/>
      <c r="AA81" s="126"/>
      <c r="AB81" s="126"/>
      <c r="AC81" s="122"/>
      <c r="AD81" s="126"/>
      <c r="AE81" s="126"/>
      <c r="AF81" s="126"/>
      <c r="AG81" s="126"/>
      <c r="AH81" s="126"/>
      <c r="AI81" s="122"/>
      <c r="AJ81" s="118"/>
      <c r="AK81" s="118"/>
      <c r="AL81" s="118"/>
      <c r="AM81" s="126"/>
      <c r="AN81" s="126"/>
      <c r="AO81" s="126"/>
      <c r="AP81" s="118"/>
      <c r="AQ81" s="106"/>
      <c r="AR81" s="106"/>
      <c r="AS81" s="147"/>
      <c r="AT81" s="143"/>
      <c r="AU81" s="135">
        <f t="shared" si="112"/>
        <v>0</v>
      </c>
      <c r="AV81" s="135">
        <f t="shared" si="113"/>
        <v>0</v>
      </c>
      <c r="AW81" s="136" t="e">
        <f t="shared" si="129"/>
        <v>#DIV/0!</v>
      </c>
      <c r="AX81" s="137">
        <f t="shared" si="114"/>
        <v>0</v>
      </c>
      <c r="AY81" s="137">
        <f t="shared" si="115"/>
        <v>0</v>
      </c>
      <c r="AZ81" s="137">
        <f t="shared" si="123"/>
        <v>0</v>
      </c>
      <c r="BA81" s="137">
        <f t="shared" si="124"/>
        <v>0</v>
      </c>
    </row>
    <row r="82" spans="1:53" ht="33.75" customHeight="1">
      <c r="A82" s="226" t="s">
        <v>370</v>
      </c>
      <c r="B82" s="250" t="s">
        <v>336</v>
      </c>
      <c r="C82" s="251" t="s">
        <v>277</v>
      </c>
      <c r="D82" s="276" t="s">
        <v>388</v>
      </c>
      <c r="E82" s="105" t="s">
        <v>42</v>
      </c>
      <c r="F82" s="118">
        <f t="shared" si="105"/>
        <v>402</v>
      </c>
      <c r="G82" s="118">
        <f t="shared" si="105"/>
        <v>0</v>
      </c>
      <c r="H82" s="122">
        <f t="shared" ref="H82" si="130">G82/F82</f>
        <v>0</v>
      </c>
      <c r="I82" s="106">
        <f>SUM(I83:I84)</f>
        <v>0</v>
      </c>
      <c r="J82" s="106">
        <f>SUM(J83:J84)</f>
        <v>0</v>
      </c>
      <c r="K82" s="106">
        <f>SUM(K83:K84)</f>
        <v>0</v>
      </c>
      <c r="L82" s="118">
        <f>SUM(L83:L84)</f>
        <v>0</v>
      </c>
      <c r="M82" s="118">
        <f>SUM(M83:M84)</f>
        <v>0</v>
      </c>
      <c r="N82" s="122"/>
      <c r="O82" s="118">
        <f>SUM(O83:O84)</f>
        <v>0</v>
      </c>
      <c r="P82" s="118">
        <f>SUM(P83:P84)</f>
        <v>0</v>
      </c>
      <c r="Q82" s="122"/>
      <c r="R82" s="118">
        <f>SUM(R83:R84)</f>
        <v>258</v>
      </c>
      <c r="S82" s="118">
        <f>SUM(S83:S84)</f>
        <v>0</v>
      </c>
      <c r="T82" s="122"/>
      <c r="U82" s="118">
        <f t="shared" ref="U82:AR82" si="131">SUM(U83:U84)</f>
        <v>0</v>
      </c>
      <c r="V82" s="118">
        <f t="shared" si="131"/>
        <v>0</v>
      </c>
      <c r="W82" s="118">
        <f t="shared" si="131"/>
        <v>0</v>
      </c>
      <c r="X82" s="118">
        <f t="shared" si="131"/>
        <v>144</v>
      </c>
      <c r="Y82" s="118">
        <f t="shared" si="131"/>
        <v>0</v>
      </c>
      <c r="Z82" s="122"/>
      <c r="AA82" s="118">
        <f t="shared" si="131"/>
        <v>0</v>
      </c>
      <c r="AB82" s="118">
        <f t="shared" si="131"/>
        <v>0</v>
      </c>
      <c r="AC82" s="122" t="e">
        <f t="shared" si="116"/>
        <v>#DIV/0!</v>
      </c>
      <c r="AD82" s="118">
        <f t="shared" si="131"/>
        <v>0</v>
      </c>
      <c r="AE82" s="118">
        <f t="shared" si="131"/>
        <v>0</v>
      </c>
      <c r="AF82" s="122" t="e">
        <f t="shared" ref="AF82:AF84" si="132">AE82/AD82</f>
        <v>#DIV/0!</v>
      </c>
      <c r="AG82" s="118">
        <f t="shared" si="131"/>
        <v>0</v>
      </c>
      <c r="AH82" s="118">
        <f t="shared" si="131"/>
        <v>0</v>
      </c>
      <c r="AI82" s="122" t="e">
        <f t="shared" ref="AI82:AI84" si="133">AH82/AG82</f>
        <v>#DIV/0!</v>
      </c>
      <c r="AJ82" s="118">
        <f t="shared" si="131"/>
        <v>0</v>
      </c>
      <c r="AK82" s="118">
        <f t="shared" si="131"/>
        <v>0</v>
      </c>
      <c r="AL82" s="118">
        <f t="shared" si="131"/>
        <v>0</v>
      </c>
      <c r="AM82" s="118">
        <f t="shared" si="131"/>
        <v>0</v>
      </c>
      <c r="AN82" s="118">
        <f t="shared" si="131"/>
        <v>0</v>
      </c>
      <c r="AO82" s="118"/>
      <c r="AP82" s="118">
        <f t="shared" si="131"/>
        <v>0</v>
      </c>
      <c r="AQ82" s="106">
        <f t="shared" si="131"/>
        <v>0</v>
      </c>
      <c r="AR82" s="106">
        <f t="shared" si="131"/>
        <v>0</v>
      </c>
      <c r="AS82" s="147"/>
      <c r="AT82" s="143"/>
      <c r="AU82" s="135">
        <f t="shared" si="112"/>
        <v>0</v>
      </c>
      <c r="AV82" s="135">
        <f t="shared" si="113"/>
        <v>0</v>
      </c>
      <c r="AW82" s="136" t="e">
        <f t="shared" ref="AW82:AW139" si="134">(AV82)/(AU82)*100%</f>
        <v>#DIV/0!</v>
      </c>
      <c r="AX82" s="137">
        <f t="shared" si="114"/>
        <v>0</v>
      </c>
      <c r="AY82" s="137">
        <f t="shared" si="115"/>
        <v>402</v>
      </c>
      <c r="AZ82" s="137">
        <f t="shared" si="123"/>
        <v>0</v>
      </c>
      <c r="BA82" s="137">
        <f t="shared" si="124"/>
        <v>0</v>
      </c>
    </row>
    <row r="83" spans="1:53" ht="33.75" customHeight="1">
      <c r="A83" s="226"/>
      <c r="B83" s="250"/>
      <c r="C83" s="252"/>
      <c r="D83" s="277"/>
      <c r="E83" s="105" t="s">
        <v>3</v>
      </c>
      <c r="F83" s="118">
        <f t="shared" si="105"/>
        <v>402</v>
      </c>
      <c r="G83" s="118">
        <f t="shared" si="105"/>
        <v>0</v>
      </c>
      <c r="H83" s="122"/>
      <c r="I83" s="106"/>
      <c r="J83" s="106"/>
      <c r="K83" s="106"/>
      <c r="L83" s="118"/>
      <c r="M83" s="118"/>
      <c r="N83" s="122"/>
      <c r="O83" s="118"/>
      <c r="P83" s="118"/>
      <c r="Q83" s="122"/>
      <c r="R83" s="118">
        <v>258</v>
      </c>
      <c r="S83" s="118"/>
      <c r="T83" s="122"/>
      <c r="U83" s="126"/>
      <c r="V83" s="126"/>
      <c r="W83" s="126"/>
      <c r="X83" s="126">
        <v>144</v>
      </c>
      <c r="Y83" s="126"/>
      <c r="Z83" s="122"/>
      <c r="AA83" s="126"/>
      <c r="AB83" s="126"/>
      <c r="AC83" s="122" t="e">
        <f t="shared" si="116"/>
        <v>#DIV/0!</v>
      </c>
      <c r="AD83" s="126"/>
      <c r="AE83" s="126"/>
      <c r="AF83" s="122"/>
      <c r="AG83" s="126"/>
      <c r="AH83" s="126"/>
      <c r="AI83" s="122"/>
      <c r="AJ83" s="118"/>
      <c r="AK83" s="118"/>
      <c r="AL83" s="118"/>
      <c r="AM83" s="126"/>
      <c r="AN83" s="126"/>
      <c r="AO83" s="122"/>
      <c r="AP83" s="118"/>
      <c r="AQ83" s="106"/>
      <c r="AR83" s="106"/>
      <c r="AS83" s="147"/>
      <c r="AT83" s="143"/>
      <c r="AU83" s="135">
        <f t="shared" si="112"/>
        <v>0</v>
      </c>
      <c r="AV83" s="135">
        <f t="shared" si="113"/>
        <v>0</v>
      </c>
      <c r="AW83" s="136" t="e">
        <f t="shared" si="134"/>
        <v>#DIV/0!</v>
      </c>
      <c r="AX83" s="137">
        <f t="shared" si="114"/>
        <v>0</v>
      </c>
      <c r="AY83" s="137">
        <f t="shared" si="115"/>
        <v>402</v>
      </c>
      <c r="AZ83" s="137">
        <f t="shared" si="123"/>
        <v>0</v>
      </c>
      <c r="BA83" s="137">
        <f t="shared" si="124"/>
        <v>0</v>
      </c>
    </row>
    <row r="84" spans="1:53" ht="33.75" customHeight="1">
      <c r="A84" s="226"/>
      <c r="B84" s="250"/>
      <c r="C84" s="253"/>
      <c r="D84" s="278"/>
      <c r="E84" s="105" t="s">
        <v>44</v>
      </c>
      <c r="F84" s="118">
        <f t="shared" si="105"/>
        <v>0</v>
      </c>
      <c r="G84" s="118">
        <f t="shared" si="105"/>
        <v>0</v>
      </c>
      <c r="H84" s="122"/>
      <c r="I84" s="106"/>
      <c r="J84" s="106"/>
      <c r="K84" s="106"/>
      <c r="L84" s="118"/>
      <c r="M84" s="118"/>
      <c r="N84" s="122"/>
      <c r="O84" s="118"/>
      <c r="P84" s="118"/>
      <c r="Q84" s="122"/>
      <c r="R84" s="118"/>
      <c r="S84" s="118"/>
      <c r="T84" s="122"/>
      <c r="U84" s="126"/>
      <c r="V84" s="126"/>
      <c r="W84" s="126"/>
      <c r="X84" s="126"/>
      <c r="Y84" s="126"/>
      <c r="Z84" s="122"/>
      <c r="AA84" s="126"/>
      <c r="AB84" s="126"/>
      <c r="AC84" s="122"/>
      <c r="AD84" s="126"/>
      <c r="AE84" s="126"/>
      <c r="AF84" s="122" t="e">
        <f t="shared" si="132"/>
        <v>#DIV/0!</v>
      </c>
      <c r="AG84" s="126"/>
      <c r="AH84" s="126"/>
      <c r="AI84" s="122" t="e">
        <f t="shared" si="133"/>
        <v>#DIV/0!</v>
      </c>
      <c r="AJ84" s="118"/>
      <c r="AK84" s="118"/>
      <c r="AL84" s="118"/>
      <c r="AM84" s="126"/>
      <c r="AN84" s="126"/>
      <c r="AO84" s="122"/>
      <c r="AP84" s="118"/>
      <c r="AQ84" s="106"/>
      <c r="AR84" s="106"/>
      <c r="AS84" s="147"/>
      <c r="AT84" s="143"/>
      <c r="AU84" s="135">
        <f t="shared" si="112"/>
        <v>0</v>
      </c>
      <c r="AV84" s="135">
        <f t="shared" si="113"/>
        <v>0</v>
      </c>
      <c r="AW84" s="136" t="e">
        <f t="shared" si="134"/>
        <v>#DIV/0!</v>
      </c>
      <c r="AX84" s="137">
        <f t="shared" si="114"/>
        <v>0</v>
      </c>
      <c r="AY84" s="137">
        <f t="shared" si="115"/>
        <v>0</v>
      </c>
      <c r="AZ84" s="137">
        <f t="shared" si="123"/>
        <v>0</v>
      </c>
      <c r="BA84" s="137">
        <f t="shared" si="124"/>
        <v>0</v>
      </c>
    </row>
    <row r="85" spans="1:53" ht="21.75" customHeight="1">
      <c r="A85" s="226" t="s">
        <v>371</v>
      </c>
      <c r="B85" s="234" t="s">
        <v>337</v>
      </c>
      <c r="C85" s="235" t="s">
        <v>279</v>
      </c>
      <c r="D85" s="238" t="s">
        <v>289</v>
      </c>
      <c r="E85" s="105" t="s">
        <v>42</v>
      </c>
      <c r="F85" s="118">
        <f t="shared" si="105"/>
        <v>30</v>
      </c>
      <c r="G85" s="118">
        <f t="shared" si="105"/>
        <v>0</v>
      </c>
      <c r="H85" s="122">
        <f t="shared" ref="H85" si="135">G85/F85</f>
        <v>0</v>
      </c>
      <c r="I85" s="106">
        <f>SUM(I86:I87)</f>
        <v>0</v>
      </c>
      <c r="J85" s="106">
        <f>SUM(J86:J87)</f>
        <v>0</v>
      </c>
      <c r="K85" s="106">
        <f>SUM(K86:K87)</f>
        <v>0</v>
      </c>
      <c r="L85" s="118">
        <f>SUM(L86:L87)</f>
        <v>0</v>
      </c>
      <c r="M85" s="118">
        <f>SUM(M86:M87)</f>
        <v>0</v>
      </c>
      <c r="N85" s="122"/>
      <c r="O85" s="118">
        <f>SUM(O86:O87)</f>
        <v>0</v>
      </c>
      <c r="P85" s="118">
        <f>SUM(P86:P87)</f>
        <v>0</v>
      </c>
      <c r="Q85" s="122"/>
      <c r="R85" s="118">
        <f>SUM(R86:R87)</f>
        <v>0</v>
      </c>
      <c r="S85" s="118">
        <f>SUM(S86:S87)</f>
        <v>0</v>
      </c>
      <c r="T85" s="122"/>
      <c r="U85" s="118">
        <f t="shared" ref="U85:AR85" si="136">SUM(U86:U87)</f>
        <v>0</v>
      </c>
      <c r="V85" s="118">
        <f t="shared" si="136"/>
        <v>0</v>
      </c>
      <c r="W85" s="122" t="e">
        <f t="shared" ref="W85" si="137">V85/U85</f>
        <v>#DIV/0!</v>
      </c>
      <c r="X85" s="118">
        <f t="shared" si="136"/>
        <v>0</v>
      </c>
      <c r="Y85" s="118">
        <f t="shared" si="136"/>
        <v>0</v>
      </c>
      <c r="Z85" s="122"/>
      <c r="AA85" s="118">
        <f t="shared" si="136"/>
        <v>0</v>
      </c>
      <c r="AB85" s="118">
        <f t="shared" si="136"/>
        <v>0</v>
      </c>
      <c r="AC85" s="122" t="e">
        <f t="shared" ref="AC85:AC93" si="138">AB85/AA85</f>
        <v>#DIV/0!</v>
      </c>
      <c r="AD85" s="118">
        <f t="shared" si="136"/>
        <v>0</v>
      </c>
      <c r="AE85" s="118">
        <f t="shared" si="136"/>
        <v>0</v>
      </c>
      <c r="AF85" s="118">
        <f t="shared" si="136"/>
        <v>0</v>
      </c>
      <c r="AG85" s="118">
        <f t="shared" si="136"/>
        <v>0</v>
      </c>
      <c r="AH85" s="118">
        <f t="shared" si="136"/>
        <v>0</v>
      </c>
      <c r="AI85" s="122"/>
      <c r="AJ85" s="118">
        <f t="shared" si="136"/>
        <v>0</v>
      </c>
      <c r="AK85" s="118">
        <f t="shared" si="136"/>
        <v>0</v>
      </c>
      <c r="AL85" s="122" t="e">
        <f t="shared" ref="AL85" si="139">AK85/AJ85</f>
        <v>#DIV/0!</v>
      </c>
      <c r="AM85" s="118">
        <f t="shared" si="136"/>
        <v>0</v>
      </c>
      <c r="AN85" s="118">
        <f t="shared" si="136"/>
        <v>0</v>
      </c>
      <c r="AO85" s="118">
        <f t="shared" si="136"/>
        <v>0</v>
      </c>
      <c r="AP85" s="118">
        <f t="shared" si="136"/>
        <v>30</v>
      </c>
      <c r="AQ85" s="106">
        <f t="shared" si="136"/>
        <v>0</v>
      </c>
      <c r="AR85" s="106">
        <f t="shared" si="136"/>
        <v>0</v>
      </c>
      <c r="AS85" s="147"/>
      <c r="AT85" s="143"/>
      <c r="AU85" s="135">
        <f t="shared" si="112"/>
        <v>0</v>
      </c>
      <c r="AV85" s="135">
        <f t="shared" si="113"/>
        <v>0</v>
      </c>
      <c r="AW85" s="136" t="e">
        <f t="shared" si="134"/>
        <v>#DIV/0!</v>
      </c>
      <c r="AX85" s="137">
        <f t="shared" si="114"/>
        <v>0</v>
      </c>
      <c r="AY85" s="137">
        <f t="shared" si="115"/>
        <v>0</v>
      </c>
      <c r="AZ85" s="137">
        <f t="shared" si="123"/>
        <v>0</v>
      </c>
      <c r="BA85" s="137">
        <f t="shared" si="124"/>
        <v>30</v>
      </c>
    </row>
    <row r="86" spans="1:53" ht="21.75" customHeight="1">
      <c r="A86" s="226"/>
      <c r="B86" s="234"/>
      <c r="C86" s="236"/>
      <c r="D86" s="239"/>
      <c r="E86" s="105" t="s">
        <v>3</v>
      </c>
      <c r="F86" s="118">
        <f t="shared" si="105"/>
        <v>0</v>
      </c>
      <c r="G86" s="118">
        <f t="shared" si="105"/>
        <v>0</v>
      </c>
      <c r="H86" s="122"/>
      <c r="I86" s="106"/>
      <c r="J86" s="106"/>
      <c r="K86" s="106"/>
      <c r="L86" s="118"/>
      <c r="M86" s="118"/>
      <c r="N86" s="122"/>
      <c r="O86" s="118"/>
      <c r="P86" s="118"/>
      <c r="Q86" s="122"/>
      <c r="R86" s="118"/>
      <c r="S86" s="118"/>
      <c r="T86" s="122"/>
      <c r="U86" s="126"/>
      <c r="V86" s="126"/>
      <c r="W86" s="126"/>
      <c r="X86" s="126"/>
      <c r="Y86" s="126"/>
      <c r="Z86" s="122"/>
      <c r="AA86" s="126"/>
      <c r="AB86" s="126"/>
      <c r="AC86" s="122"/>
      <c r="AD86" s="126"/>
      <c r="AE86" s="126">
        <v>0</v>
      </c>
      <c r="AF86" s="126"/>
      <c r="AG86" s="126"/>
      <c r="AH86" s="126"/>
      <c r="AI86" s="122"/>
      <c r="AJ86" s="118"/>
      <c r="AK86" s="118"/>
      <c r="AL86" s="118"/>
      <c r="AM86" s="126"/>
      <c r="AN86" s="126"/>
      <c r="AO86" s="126"/>
      <c r="AP86" s="118"/>
      <c r="AQ86" s="106"/>
      <c r="AR86" s="106"/>
      <c r="AS86" s="147"/>
      <c r="AT86" s="143"/>
      <c r="AU86" s="135">
        <f t="shared" si="112"/>
        <v>0</v>
      </c>
      <c r="AV86" s="135">
        <f t="shared" si="113"/>
        <v>0</v>
      </c>
      <c r="AW86" s="136"/>
      <c r="AX86" s="137">
        <f t="shared" si="114"/>
        <v>0</v>
      </c>
      <c r="AY86" s="137">
        <f t="shared" si="115"/>
        <v>0</v>
      </c>
      <c r="AZ86" s="137">
        <f t="shared" si="123"/>
        <v>0</v>
      </c>
      <c r="BA86" s="137">
        <f t="shared" si="124"/>
        <v>0</v>
      </c>
    </row>
    <row r="87" spans="1:53" ht="21.75" customHeight="1">
      <c r="A87" s="226"/>
      <c r="B87" s="234"/>
      <c r="C87" s="237"/>
      <c r="D87" s="240"/>
      <c r="E87" s="105" t="s">
        <v>44</v>
      </c>
      <c r="F87" s="118">
        <f t="shared" si="105"/>
        <v>30</v>
      </c>
      <c r="G87" s="118">
        <f t="shared" si="105"/>
        <v>0</v>
      </c>
      <c r="H87" s="122"/>
      <c r="I87" s="106"/>
      <c r="J87" s="106"/>
      <c r="K87" s="106"/>
      <c r="L87" s="118"/>
      <c r="M87" s="118"/>
      <c r="N87" s="122"/>
      <c r="O87" s="118"/>
      <c r="P87" s="118"/>
      <c r="Q87" s="122"/>
      <c r="R87" s="118"/>
      <c r="S87" s="118"/>
      <c r="T87" s="122"/>
      <c r="U87" s="126"/>
      <c r="V87" s="126"/>
      <c r="W87" s="122" t="e">
        <f t="shared" ref="W87" si="140">V87/U87</f>
        <v>#DIV/0!</v>
      </c>
      <c r="X87" s="126"/>
      <c r="Y87" s="126"/>
      <c r="Z87" s="122"/>
      <c r="AA87" s="126"/>
      <c r="AB87" s="126"/>
      <c r="AC87" s="122" t="e">
        <f t="shared" si="138"/>
        <v>#DIV/0!</v>
      </c>
      <c r="AD87" s="126"/>
      <c r="AE87" s="126">
        <v>0</v>
      </c>
      <c r="AF87" s="126"/>
      <c r="AG87" s="126"/>
      <c r="AH87" s="126"/>
      <c r="AI87" s="122"/>
      <c r="AJ87" s="118"/>
      <c r="AK87" s="118"/>
      <c r="AL87" s="122" t="e">
        <f t="shared" ref="AL87" si="141">AK87/AJ87</f>
        <v>#DIV/0!</v>
      </c>
      <c r="AM87" s="126"/>
      <c r="AN87" s="126"/>
      <c r="AO87" s="126"/>
      <c r="AP87" s="118">
        <v>30</v>
      </c>
      <c r="AQ87" s="106"/>
      <c r="AR87" s="106"/>
      <c r="AS87" s="143"/>
      <c r="AT87" s="143"/>
      <c r="AU87" s="135">
        <f t="shared" si="112"/>
        <v>0</v>
      </c>
      <c r="AV87" s="135">
        <f t="shared" si="113"/>
        <v>0</v>
      </c>
      <c r="AW87" s="136" t="e">
        <f t="shared" si="134"/>
        <v>#DIV/0!</v>
      </c>
      <c r="AX87" s="137">
        <f t="shared" si="114"/>
        <v>0</v>
      </c>
      <c r="AY87" s="137">
        <f t="shared" si="115"/>
        <v>0</v>
      </c>
      <c r="AZ87" s="137">
        <f t="shared" si="123"/>
        <v>0</v>
      </c>
      <c r="BA87" s="137">
        <f t="shared" si="124"/>
        <v>30</v>
      </c>
    </row>
    <row r="88" spans="1:53" ht="23.25" customHeight="1">
      <c r="A88" s="226" t="s">
        <v>372</v>
      </c>
      <c r="B88" s="250" t="s">
        <v>338</v>
      </c>
      <c r="C88" s="251" t="s">
        <v>278</v>
      </c>
      <c r="D88" s="238" t="s">
        <v>389</v>
      </c>
      <c r="E88" s="105" t="s">
        <v>42</v>
      </c>
      <c r="F88" s="118">
        <f t="shared" si="105"/>
        <v>1668.4</v>
      </c>
      <c r="G88" s="118">
        <f t="shared" si="105"/>
        <v>0</v>
      </c>
      <c r="H88" s="122">
        <f t="shared" ref="H88:H93" si="142">G88/F88</f>
        <v>0</v>
      </c>
      <c r="I88" s="106">
        <f>SUM(I89:I90)</f>
        <v>0</v>
      </c>
      <c r="J88" s="106">
        <f>SUM(J89:J90)</f>
        <v>0</v>
      </c>
      <c r="K88" s="106">
        <f>SUM(K89:K90)</f>
        <v>0</v>
      </c>
      <c r="L88" s="118">
        <f>SUM(L89:L90)</f>
        <v>0</v>
      </c>
      <c r="M88" s="118">
        <f>SUM(M89:M90)</f>
        <v>0</v>
      </c>
      <c r="N88" s="122"/>
      <c r="O88" s="118">
        <f>SUM(O89:O90)</f>
        <v>0</v>
      </c>
      <c r="P88" s="118">
        <f>SUM(P89:P90)</f>
        <v>0</v>
      </c>
      <c r="Q88" s="122"/>
      <c r="R88" s="118">
        <f>SUM(R89:R90)</f>
        <v>336</v>
      </c>
      <c r="S88" s="118">
        <f>SUM(S89:S90)</f>
        <v>0</v>
      </c>
      <c r="T88" s="122"/>
      <c r="U88" s="118">
        <f t="shared" ref="U88:AR88" si="143">SUM(U89:U90)</f>
        <v>1332.4</v>
      </c>
      <c r="V88" s="118">
        <f t="shared" si="143"/>
        <v>0</v>
      </c>
      <c r="W88" s="118">
        <f t="shared" si="143"/>
        <v>0</v>
      </c>
      <c r="X88" s="118">
        <f t="shared" si="143"/>
        <v>0</v>
      </c>
      <c r="Y88" s="118">
        <f t="shared" si="143"/>
        <v>0</v>
      </c>
      <c r="Z88" s="122" t="e">
        <f t="shared" si="107"/>
        <v>#DIV/0!</v>
      </c>
      <c r="AA88" s="118">
        <f t="shared" si="143"/>
        <v>0</v>
      </c>
      <c r="AB88" s="118">
        <f t="shared" si="143"/>
        <v>0</v>
      </c>
      <c r="AC88" s="122"/>
      <c r="AD88" s="118">
        <f t="shared" si="143"/>
        <v>0</v>
      </c>
      <c r="AE88" s="118">
        <f t="shared" si="143"/>
        <v>0</v>
      </c>
      <c r="AF88" s="118"/>
      <c r="AG88" s="118">
        <f t="shared" si="143"/>
        <v>0</v>
      </c>
      <c r="AH88" s="118">
        <f t="shared" si="143"/>
        <v>0</v>
      </c>
      <c r="AI88" s="122"/>
      <c r="AJ88" s="118">
        <f t="shared" si="143"/>
        <v>0</v>
      </c>
      <c r="AK88" s="118">
        <f t="shared" si="143"/>
        <v>0</v>
      </c>
      <c r="AL88" s="118">
        <f t="shared" si="143"/>
        <v>0</v>
      </c>
      <c r="AM88" s="118">
        <f t="shared" si="143"/>
        <v>0</v>
      </c>
      <c r="AN88" s="118">
        <f t="shared" si="143"/>
        <v>0</v>
      </c>
      <c r="AO88" s="122" t="e">
        <f t="shared" ref="AO88:AO91" si="144">AN88/AM88</f>
        <v>#DIV/0!</v>
      </c>
      <c r="AP88" s="118">
        <f t="shared" si="143"/>
        <v>0</v>
      </c>
      <c r="AQ88" s="106">
        <f t="shared" si="143"/>
        <v>0</v>
      </c>
      <c r="AR88" s="106">
        <f t="shared" si="143"/>
        <v>0</v>
      </c>
      <c r="AS88" s="147"/>
      <c r="AT88" s="143"/>
      <c r="AU88" s="135">
        <f t="shared" si="112"/>
        <v>0</v>
      </c>
      <c r="AV88" s="135">
        <f t="shared" si="113"/>
        <v>0</v>
      </c>
      <c r="AW88" s="136" t="e">
        <f t="shared" si="134"/>
        <v>#DIV/0!</v>
      </c>
      <c r="AX88" s="137">
        <f t="shared" si="114"/>
        <v>0</v>
      </c>
      <c r="AY88" s="137">
        <f t="shared" si="115"/>
        <v>1668.4</v>
      </c>
      <c r="AZ88" s="137">
        <f t="shared" si="123"/>
        <v>0</v>
      </c>
      <c r="BA88" s="137">
        <f t="shared" si="124"/>
        <v>0</v>
      </c>
    </row>
    <row r="89" spans="1:53" ht="23.25" customHeight="1">
      <c r="A89" s="226"/>
      <c r="B89" s="250"/>
      <c r="C89" s="252"/>
      <c r="D89" s="239"/>
      <c r="E89" s="105" t="s">
        <v>3</v>
      </c>
      <c r="F89" s="118">
        <f t="shared" si="105"/>
        <v>1668.4</v>
      </c>
      <c r="G89" s="118">
        <f t="shared" si="105"/>
        <v>0</v>
      </c>
      <c r="H89" s="122">
        <f t="shared" si="142"/>
        <v>0</v>
      </c>
      <c r="I89" s="106"/>
      <c r="J89" s="106"/>
      <c r="K89" s="106"/>
      <c r="L89" s="118"/>
      <c r="M89" s="118"/>
      <c r="N89" s="122"/>
      <c r="O89" s="118"/>
      <c r="P89" s="118"/>
      <c r="Q89" s="122"/>
      <c r="R89" s="118">
        <v>336</v>
      </c>
      <c r="S89" s="118"/>
      <c r="T89" s="122"/>
      <c r="U89" s="126">
        <f>1000+231.4+101</f>
        <v>1332.4</v>
      </c>
      <c r="V89" s="126"/>
      <c r="W89" s="126"/>
      <c r="X89" s="126"/>
      <c r="Y89" s="126"/>
      <c r="Z89" s="122" t="e">
        <f t="shared" si="107"/>
        <v>#DIV/0!</v>
      </c>
      <c r="AA89" s="126"/>
      <c r="AB89" s="126"/>
      <c r="AC89" s="122"/>
      <c r="AD89" s="126"/>
      <c r="AE89" s="126"/>
      <c r="AF89" s="122"/>
      <c r="AG89" s="126"/>
      <c r="AH89" s="126"/>
      <c r="AI89" s="126"/>
      <c r="AJ89" s="118"/>
      <c r="AK89" s="118"/>
      <c r="AL89" s="118"/>
      <c r="AM89" s="126"/>
      <c r="AN89" s="126"/>
      <c r="AO89" s="122"/>
      <c r="AP89" s="118"/>
      <c r="AQ89" s="106"/>
      <c r="AR89" s="106"/>
      <c r="AS89" s="147"/>
      <c r="AT89" s="143"/>
      <c r="AU89" s="135">
        <f t="shared" si="112"/>
        <v>0</v>
      </c>
      <c r="AV89" s="135">
        <f t="shared" si="113"/>
        <v>0</v>
      </c>
      <c r="AW89" s="136" t="e">
        <f t="shared" si="134"/>
        <v>#DIV/0!</v>
      </c>
      <c r="AX89" s="137">
        <f t="shared" si="114"/>
        <v>0</v>
      </c>
      <c r="AY89" s="137">
        <f t="shared" si="115"/>
        <v>1668.4</v>
      </c>
      <c r="AZ89" s="137">
        <f t="shared" si="123"/>
        <v>0</v>
      </c>
      <c r="BA89" s="137">
        <f t="shared" si="124"/>
        <v>0</v>
      </c>
    </row>
    <row r="90" spans="1:53" ht="23.25" customHeight="1">
      <c r="A90" s="226"/>
      <c r="B90" s="250"/>
      <c r="C90" s="253"/>
      <c r="D90" s="240"/>
      <c r="E90" s="105" t="s">
        <v>44</v>
      </c>
      <c r="F90" s="118">
        <f t="shared" si="105"/>
        <v>0</v>
      </c>
      <c r="G90" s="118">
        <f t="shared" si="105"/>
        <v>0</v>
      </c>
      <c r="H90" s="122"/>
      <c r="I90" s="106"/>
      <c r="J90" s="106"/>
      <c r="K90" s="106"/>
      <c r="L90" s="118"/>
      <c r="M90" s="118"/>
      <c r="N90" s="122"/>
      <c r="O90" s="118"/>
      <c r="P90" s="118"/>
      <c r="Q90" s="122"/>
      <c r="R90" s="118"/>
      <c r="S90" s="118"/>
      <c r="T90" s="122"/>
      <c r="U90" s="126"/>
      <c r="V90" s="126"/>
      <c r="W90" s="126"/>
      <c r="X90" s="126"/>
      <c r="Y90" s="126"/>
      <c r="Z90" s="122"/>
      <c r="AA90" s="126"/>
      <c r="AB90" s="126"/>
      <c r="AC90" s="122"/>
      <c r="AD90" s="126"/>
      <c r="AE90" s="126"/>
      <c r="AF90" s="126"/>
      <c r="AG90" s="126"/>
      <c r="AH90" s="126"/>
      <c r="AI90" s="126"/>
      <c r="AJ90" s="118"/>
      <c r="AK90" s="118"/>
      <c r="AL90" s="118"/>
      <c r="AM90" s="126"/>
      <c r="AN90" s="126"/>
      <c r="AO90" s="122" t="e">
        <f t="shared" si="144"/>
        <v>#DIV/0!</v>
      </c>
      <c r="AP90" s="118"/>
      <c r="AQ90" s="106"/>
      <c r="AR90" s="106"/>
      <c r="AS90" s="147"/>
      <c r="AT90" s="143"/>
      <c r="AU90" s="135">
        <f t="shared" si="112"/>
        <v>0</v>
      </c>
      <c r="AV90" s="135">
        <f t="shared" si="113"/>
        <v>0</v>
      </c>
      <c r="AW90" s="136" t="e">
        <f t="shared" si="134"/>
        <v>#DIV/0!</v>
      </c>
      <c r="AX90" s="137">
        <f t="shared" si="114"/>
        <v>0</v>
      </c>
      <c r="AY90" s="137">
        <f t="shared" si="115"/>
        <v>0</v>
      </c>
      <c r="AZ90" s="137">
        <f t="shared" si="123"/>
        <v>0</v>
      </c>
      <c r="BA90" s="137">
        <f t="shared" si="124"/>
        <v>0</v>
      </c>
    </row>
    <row r="91" spans="1:53" ht="55.5" customHeight="1">
      <c r="A91" s="226" t="s">
        <v>373</v>
      </c>
      <c r="B91" s="250" t="s">
        <v>339</v>
      </c>
      <c r="C91" s="235" t="s">
        <v>275</v>
      </c>
      <c r="D91" s="238" t="s">
        <v>289</v>
      </c>
      <c r="E91" s="105" t="s">
        <v>42</v>
      </c>
      <c r="F91" s="118">
        <f t="shared" si="105"/>
        <v>472.08999999999992</v>
      </c>
      <c r="G91" s="118">
        <f t="shared" si="105"/>
        <v>47.414200000000001</v>
      </c>
      <c r="H91" s="122">
        <f t="shared" si="142"/>
        <v>0.10043466288207759</v>
      </c>
      <c r="I91" s="118">
        <f>SUM(I92:I93)</f>
        <v>34.5</v>
      </c>
      <c r="J91" s="106">
        <f>SUM(J92:J93)</f>
        <v>34.5</v>
      </c>
      <c r="K91" s="122">
        <f t="shared" ref="K91:K93" si="145">J91/I91</f>
        <v>1</v>
      </c>
      <c r="L91" s="118">
        <f>SUM(L92:L93)</f>
        <v>352.26499999999999</v>
      </c>
      <c r="M91" s="118">
        <f>SUM(M92:M93)</f>
        <v>10.184839999999999</v>
      </c>
      <c r="N91" s="122">
        <f t="shared" ref="N91" si="146">M91/L91</f>
        <v>2.8912438079286899E-2</v>
      </c>
      <c r="O91" s="118">
        <f>SUM(O92:O93)</f>
        <v>3.2749999999999999</v>
      </c>
      <c r="P91" s="118">
        <f>SUM(P92:P93)</f>
        <v>2.7293599999999998</v>
      </c>
      <c r="Q91" s="122">
        <f t="shared" ref="Q91" si="147">P91/O91</f>
        <v>0.8333923664122137</v>
      </c>
      <c r="R91" s="118">
        <f>SUM(R92:R93)</f>
        <v>63.274999999999999</v>
      </c>
      <c r="S91" s="118">
        <f>SUM(S92:S93)</f>
        <v>0</v>
      </c>
      <c r="T91" s="122">
        <f t="shared" ref="T91" si="148">S91/R91</f>
        <v>0</v>
      </c>
      <c r="U91" s="118">
        <f t="shared" ref="U91:AR91" si="149">SUM(U92:U93)</f>
        <v>3.2749999999999999</v>
      </c>
      <c r="V91" s="118">
        <f t="shared" si="149"/>
        <v>0</v>
      </c>
      <c r="W91" s="122">
        <f t="shared" ref="W91:W93" si="150">V91/U91</f>
        <v>0</v>
      </c>
      <c r="X91" s="118">
        <f t="shared" si="149"/>
        <v>3.2749999999999999</v>
      </c>
      <c r="Y91" s="118">
        <f t="shared" si="149"/>
        <v>0</v>
      </c>
      <c r="Z91" s="122">
        <f t="shared" si="107"/>
        <v>0</v>
      </c>
      <c r="AA91" s="118">
        <f t="shared" si="149"/>
        <v>0.5</v>
      </c>
      <c r="AB91" s="118">
        <f t="shared" si="149"/>
        <v>0</v>
      </c>
      <c r="AC91" s="122">
        <f t="shared" si="138"/>
        <v>0</v>
      </c>
      <c r="AD91" s="118">
        <f t="shared" si="149"/>
        <v>0</v>
      </c>
      <c r="AE91" s="118">
        <f t="shared" si="149"/>
        <v>0</v>
      </c>
      <c r="AF91" s="118">
        <f t="shared" si="149"/>
        <v>0</v>
      </c>
      <c r="AG91" s="118">
        <f t="shared" si="149"/>
        <v>0</v>
      </c>
      <c r="AH91" s="118">
        <f t="shared" si="149"/>
        <v>0</v>
      </c>
      <c r="AI91" s="118">
        <f t="shared" si="149"/>
        <v>0</v>
      </c>
      <c r="AJ91" s="118">
        <f t="shared" si="149"/>
        <v>3.1749999999999998</v>
      </c>
      <c r="AK91" s="118">
        <f t="shared" si="149"/>
        <v>0</v>
      </c>
      <c r="AL91" s="122">
        <f t="shared" ref="AL91" si="151">AK91/AJ91</f>
        <v>0</v>
      </c>
      <c r="AM91" s="118">
        <f t="shared" si="149"/>
        <v>3.3250000000000002</v>
      </c>
      <c r="AN91" s="118">
        <f t="shared" si="149"/>
        <v>0</v>
      </c>
      <c r="AO91" s="122">
        <f t="shared" si="144"/>
        <v>0</v>
      </c>
      <c r="AP91" s="118">
        <f t="shared" si="149"/>
        <v>5.2249999999999996</v>
      </c>
      <c r="AQ91" s="106">
        <f t="shared" si="149"/>
        <v>0</v>
      </c>
      <c r="AR91" s="106">
        <f t="shared" si="149"/>
        <v>0</v>
      </c>
      <c r="AS91" s="147"/>
      <c r="AT91" s="143"/>
      <c r="AU91" s="135">
        <f t="shared" si="112"/>
        <v>390.03999999999996</v>
      </c>
      <c r="AV91" s="135">
        <f t="shared" si="113"/>
        <v>47.414200000000001</v>
      </c>
      <c r="AW91" s="136">
        <f t="shared" si="134"/>
        <v>0.12156240385601479</v>
      </c>
      <c r="AX91" s="137">
        <f t="shared" si="114"/>
        <v>390.03999999999996</v>
      </c>
      <c r="AY91" s="137">
        <f t="shared" si="115"/>
        <v>69.825000000000003</v>
      </c>
      <c r="AZ91" s="137">
        <f t="shared" si="123"/>
        <v>0.5</v>
      </c>
      <c r="BA91" s="137">
        <f t="shared" si="124"/>
        <v>11.725</v>
      </c>
    </row>
    <row r="92" spans="1:53" ht="55.5" customHeight="1">
      <c r="A92" s="226"/>
      <c r="B92" s="250"/>
      <c r="C92" s="236"/>
      <c r="D92" s="239"/>
      <c r="E92" s="105" t="s">
        <v>3</v>
      </c>
      <c r="F92" s="118">
        <f t="shared" si="105"/>
        <v>60</v>
      </c>
      <c r="G92" s="118">
        <f t="shared" si="105"/>
        <v>0</v>
      </c>
      <c r="H92" s="122">
        <f t="shared" si="142"/>
        <v>0</v>
      </c>
      <c r="I92" s="106"/>
      <c r="J92" s="106"/>
      <c r="K92" s="122"/>
      <c r="L92" s="118"/>
      <c r="M92" s="118"/>
      <c r="N92" s="122"/>
      <c r="O92" s="118"/>
      <c r="P92" s="118"/>
      <c r="Q92" s="122"/>
      <c r="R92" s="126">
        <f>62.5-2.5</f>
        <v>60</v>
      </c>
      <c r="S92" s="118"/>
      <c r="T92" s="122"/>
      <c r="U92" s="126"/>
      <c r="V92" s="126"/>
      <c r="W92" s="122" t="e">
        <f t="shared" si="150"/>
        <v>#DIV/0!</v>
      </c>
      <c r="X92" s="126"/>
      <c r="Y92" s="126"/>
      <c r="Z92" s="122" t="e">
        <f t="shared" si="107"/>
        <v>#DIV/0!</v>
      </c>
      <c r="AA92" s="126"/>
      <c r="AB92" s="126"/>
      <c r="AC92" s="122" t="e">
        <f t="shared" si="138"/>
        <v>#DIV/0!</v>
      </c>
      <c r="AD92" s="126"/>
      <c r="AE92" s="126"/>
      <c r="AF92" s="126"/>
      <c r="AG92" s="126"/>
      <c r="AH92" s="126"/>
      <c r="AI92" s="126"/>
      <c r="AJ92" s="118"/>
      <c r="AK92" s="118"/>
      <c r="AL92" s="118"/>
      <c r="AM92" s="126"/>
      <c r="AN92" s="126"/>
      <c r="AO92" s="118"/>
      <c r="AP92" s="118"/>
      <c r="AQ92" s="106"/>
      <c r="AR92" s="106"/>
      <c r="AS92" s="143"/>
      <c r="AT92" s="143"/>
      <c r="AU92" s="135">
        <f t="shared" si="112"/>
        <v>0</v>
      </c>
      <c r="AV92" s="135">
        <f t="shared" si="113"/>
        <v>0</v>
      </c>
      <c r="AW92" s="136" t="e">
        <f t="shared" si="134"/>
        <v>#DIV/0!</v>
      </c>
      <c r="AX92" s="137">
        <f t="shared" si="114"/>
        <v>0</v>
      </c>
      <c r="AY92" s="137">
        <f t="shared" si="115"/>
        <v>60</v>
      </c>
      <c r="AZ92" s="137">
        <f t="shared" si="123"/>
        <v>0</v>
      </c>
      <c r="BA92" s="137">
        <f t="shared" si="124"/>
        <v>0</v>
      </c>
    </row>
    <row r="93" spans="1:53" ht="55.5" customHeight="1">
      <c r="A93" s="226"/>
      <c r="B93" s="250"/>
      <c r="C93" s="237"/>
      <c r="D93" s="240"/>
      <c r="E93" s="105" t="s">
        <v>44</v>
      </c>
      <c r="F93" s="118">
        <f t="shared" si="105"/>
        <v>412.08999999999992</v>
      </c>
      <c r="G93" s="118">
        <f t="shared" si="105"/>
        <v>47.414200000000001</v>
      </c>
      <c r="H93" s="122">
        <f t="shared" si="142"/>
        <v>0.11505787570676311</v>
      </c>
      <c r="I93" s="118">
        <f>34.5</f>
        <v>34.5</v>
      </c>
      <c r="J93" s="118">
        <f>34.5</f>
        <v>34.5</v>
      </c>
      <c r="K93" s="122">
        <f t="shared" si="145"/>
        <v>1</v>
      </c>
      <c r="L93" s="118">
        <f>10.175+342.09</f>
        <v>352.26499999999999</v>
      </c>
      <c r="M93" s="118">
        <f>10.18484</f>
        <v>10.184839999999999</v>
      </c>
      <c r="N93" s="122">
        <f t="shared" ref="N93" si="152">M93/L93</f>
        <v>2.8912438079286899E-2</v>
      </c>
      <c r="O93" s="118">
        <v>3.2749999999999999</v>
      </c>
      <c r="P93" s="118">
        <v>2.7293599999999998</v>
      </c>
      <c r="Q93" s="122">
        <f t="shared" ref="Q93" si="153">P93/O93</f>
        <v>0.8333923664122137</v>
      </c>
      <c r="R93" s="118">
        <v>3.2749999999999999</v>
      </c>
      <c r="S93" s="118"/>
      <c r="T93" s="122">
        <f t="shared" ref="T93" si="154">S93/R93</f>
        <v>0</v>
      </c>
      <c r="U93" s="126">
        <v>3.2749999999999999</v>
      </c>
      <c r="V93" s="126"/>
      <c r="W93" s="122">
        <f t="shared" si="150"/>
        <v>0</v>
      </c>
      <c r="X93" s="126">
        <v>3.2749999999999999</v>
      </c>
      <c r="Y93" s="126"/>
      <c r="Z93" s="122">
        <f t="shared" si="107"/>
        <v>0</v>
      </c>
      <c r="AA93" s="126">
        <v>0.5</v>
      </c>
      <c r="AB93" s="126"/>
      <c r="AC93" s="122">
        <f t="shared" si="138"/>
        <v>0</v>
      </c>
      <c r="AD93" s="126"/>
      <c r="AE93" s="126"/>
      <c r="AF93" s="126"/>
      <c r="AG93" s="126"/>
      <c r="AH93" s="126"/>
      <c r="AI93" s="126"/>
      <c r="AJ93" s="118">
        <v>3.1749999999999998</v>
      </c>
      <c r="AK93" s="118"/>
      <c r="AL93" s="122">
        <f t="shared" ref="AL93" si="155">AK93/AJ93</f>
        <v>0</v>
      </c>
      <c r="AM93" s="126">
        <v>3.3250000000000002</v>
      </c>
      <c r="AN93" s="126"/>
      <c r="AO93" s="122">
        <f t="shared" ref="AO93" si="156">AN93/AM93</f>
        <v>0</v>
      </c>
      <c r="AP93" s="118">
        <v>5.2249999999999996</v>
      </c>
      <c r="AQ93" s="106"/>
      <c r="AR93" s="106"/>
      <c r="AS93" s="143" t="s">
        <v>427</v>
      </c>
      <c r="AT93" s="143" t="s">
        <v>426</v>
      </c>
      <c r="AU93" s="135">
        <f t="shared" si="112"/>
        <v>390.03999999999996</v>
      </c>
      <c r="AV93" s="135">
        <f t="shared" si="113"/>
        <v>47.414200000000001</v>
      </c>
      <c r="AW93" s="136">
        <f t="shared" si="134"/>
        <v>0.12156240385601479</v>
      </c>
      <c r="AX93" s="137">
        <f t="shared" si="114"/>
        <v>390.03999999999996</v>
      </c>
      <c r="AY93" s="137">
        <f t="shared" si="115"/>
        <v>9.8249999999999993</v>
      </c>
      <c r="AZ93" s="137">
        <f t="shared" si="123"/>
        <v>0.5</v>
      </c>
      <c r="BA93" s="137">
        <f t="shared" si="124"/>
        <v>11.725</v>
      </c>
    </row>
    <row r="94" spans="1:53" ht="21" customHeight="1">
      <c r="A94" s="127" t="s">
        <v>11</v>
      </c>
      <c r="B94" s="244" t="s">
        <v>307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6"/>
      <c r="AU94" s="135">
        <f t="shared" si="112"/>
        <v>0</v>
      </c>
      <c r="AV94" s="135">
        <f t="shared" si="113"/>
        <v>0</v>
      </c>
      <c r="AW94" s="136"/>
      <c r="AX94" s="137">
        <f t="shared" si="114"/>
        <v>0</v>
      </c>
      <c r="AY94" s="137">
        <f t="shared" si="115"/>
        <v>0</v>
      </c>
      <c r="AZ94" s="137">
        <f t="shared" si="123"/>
        <v>0</v>
      </c>
      <c r="BA94" s="137">
        <f t="shared" si="124"/>
        <v>0</v>
      </c>
    </row>
    <row r="95" spans="1:53" ht="21" customHeight="1">
      <c r="A95" s="185" t="s">
        <v>308</v>
      </c>
      <c r="B95" s="247" t="s">
        <v>293</v>
      </c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9"/>
      <c r="AU95" s="135">
        <f t="shared" si="112"/>
        <v>0</v>
      </c>
      <c r="AV95" s="135">
        <f t="shared" si="113"/>
        <v>0</v>
      </c>
      <c r="AW95" s="136"/>
      <c r="AX95" s="137">
        <f t="shared" si="114"/>
        <v>0</v>
      </c>
      <c r="AY95" s="137">
        <f t="shared" si="115"/>
        <v>0</v>
      </c>
      <c r="AZ95" s="137">
        <f t="shared" si="123"/>
        <v>0</v>
      </c>
      <c r="BA95" s="137">
        <f t="shared" si="124"/>
        <v>0</v>
      </c>
    </row>
    <row r="96" spans="1:53" ht="19.5" customHeight="1">
      <c r="A96" s="226" t="s">
        <v>374</v>
      </c>
      <c r="B96" s="234" t="s">
        <v>340</v>
      </c>
      <c r="C96" s="235" t="s">
        <v>274</v>
      </c>
      <c r="D96" s="238" t="s">
        <v>287</v>
      </c>
      <c r="E96" s="105" t="s">
        <v>42</v>
      </c>
      <c r="F96" s="118">
        <f t="shared" ref="F96:G101" si="157">I96+L96+O96+R96+U96+X96+AA96+AD96+AG96+AJ96+AM96+AP96</f>
        <v>18053.490000000002</v>
      </c>
      <c r="G96" s="118">
        <f t="shared" si="157"/>
        <v>3339.7539999999999</v>
      </c>
      <c r="H96" s="122">
        <f t="shared" ref="H96:H101" si="158">G96/F96</f>
        <v>0.18499215387163367</v>
      </c>
      <c r="I96" s="118">
        <f>SUM(I97:I98)</f>
        <v>390</v>
      </c>
      <c r="J96" s="118">
        <f>SUM(J97:J98)</f>
        <v>355</v>
      </c>
      <c r="K96" s="122">
        <f t="shared" ref="K96:K101" si="159">J96/I96</f>
        <v>0.91025641025641024</v>
      </c>
      <c r="L96" s="118">
        <f>SUM(L97:L98)</f>
        <v>1570.394</v>
      </c>
      <c r="M96" s="118">
        <f>SUM(M97:M98)</f>
        <v>1605.394</v>
      </c>
      <c r="N96" s="122">
        <f t="shared" ref="N96:N101" si="160">M96/L96</f>
        <v>1.0222874004867568</v>
      </c>
      <c r="O96" s="118">
        <f>SUM(O97:O98)</f>
        <v>1379.3600000000001</v>
      </c>
      <c r="P96" s="118">
        <f>SUM(P97:P98)</f>
        <v>1379.36</v>
      </c>
      <c r="Q96" s="122">
        <f t="shared" ref="Q96:Q101" si="161">P96/O96</f>
        <v>0.99999999999999989</v>
      </c>
      <c r="R96" s="118">
        <f>SUM(R97:R98)</f>
        <v>1327.6960000000001</v>
      </c>
      <c r="S96" s="118">
        <f>SUM(S97:S98)</f>
        <v>0</v>
      </c>
      <c r="T96" s="122">
        <f t="shared" ref="T96:T100" si="162">S96/R96</f>
        <v>0</v>
      </c>
      <c r="U96" s="118">
        <f t="shared" ref="U96:AR96" si="163">SUM(U97:U98)</f>
        <v>1776.3579999999999</v>
      </c>
      <c r="V96" s="118">
        <f t="shared" si="163"/>
        <v>0</v>
      </c>
      <c r="W96" s="122">
        <f t="shared" ref="W96" si="164">V96/U96</f>
        <v>0</v>
      </c>
      <c r="X96" s="118">
        <f t="shared" si="163"/>
        <v>1800.383</v>
      </c>
      <c r="Y96" s="118">
        <f t="shared" si="163"/>
        <v>0</v>
      </c>
      <c r="Z96" s="122">
        <f t="shared" ref="Z96:Z100" si="165">Y96/X96</f>
        <v>0</v>
      </c>
      <c r="AA96" s="118">
        <f t="shared" si="163"/>
        <v>1883.058</v>
      </c>
      <c r="AB96" s="118">
        <f t="shared" si="163"/>
        <v>0</v>
      </c>
      <c r="AC96" s="122">
        <f t="shared" ref="AC96:AC100" si="166">AB96/AA96</f>
        <v>0</v>
      </c>
      <c r="AD96" s="118">
        <f t="shared" si="163"/>
        <v>1681.1020000000001</v>
      </c>
      <c r="AE96" s="118">
        <f t="shared" si="163"/>
        <v>0</v>
      </c>
      <c r="AF96" s="122">
        <f t="shared" ref="AF96:AF100" si="167">AE96/AD96</f>
        <v>0</v>
      </c>
      <c r="AG96" s="118">
        <f t="shared" si="163"/>
        <v>1275.1580000000001</v>
      </c>
      <c r="AH96" s="118">
        <f t="shared" si="163"/>
        <v>0</v>
      </c>
      <c r="AI96" s="122">
        <f t="shared" ref="AI96:AI100" si="168">AH96/AG96</f>
        <v>0</v>
      </c>
      <c r="AJ96" s="118">
        <f t="shared" si="163"/>
        <v>1373.8579999999999</v>
      </c>
      <c r="AK96" s="118">
        <f t="shared" si="163"/>
        <v>0</v>
      </c>
      <c r="AL96" s="122">
        <f t="shared" ref="AL96" si="169">AK96/AJ96</f>
        <v>0</v>
      </c>
      <c r="AM96" s="118">
        <f t="shared" si="163"/>
        <v>1422.7350000000001</v>
      </c>
      <c r="AN96" s="118">
        <f t="shared" si="163"/>
        <v>0</v>
      </c>
      <c r="AO96" s="122">
        <f t="shared" ref="AO96" si="170">AN96/AM96</f>
        <v>0</v>
      </c>
      <c r="AP96" s="118">
        <f t="shared" si="163"/>
        <v>2173.3879999999999</v>
      </c>
      <c r="AQ96" s="106">
        <f t="shared" si="163"/>
        <v>0</v>
      </c>
      <c r="AR96" s="106">
        <f t="shared" si="163"/>
        <v>0</v>
      </c>
      <c r="AS96" s="147"/>
      <c r="AT96" s="143"/>
      <c r="AU96" s="135">
        <f t="shared" si="112"/>
        <v>3339.7539999999999</v>
      </c>
      <c r="AV96" s="135">
        <f t="shared" si="113"/>
        <v>3339.7539999999999</v>
      </c>
      <c r="AW96" s="136">
        <f t="shared" si="134"/>
        <v>1</v>
      </c>
      <c r="AX96" s="137">
        <f t="shared" si="114"/>
        <v>3339.7539999999999</v>
      </c>
      <c r="AY96" s="137">
        <f t="shared" si="115"/>
        <v>4904.4369999999999</v>
      </c>
      <c r="AZ96" s="137">
        <f t="shared" si="123"/>
        <v>4839.3180000000002</v>
      </c>
      <c r="BA96" s="137">
        <f t="shared" si="124"/>
        <v>4969.9809999999998</v>
      </c>
    </row>
    <row r="97" spans="1:53" ht="19.5" customHeight="1">
      <c r="A97" s="226"/>
      <c r="B97" s="234"/>
      <c r="C97" s="236"/>
      <c r="D97" s="239"/>
      <c r="E97" s="105" t="s">
        <v>3</v>
      </c>
      <c r="F97" s="118">
        <f t="shared" si="157"/>
        <v>0</v>
      </c>
      <c r="G97" s="118">
        <f t="shared" si="157"/>
        <v>0</v>
      </c>
      <c r="H97" s="122"/>
      <c r="I97" s="118"/>
      <c r="J97" s="118"/>
      <c r="K97" s="122"/>
      <c r="L97" s="118"/>
      <c r="M97" s="118"/>
      <c r="N97" s="122"/>
      <c r="O97" s="118"/>
      <c r="P97" s="118"/>
      <c r="Q97" s="122"/>
      <c r="R97" s="118"/>
      <c r="S97" s="118"/>
      <c r="T97" s="122"/>
      <c r="U97" s="126"/>
      <c r="V97" s="126"/>
      <c r="W97" s="126"/>
      <c r="X97" s="126"/>
      <c r="Y97" s="126"/>
      <c r="Z97" s="122"/>
      <c r="AA97" s="126"/>
      <c r="AB97" s="126"/>
      <c r="AC97" s="122"/>
      <c r="AD97" s="126"/>
      <c r="AE97" s="126"/>
      <c r="AF97" s="122"/>
      <c r="AG97" s="126"/>
      <c r="AH97" s="126"/>
      <c r="AI97" s="122"/>
      <c r="AJ97" s="118"/>
      <c r="AK97" s="118"/>
      <c r="AL97" s="118"/>
      <c r="AM97" s="126"/>
      <c r="AN97" s="126"/>
      <c r="AO97" s="126"/>
      <c r="AP97" s="118"/>
      <c r="AQ97" s="106"/>
      <c r="AR97" s="106"/>
      <c r="AS97" s="147"/>
      <c r="AT97" s="143"/>
      <c r="AU97" s="135">
        <f t="shared" si="112"/>
        <v>0</v>
      </c>
      <c r="AV97" s="135">
        <f t="shared" si="113"/>
        <v>0</v>
      </c>
      <c r="AW97" s="136"/>
      <c r="AX97" s="137">
        <f t="shared" si="114"/>
        <v>0</v>
      </c>
      <c r="AY97" s="137">
        <f t="shared" si="115"/>
        <v>0</v>
      </c>
      <c r="AZ97" s="137">
        <f t="shared" si="123"/>
        <v>0</v>
      </c>
      <c r="BA97" s="137">
        <f t="shared" si="124"/>
        <v>0</v>
      </c>
    </row>
    <row r="98" spans="1:53" ht="47.25" customHeight="1">
      <c r="A98" s="226"/>
      <c r="B98" s="234"/>
      <c r="C98" s="237"/>
      <c r="D98" s="240"/>
      <c r="E98" s="105" t="s">
        <v>44</v>
      </c>
      <c r="F98" s="118">
        <f t="shared" si="157"/>
        <v>18053.490000000002</v>
      </c>
      <c r="G98" s="118">
        <f t="shared" si="157"/>
        <v>3339.7539999999999</v>
      </c>
      <c r="H98" s="122">
        <f t="shared" ref="H98" si="171">G98/F98</f>
        <v>0.18499215387163367</v>
      </c>
      <c r="I98" s="118">
        <f>355+35</f>
        <v>390</v>
      </c>
      <c r="J98" s="118">
        <v>355</v>
      </c>
      <c r="K98" s="122">
        <f t="shared" ref="K98" si="172">J98/I98</f>
        <v>0.91025641025641024</v>
      </c>
      <c r="L98" s="118">
        <f>1468.136+102.258</f>
        <v>1570.394</v>
      </c>
      <c r="M98" s="118">
        <v>1605.394</v>
      </c>
      <c r="N98" s="122">
        <f t="shared" ref="N98" si="173">M98/L98</f>
        <v>1.0222874004867568</v>
      </c>
      <c r="O98" s="118">
        <f>1277.102+102.258</f>
        <v>1379.3600000000001</v>
      </c>
      <c r="P98" s="118">
        <v>1379.36</v>
      </c>
      <c r="Q98" s="122">
        <f t="shared" ref="Q98" si="174">P98/O98</f>
        <v>0.99999999999999989</v>
      </c>
      <c r="R98" s="118">
        <f>1225.438+102.258</f>
        <v>1327.6960000000001</v>
      </c>
      <c r="S98" s="118"/>
      <c r="T98" s="122">
        <f t="shared" ref="T98" si="175">S98/R98</f>
        <v>0</v>
      </c>
      <c r="U98" s="126">
        <f>1652.8+123.558</f>
        <v>1776.3579999999999</v>
      </c>
      <c r="V98" s="126"/>
      <c r="W98" s="122">
        <f t="shared" ref="W98:W100" si="176">V98/U98</f>
        <v>0</v>
      </c>
      <c r="X98" s="126">
        <f>1695.125+105.258</f>
        <v>1800.383</v>
      </c>
      <c r="Y98" s="126"/>
      <c r="Z98" s="122">
        <f t="shared" ref="Z98" si="177">Y98/X98</f>
        <v>0</v>
      </c>
      <c r="AA98" s="126">
        <f>1640.8+242.258</f>
        <v>1883.058</v>
      </c>
      <c r="AB98" s="126"/>
      <c r="AC98" s="122">
        <f t="shared" ref="AC98" si="178">AB98/AA98</f>
        <v>0</v>
      </c>
      <c r="AD98" s="126">
        <f>1492.844+188.258</f>
        <v>1681.1020000000001</v>
      </c>
      <c r="AE98" s="126"/>
      <c r="AF98" s="122">
        <f t="shared" ref="AF98" si="179">AE98/AD98</f>
        <v>0</v>
      </c>
      <c r="AG98" s="126">
        <f>1172.9+102.258</f>
        <v>1275.1580000000001</v>
      </c>
      <c r="AH98" s="126"/>
      <c r="AI98" s="122">
        <f t="shared" ref="AI98" si="180">AH98/AG98</f>
        <v>0</v>
      </c>
      <c r="AJ98" s="118">
        <f>1271.6+102.258</f>
        <v>1373.8579999999999</v>
      </c>
      <c r="AK98" s="118"/>
      <c r="AL98" s="122">
        <f t="shared" ref="AL98:AL100" si="181">AK98/AJ98</f>
        <v>0</v>
      </c>
      <c r="AM98" s="126">
        <f>1320.477+102.258</f>
        <v>1422.7350000000001</v>
      </c>
      <c r="AN98" s="126"/>
      <c r="AO98" s="122">
        <f t="shared" ref="AO98:AO100" si="182">AN98/AM98</f>
        <v>0</v>
      </c>
      <c r="AP98" s="118">
        <f>2011.878+161.51</f>
        <v>2173.3879999999999</v>
      </c>
      <c r="AQ98" s="106"/>
      <c r="AR98" s="106"/>
      <c r="AS98" s="142" t="s">
        <v>428</v>
      </c>
      <c r="AT98" s="143"/>
      <c r="AU98" s="135">
        <f t="shared" si="112"/>
        <v>3339.7539999999999</v>
      </c>
      <c r="AV98" s="135">
        <f t="shared" si="113"/>
        <v>3339.7539999999999</v>
      </c>
      <c r="AW98" s="136">
        <f t="shared" si="134"/>
        <v>1</v>
      </c>
      <c r="AX98" s="137">
        <f t="shared" si="114"/>
        <v>3339.7539999999999</v>
      </c>
      <c r="AY98" s="137">
        <f t="shared" si="115"/>
        <v>4904.4369999999999</v>
      </c>
      <c r="AZ98" s="137">
        <f t="shared" si="123"/>
        <v>4839.3180000000002</v>
      </c>
      <c r="BA98" s="137">
        <f t="shared" si="124"/>
        <v>4969.9809999999998</v>
      </c>
    </row>
    <row r="99" spans="1:53" ht="19.5" customHeight="1">
      <c r="A99" s="226" t="s">
        <v>375</v>
      </c>
      <c r="B99" s="234" t="s">
        <v>341</v>
      </c>
      <c r="C99" s="235" t="s">
        <v>269</v>
      </c>
      <c r="D99" s="279"/>
      <c r="E99" s="105" t="s">
        <v>42</v>
      </c>
      <c r="F99" s="118">
        <f t="shared" si="157"/>
        <v>28237.219999999998</v>
      </c>
      <c r="G99" s="118">
        <f t="shared" si="157"/>
        <v>6910.2573300000004</v>
      </c>
      <c r="H99" s="122">
        <f t="shared" si="158"/>
        <v>0.24472158838582556</v>
      </c>
      <c r="I99" s="118">
        <f>SUM(I100:I101)</f>
        <v>428</v>
      </c>
      <c r="J99" s="118">
        <f>SUM(J100:J101)</f>
        <v>2007.32034</v>
      </c>
      <c r="K99" s="122">
        <f t="shared" si="159"/>
        <v>4.6900007943925237</v>
      </c>
      <c r="L99" s="118">
        <f>SUM(L100:L101)</f>
        <v>4510.1099999999997</v>
      </c>
      <c r="M99" s="118">
        <f>SUM(M100:M101)</f>
        <v>2248.5066299999999</v>
      </c>
      <c r="N99" s="122">
        <f t="shared" si="160"/>
        <v>0.49854806867238272</v>
      </c>
      <c r="O99" s="118">
        <f>SUM(O100:O101)</f>
        <v>2734.4949999999999</v>
      </c>
      <c r="P99" s="118">
        <f>SUM(P100:P101)</f>
        <v>2654.4303599999998</v>
      </c>
      <c r="Q99" s="122">
        <f t="shared" si="161"/>
        <v>0.97072050232309803</v>
      </c>
      <c r="R99" s="118">
        <f>SUM(R100:R101)</f>
        <v>3225</v>
      </c>
      <c r="S99" s="118">
        <f>SUM(S100:S101)</f>
        <v>0</v>
      </c>
      <c r="T99" s="122">
        <f t="shared" si="162"/>
        <v>0</v>
      </c>
      <c r="U99" s="118">
        <f>SUM(U100:U101)</f>
        <v>1807.6</v>
      </c>
      <c r="V99" s="118">
        <f>SUM(V100:V101)</f>
        <v>0</v>
      </c>
      <c r="W99" s="122">
        <f t="shared" si="176"/>
        <v>0</v>
      </c>
      <c r="X99" s="118">
        <f t="shared" ref="X99:AR99" si="183">SUM(X100:X101)</f>
        <v>1776.8</v>
      </c>
      <c r="Y99" s="118">
        <f t="shared" si="183"/>
        <v>0</v>
      </c>
      <c r="Z99" s="122">
        <f t="shared" si="165"/>
        <v>0</v>
      </c>
      <c r="AA99" s="118">
        <f t="shared" si="183"/>
        <v>4261.5</v>
      </c>
      <c r="AB99" s="118">
        <f t="shared" si="183"/>
        <v>0</v>
      </c>
      <c r="AC99" s="122">
        <f t="shared" si="166"/>
        <v>0</v>
      </c>
      <c r="AD99" s="118">
        <f t="shared" si="183"/>
        <v>2198.7860000000001</v>
      </c>
      <c r="AE99" s="118">
        <f t="shared" si="183"/>
        <v>0</v>
      </c>
      <c r="AF99" s="122">
        <f t="shared" si="167"/>
        <v>0</v>
      </c>
      <c r="AG99" s="118">
        <f t="shared" si="183"/>
        <v>1219.0899999999999</v>
      </c>
      <c r="AH99" s="118">
        <f t="shared" si="183"/>
        <v>0</v>
      </c>
      <c r="AI99" s="122">
        <f t="shared" si="168"/>
        <v>0</v>
      </c>
      <c r="AJ99" s="118">
        <f t="shared" si="183"/>
        <v>2005</v>
      </c>
      <c r="AK99" s="118">
        <f t="shared" si="183"/>
        <v>0</v>
      </c>
      <c r="AL99" s="122">
        <f t="shared" si="181"/>
        <v>0</v>
      </c>
      <c r="AM99" s="118">
        <f t="shared" si="183"/>
        <v>1386.3</v>
      </c>
      <c r="AN99" s="118">
        <f t="shared" si="183"/>
        <v>0</v>
      </c>
      <c r="AO99" s="122">
        <f t="shared" si="182"/>
        <v>0</v>
      </c>
      <c r="AP99" s="118">
        <f t="shared" si="183"/>
        <v>2684.5390000000002</v>
      </c>
      <c r="AQ99" s="106">
        <f t="shared" si="183"/>
        <v>0</v>
      </c>
      <c r="AR99" s="106">
        <f t="shared" si="183"/>
        <v>0</v>
      </c>
      <c r="AS99" s="147"/>
      <c r="AT99" s="143"/>
      <c r="AU99" s="135">
        <f t="shared" si="112"/>
        <v>7672.6049999999996</v>
      </c>
      <c r="AV99" s="135">
        <f t="shared" si="113"/>
        <v>6910.2573300000004</v>
      </c>
      <c r="AW99" s="136">
        <f t="shared" si="134"/>
        <v>0.90064030795277494</v>
      </c>
      <c r="AX99" s="137">
        <f t="shared" si="114"/>
        <v>7672.6049999999996</v>
      </c>
      <c r="AY99" s="137">
        <f t="shared" si="115"/>
        <v>6809.4000000000005</v>
      </c>
      <c r="AZ99" s="137">
        <f t="shared" si="123"/>
        <v>7679.3760000000002</v>
      </c>
      <c r="BA99" s="137">
        <f t="shared" si="124"/>
        <v>6075.8389999999999</v>
      </c>
    </row>
    <row r="100" spans="1:53" ht="47.25" customHeight="1">
      <c r="A100" s="226"/>
      <c r="B100" s="234"/>
      <c r="C100" s="236"/>
      <c r="D100" s="280"/>
      <c r="E100" s="105" t="s">
        <v>3</v>
      </c>
      <c r="F100" s="118">
        <f>I100+L100+O100+R100+U100+X100+AA100+AD100+AG100+AJ100+AM100+AP100</f>
        <v>1608</v>
      </c>
      <c r="G100" s="118">
        <f t="shared" si="157"/>
        <v>177</v>
      </c>
      <c r="H100" s="122">
        <f t="shared" si="158"/>
        <v>0.11007462686567164</v>
      </c>
      <c r="I100" s="118">
        <v>20</v>
      </c>
      <c r="J100" s="118">
        <v>12.904299999999999</v>
      </c>
      <c r="K100" s="122">
        <f t="shared" si="159"/>
        <v>0.64521499999999998</v>
      </c>
      <c r="L100" s="118">
        <v>118</v>
      </c>
      <c r="M100" s="118">
        <v>78.935900000000004</v>
      </c>
      <c r="N100" s="122">
        <f t="shared" si="160"/>
        <v>0.66894830508474579</v>
      </c>
      <c r="O100" s="118">
        <v>99</v>
      </c>
      <c r="P100" s="118">
        <v>85.159800000000004</v>
      </c>
      <c r="Q100" s="122">
        <f t="shared" si="161"/>
        <v>0.86020000000000008</v>
      </c>
      <c r="R100" s="118">
        <v>158</v>
      </c>
      <c r="S100" s="118"/>
      <c r="T100" s="122">
        <f t="shared" si="162"/>
        <v>0</v>
      </c>
      <c r="U100" s="126">
        <v>167</v>
      </c>
      <c r="V100" s="126"/>
      <c r="W100" s="122">
        <f t="shared" si="176"/>
        <v>0</v>
      </c>
      <c r="X100" s="126">
        <f>204+18</f>
        <v>222</v>
      </c>
      <c r="Y100" s="126"/>
      <c r="Z100" s="122">
        <f t="shared" si="165"/>
        <v>0</v>
      </c>
      <c r="AA100" s="126">
        <v>186</v>
      </c>
      <c r="AB100" s="126"/>
      <c r="AC100" s="122">
        <f t="shared" si="166"/>
        <v>0</v>
      </c>
      <c r="AD100" s="126">
        <v>113</v>
      </c>
      <c r="AE100" s="126"/>
      <c r="AF100" s="122">
        <f t="shared" si="167"/>
        <v>0</v>
      </c>
      <c r="AG100" s="126">
        <f>79+19</f>
        <v>98</v>
      </c>
      <c r="AH100" s="126"/>
      <c r="AI100" s="122">
        <f t="shared" si="168"/>
        <v>0</v>
      </c>
      <c r="AJ100" s="118">
        <v>154</v>
      </c>
      <c r="AK100" s="118"/>
      <c r="AL100" s="122">
        <f t="shared" si="181"/>
        <v>0</v>
      </c>
      <c r="AM100" s="126">
        <v>88</v>
      </c>
      <c r="AN100" s="126"/>
      <c r="AO100" s="122">
        <f t="shared" si="182"/>
        <v>0</v>
      </c>
      <c r="AP100" s="118">
        <f>160+25</f>
        <v>185</v>
      </c>
      <c r="AQ100" s="106"/>
      <c r="AR100" s="106"/>
      <c r="AS100" s="142" t="s">
        <v>429</v>
      </c>
      <c r="AT100" s="143" t="s">
        <v>431</v>
      </c>
      <c r="AU100" s="135">
        <f t="shared" si="112"/>
        <v>237</v>
      </c>
      <c r="AV100" s="135">
        <f t="shared" si="113"/>
        <v>177</v>
      </c>
      <c r="AW100" s="136">
        <f t="shared" si="134"/>
        <v>0.74683544303797467</v>
      </c>
      <c r="AX100" s="137">
        <f t="shared" si="114"/>
        <v>237</v>
      </c>
      <c r="AY100" s="137">
        <f t="shared" si="115"/>
        <v>547</v>
      </c>
      <c r="AZ100" s="137">
        <f t="shared" si="123"/>
        <v>397</v>
      </c>
      <c r="BA100" s="137">
        <f t="shared" si="124"/>
        <v>427</v>
      </c>
    </row>
    <row r="101" spans="1:53" ht="62.25" customHeight="1">
      <c r="A101" s="226"/>
      <c r="B101" s="234"/>
      <c r="C101" s="237"/>
      <c r="D101" s="281"/>
      <c r="E101" s="105" t="s">
        <v>44</v>
      </c>
      <c r="F101" s="118">
        <f t="shared" si="157"/>
        <v>26629.219999999998</v>
      </c>
      <c r="G101" s="118">
        <f t="shared" si="157"/>
        <v>6733.2573299999995</v>
      </c>
      <c r="H101" s="122">
        <f t="shared" si="158"/>
        <v>0.25285221760156701</v>
      </c>
      <c r="I101" s="118">
        <v>408</v>
      </c>
      <c r="J101" s="118">
        <v>1994.4160400000001</v>
      </c>
      <c r="K101" s="122">
        <f t="shared" si="159"/>
        <v>4.8882746078431376</v>
      </c>
      <c r="L101" s="118">
        <f>4728.8-342.09+5.4</f>
        <v>4392.1099999999997</v>
      </c>
      <c r="M101" s="118">
        <v>2169.5707299999999</v>
      </c>
      <c r="N101" s="122">
        <f t="shared" si="160"/>
        <v>0.49397003490349745</v>
      </c>
      <c r="O101" s="118">
        <v>2635.4949999999999</v>
      </c>
      <c r="P101" s="118">
        <v>2569.2705599999999</v>
      </c>
      <c r="Q101" s="122">
        <f t="shared" si="161"/>
        <v>0.97487210561962745</v>
      </c>
      <c r="R101" s="118">
        <v>3067</v>
      </c>
      <c r="S101" s="118"/>
      <c r="T101" s="154"/>
      <c r="U101" s="126">
        <f>1646-5.4</f>
        <v>1640.6</v>
      </c>
      <c r="V101" s="126"/>
      <c r="W101" s="154"/>
      <c r="X101" s="126">
        <v>1554.8</v>
      </c>
      <c r="Y101" s="126"/>
      <c r="Z101" s="122"/>
      <c r="AA101" s="126">
        <v>4075.5</v>
      </c>
      <c r="AB101" s="126"/>
      <c r="AC101" s="154"/>
      <c r="AD101" s="126">
        <v>2085.7860000000001</v>
      </c>
      <c r="AE101" s="126"/>
      <c r="AF101" s="154"/>
      <c r="AG101" s="126">
        <v>1121.0899999999999</v>
      </c>
      <c r="AH101" s="126"/>
      <c r="AI101" s="122"/>
      <c r="AJ101" s="118">
        <v>1851</v>
      </c>
      <c r="AK101" s="118"/>
      <c r="AL101" s="122"/>
      <c r="AM101" s="126">
        <v>1298.3</v>
      </c>
      <c r="AN101" s="126"/>
      <c r="AO101" s="122"/>
      <c r="AP101" s="118">
        <v>2499.5390000000002</v>
      </c>
      <c r="AQ101" s="106"/>
      <c r="AR101" s="106"/>
      <c r="AS101" s="142" t="s">
        <v>430</v>
      </c>
      <c r="AT101" s="143" t="s">
        <v>432</v>
      </c>
      <c r="AU101" s="135">
        <f t="shared" si="112"/>
        <v>7435.6049999999996</v>
      </c>
      <c r="AV101" s="135">
        <f t="shared" si="113"/>
        <v>6733.2573299999995</v>
      </c>
      <c r="AW101" s="136">
        <f t="shared" si="134"/>
        <v>0.9055426330473445</v>
      </c>
      <c r="AX101" s="137">
        <f t="shared" si="114"/>
        <v>7435.6049999999996</v>
      </c>
      <c r="AY101" s="137">
        <f t="shared" si="115"/>
        <v>6262.4000000000005</v>
      </c>
      <c r="AZ101" s="137">
        <f t="shared" si="123"/>
        <v>7282.3760000000002</v>
      </c>
      <c r="BA101" s="137">
        <f t="shared" si="124"/>
        <v>5648.8389999999999</v>
      </c>
    </row>
    <row r="102" spans="1:53" s="108" customFormat="1" ht="19.5" customHeight="1">
      <c r="A102" s="127" t="s">
        <v>309</v>
      </c>
      <c r="B102" s="244" t="s">
        <v>310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6"/>
      <c r="AU102" s="135">
        <f t="shared" si="112"/>
        <v>0</v>
      </c>
      <c r="AV102" s="135">
        <f t="shared" si="113"/>
        <v>0</v>
      </c>
      <c r="AW102" s="136"/>
      <c r="AX102" s="137"/>
      <c r="AY102" s="137"/>
      <c r="AZ102" s="137"/>
      <c r="BA102" s="137"/>
    </row>
    <row r="103" spans="1:53" ht="19.5" customHeight="1">
      <c r="A103" s="185" t="s">
        <v>311</v>
      </c>
      <c r="B103" s="247" t="s">
        <v>312</v>
      </c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9"/>
      <c r="AU103" s="135">
        <f t="shared" si="112"/>
        <v>0</v>
      </c>
      <c r="AV103" s="135">
        <f t="shared" si="113"/>
        <v>0</v>
      </c>
      <c r="AW103" s="136"/>
      <c r="AX103" s="137"/>
      <c r="AY103" s="137"/>
      <c r="AZ103" s="137"/>
      <c r="BA103" s="137"/>
    </row>
    <row r="104" spans="1:53" ht="62.25" customHeight="1">
      <c r="A104" s="226" t="s">
        <v>376</v>
      </c>
      <c r="B104" s="234" t="s">
        <v>342</v>
      </c>
      <c r="C104" s="270" t="s">
        <v>281</v>
      </c>
      <c r="D104" s="238" t="s">
        <v>290</v>
      </c>
      <c r="E104" s="105" t="s">
        <v>42</v>
      </c>
      <c r="F104" s="118">
        <f t="shared" ref="F104:G121" si="184">I104+L104+O104+R104+U104+X104+AA104+AD104+AG104+AJ104+AM104+AP104</f>
        <v>9068.8963999999996</v>
      </c>
      <c r="G104" s="118">
        <f t="shared" si="184"/>
        <v>400</v>
      </c>
      <c r="H104" s="122">
        <f t="shared" ref="H104:H128" si="185">G104/F104</f>
        <v>4.4106800029163416E-2</v>
      </c>
      <c r="I104" s="106">
        <f t="shared" ref="I104:P104" si="186">SUM(I105:I106)</f>
        <v>0</v>
      </c>
      <c r="J104" s="106">
        <f t="shared" si="186"/>
        <v>0</v>
      </c>
      <c r="K104" s="106">
        <f t="shared" si="186"/>
        <v>0</v>
      </c>
      <c r="L104" s="106">
        <f t="shared" si="186"/>
        <v>0</v>
      </c>
      <c r="M104" s="106">
        <f t="shared" si="186"/>
        <v>0</v>
      </c>
      <c r="N104" s="106">
        <f t="shared" si="186"/>
        <v>0</v>
      </c>
      <c r="O104" s="118">
        <f t="shared" si="186"/>
        <v>400</v>
      </c>
      <c r="P104" s="118">
        <f t="shared" si="186"/>
        <v>400</v>
      </c>
      <c r="Q104" s="122">
        <f t="shared" ref="Q104:Q128" si="187">P104/O104</f>
        <v>1</v>
      </c>
      <c r="R104" s="118">
        <f>SUM(R105:R106)</f>
        <v>1039</v>
      </c>
      <c r="S104" s="118">
        <f>SUM(S105:S106)</f>
        <v>0</v>
      </c>
      <c r="T104" s="122">
        <f t="shared" ref="T104:T128" si="188">S104/R104</f>
        <v>0</v>
      </c>
      <c r="U104" s="125">
        <f t="shared" ref="U104:AR104" si="189">SUM(U105:U106)</f>
        <v>0</v>
      </c>
      <c r="V104" s="125">
        <f t="shared" si="189"/>
        <v>0</v>
      </c>
      <c r="W104" s="122" t="e">
        <f t="shared" ref="W104" si="190">V104/U104</f>
        <v>#DIV/0!</v>
      </c>
      <c r="X104" s="125">
        <f t="shared" si="189"/>
        <v>1020</v>
      </c>
      <c r="Y104" s="125">
        <f t="shared" si="189"/>
        <v>0</v>
      </c>
      <c r="Z104" s="122">
        <f t="shared" ref="Z104:Z121" si="191">Y104/X104</f>
        <v>0</v>
      </c>
      <c r="AA104" s="125">
        <f t="shared" si="189"/>
        <v>3106.2964000000002</v>
      </c>
      <c r="AB104" s="125">
        <f t="shared" si="189"/>
        <v>0</v>
      </c>
      <c r="AC104" s="122">
        <f t="shared" ref="AC104:AC109" si="192">AB104/AA104</f>
        <v>0</v>
      </c>
      <c r="AD104" s="125">
        <f t="shared" si="189"/>
        <v>1622</v>
      </c>
      <c r="AE104" s="118">
        <f t="shared" si="189"/>
        <v>0</v>
      </c>
      <c r="AF104" s="122">
        <f t="shared" ref="AF104:AF109" si="193">AE104/AD104</f>
        <v>0</v>
      </c>
      <c r="AG104" s="118">
        <f t="shared" si="189"/>
        <v>846</v>
      </c>
      <c r="AH104" s="118">
        <f t="shared" si="189"/>
        <v>0</v>
      </c>
      <c r="AI104" s="122">
        <f t="shared" ref="AI104:AI109" si="194">AH104/AG104</f>
        <v>0</v>
      </c>
      <c r="AJ104" s="118">
        <f t="shared" si="189"/>
        <v>341</v>
      </c>
      <c r="AK104" s="118">
        <f t="shared" si="189"/>
        <v>0</v>
      </c>
      <c r="AL104" s="122">
        <f t="shared" ref="AL104" si="195">AK104/AJ104</f>
        <v>0</v>
      </c>
      <c r="AM104" s="118">
        <f t="shared" si="189"/>
        <v>694.59999999999991</v>
      </c>
      <c r="AN104" s="118">
        <f t="shared" si="189"/>
        <v>0</v>
      </c>
      <c r="AO104" s="122">
        <f t="shared" ref="AO104:AO107" si="196">AN104/AM104</f>
        <v>0</v>
      </c>
      <c r="AP104" s="118">
        <f t="shared" si="189"/>
        <v>0</v>
      </c>
      <c r="AQ104" s="106">
        <f t="shared" si="189"/>
        <v>0</v>
      </c>
      <c r="AR104" s="106">
        <f t="shared" si="189"/>
        <v>0</v>
      </c>
      <c r="AS104" s="147"/>
      <c r="AT104" s="143"/>
      <c r="AU104" s="135">
        <f t="shared" si="112"/>
        <v>400</v>
      </c>
      <c r="AV104" s="135">
        <f t="shared" si="113"/>
        <v>400</v>
      </c>
      <c r="AW104" s="136">
        <f t="shared" si="134"/>
        <v>1</v>
      </c>
      <c r="AX104" s="137">
        <f t="shared" si="114"/>
        <v>400</v>
      </c>
      <c r="AY104" s="137">
        <f t="shared" si="115"/>
        <v>2059</v>
      </c>
      <c r="AZ104" s="137">
        <f t="shared" si="123"/>
        <v>5574.2964000000002</v>
      </c>
      <c r="BA104" s="137">
        <f t="shared" si="124"/>
        <v>1035.5999999999999</v>
      </c>
    </row>
    <row r="105" spans="1:53" ht="62.25" customHeight="1">
      <c r="A105" s="226"/>
      <c r="B105" s="234"/>
      <c r="C105" s="271"/>
      <c r="D105" s="239"/>
      <c r="E105" s="105" t="s">
        <v>3</v>
      </c>
      <c r="F105" s="118">
        <f t="shared" si="184"/>
        <v>5360.6963999999998</v>
      </c>
      <c r="G105" s="118">
        <f t="shared" si="184"/>
        <v>0</v>
      </c>
      <c r="H105" s="122">
        <f t="shared" si="185"/>
        <v>0</v>
      </c>
      <c r="I105" s="106"/>
      <c r="J105" s="106"/>
      <c r="K105" s="106"/>
      <c r="L105" s="106"/>
      <c r="M105" s="106"/>
      <c r="N105" s="106"/>
      <c r="O105" s="118"/>
      <c r="P105" s="118"/>
      <c r="Q105" s="122"/>
      <c r="R105" s="118">
        <v>776</v>
      </c>
      <c r="S105" s="118"/>
      <c r="T105" s="122">
        <v>0</v>
      </c>
      <c r="U105" s="124"/>
      <c r="V105" s="124"/>
      <c r="W105" s="124"/>
      <c r="X105" s="124"/>
      <c r="Y105" s="124"/>
      <c r="Z105" s="122" t="e">
        <v>#DIV/0!</v>
      </c>
      <c r="AA105" s="124">
        <f>1937-70.2036</f>
        <v>1866.7963999999999</v>
      </c>
      <c r="AB105" s="124"/>
      <c r="AC105" s="122">
        <v>0</v>
      </c>
      <c r="AD105" s="124">
        <v>1340</v>
      </c>
      <c r="AE105" s="126"/>
      <c r="AF105" s="122">
        <v>0</v>
      </c>
      <c r="AG105" s="126">
        <v>752</v>
      </c>
      <c r="AH105" s="126"/>
      <c r="AI105" s="122">
        <v>0</v>
      </c>
      <c r="AJ105" s="118">
        <v>331</v>
      </c>
      <c r="AK105" s="118"/>
      <c r="AL105" s="118"/>
      <c r="AM105" s="126">
        <v>294.89999999999998</v>
      </c>
      <c r="AN105" s="126"/>
      <c r="AO105" s="122">
        <f t="shared" si="196"/>
        <v>0</v>
      </c>
      <c r="AP105" s="118"/>
      <c r="AQ105" s="106"/>
      <c r="AR105" s="106"/>
      <c r="AS105" s="143"/>
      <c r="AT105" s="143"/>
      <c r="AU105" s="135">
        <f t="shared" si="112"/>
        <v>0</v>
      </c>
      <c r="AV105" s="135">
        <f t="shared" si="113"/>
        <v>0</v>
      </c>
      <c r="AW105" s="136" t="e">
        <f t="shared" si="134"/>
        <v>#DIV/0!</v>
      </c>
      <c r="AX105" s="137">
        <f t="shared" si="114"/>
        <v>0</v>
      </c>
      <c r="AY105" s="137">
        <f t="shared" si="115"/>
        <v>776</v>
      </c>
      <c r="AZ105" s="137">
        <f t="shared" si="123"/>
        <v>3958.7964000000002</v>
      </c>
      <c r="BA105" s="137">
        <f t="shared" si="124"/>
        <v>625.9</v>
      </c>
    </row>
    <row r="106" spans="1:53" ht="62.25" customHeight="1">
      <c r="A106" s="226"/>
      <c r="B106" s="234"/>
      <c r="C106" s="272"/>
      <c r="D106" s="240"/>
      <c r="E106" s="105" t="s">
        <v>44</v>
      </c>
      <c r="F106" s="118">
        <f t="shared" si="184"/>
        <v>3708.2</v>
      </c>
      <c r="G106" s="118">
        <f t="shared" si="184"/>
        <v>400</v>
      </c>
      <c r="H106" s="122">
        <f t="shared" si="185"/>
        <v>0.10786904697696996</v>
      </c>
      <c r="I106" s="106"/>
      <c r="J106" s="106"/>
      <c r="K106" s="106"/>
      <c r="L106" s="106"/>
      <c r="M106" s="106"/>
      <c r="N106" s="106"/>
      <c r="O106" s="118">
        <v>400</v>
      </c>
      <c r="P106" s="118">
        <v>400</v>
      </c>
      <c r="Q106" s="122">
        <f t="shared" si="187"/>
        <v>1</v>
      </c>
      <c r="R106" s="118">
        <v>263</v>
      </c>
      <c r="S106" s="118"/>
      <c r="T106" s="122"/>
      <c r="U106" s="124"/>
      <c r="V106" s="124"/>
      <c r="W106" s="122" t="e">
        <f t="shared" ref="W106:W109" si="197">V106/U106</f>
        <v>#DIV/0!</v>
      </c>
      <c r="X106" s="124">
        <v>1020</v>
      </c>
      <c r="Y106" s="124"/>
      <c r="Z106" s="122">
        <f t="shared" si="191"/>
        <v>0</v>
      </c>
      <c r="AA106" s="124">
        <f>799.2+559-118.7</f>
        <v>1239.5</v>
      </c>
      <c r="AB106" s="124"/>
      <c r="AC106" s="122">
        <f t="shared" si="192"/>
        <v>0</v>
      </c>
      <c r="AD106" s="124">
        <v>282</v>
      </c>
      <c r="AE106" s="126"/>
      <c r="AF106" s="122">
        <f t="shared" si="193"/>
        <v>0</v>
      </c>
      <c r="AG106" s="126">
        <v>94</v>
      </c>
      <c r="AH106" s="126"/>
      <c r="AI106" s="122">
        <f t="shared" si="194"/>
        <v>0</v>
      </c>
      <c r="AJ106" s="118">
        <v>10</v>
      </c>
      <c r="AK106" s="118"/>
      <c r="AL106" s="122">
        <f t="shared" ref="AL106:AL107" si="198">AK106/AJ106</f>
        <v>0</v>
      </c>
      <c r="AM106" s="126">
        <f>240+159.7</f>
        <v>399.7</v>
      </c>
      <c r="AN106" s="126"/>
      <c r="AO106" s="122">
        <f t="shared" si="196"/>
        <v>0</v>
      </c>
      <c r="AP106" s="118"/>
      <c r="AQ106" s="106"/>
      <c r="AR106" s="106"/>
      <c r="AS106" s="143" t="s">
        <v>433</v>
      </c>
      <c r="AT106" s="143"/>
      <c r="AU106" s="135">
        <f t="shared" si="112"/>
        <v>400</v>
      </c>
      <c r="AV106" s="135">
        <f t="shared" si="113"/>
        <v>400</v>
      </c>
      <c r="AW106" s="136">
        <f t="shared" si="134"/>
        <v>1</v>
      </c>
      <c r="AX106" s="137">
        <f t="shared" si="114"/>
        <v>400</v>
      </c>
      <c r="AY106" s="137">
        <f t="shared" si="115"/>
        <v>1283</v>
      </c>
      <c r="AZ106" s="137">
        <f t="shared" si="123"/>
        <v>1615.5</v>
      </c>
      <c r="BA106" s="137">
        <f t="shared" si="124"/>
        <v>409.7</v>
      </c>
    </row>
    <row r="107" spans="1:53" ht="61.5" customHeight="1">
      <c r="A107" s="226" t="s">
        <v>377</v>
      </c>
      <c r="B107" s="234" t="s">
        <v>343</v>
      </c>
      <c r="C107" s="270" t="s">
        <v>281</v>
      </c>
      <c r="D107" s="238" t="s">
        <v>290</v>
      </c>
      <c r="E107" s="105" t="s">
        <v>42</v>
      </c>
      <c r="F107" s="118">
        <f t="shared" si="184"/>
        <v>9788.8000000000011</v>
      </c>
      <c r="G107" s="118">
        <f t="shared" si="184"/>
        <v>0</v>
      </c>
      <c r="H107" s="122">
        <f t="shared" si="185"/>
        <v>0</v>
      </c>
      <c r="I107" s="106">
        <f t="shared" ref="I107:P107" si="199">SUM(I108:I109)</f>
        <v>0</v>
      </c>
      <c r="J107" s="106">
        <f t="shared" si="199"/>
        <v>0</v>
      </c>
      <c r="K107" s="106">
        <f t="shared" si="199"/>
        <v>0</v>
      </c>
      <c r="L107" s="106">
        <f t="shared" si="199"/>
        <v>0</v>
      </c>
      <c r="M107" s="106">
        <f t="shared" si="199"/>
        <v>0</v>
      </c>
      <c r="N107" s="106">
        <f t="shared" si="199"/>
        <v>0</v>
      </c>
      <c r="O107" s="118">
        <f t="shared" si="199"/>
        <v>8.5</v>
      </c>
      <c r="P107" s="118">
        <f t="shared" si="199"/>
        <v>0</v>
      </c>
      <c r="Q107" s="122">
        <f t="shared" si="187"/>
        <v>0</v>
      </c>
      <c r="R107" s="118">
        <f>SUM(R108:R109)</f>
        <v>85.8</v>
      </c>
      <c r="S107" s="118">
        <f>SUM(S108:S109)</f>
        <v>0</v>
      </c>
      <c r="T107" s="122">
        <f t="shared" si="188"/>
        <v>0</v>
      </c>
      <c r="U107" s="125">
        <f t="shared" ref="U107:AR107" si="200">SUM(U108:U109)</f>
        <v>1489.5</v>
      </c>
      <c r="V107" s="125">
        <f t="shared" si="200"/>
        <v>0</v>
      </c>
      <c r="W107" s="122">
        <f t="shared" si="197"/>
        <v>0</v>
      </c>
      <c r="X107" s="125">
        <f t="shared" si="200"/>
        <v>4109</v>
      </c>
      <c r="Y107" s="125">
        <f t="shared" si="200"/>
        <v>0</v>
      </c>
      <c r="Z107" s="122">
        <f t="shared" si="191"/>
        <v>0</v>
      </c>
      <c r="AA107" s="125">
        <f t="shared" si="200"/>
        <v>3103.5</v>
      </c>
      <c r="AB107" s="125">
        <f t="shared" si="200"/>
        <v>0</v>
      </c>
      <c r="AC107" s="122">
        <f t="shared" si="192"/>
        <v>0</v>
      </c>
      <c r="AD107" s="125">
        <f t="shared" si="200"/>
        <v>947.7</v>
      </c>
      <c r="AE107" s="118">
        <f t="shared" si="200"/>
        <v>0</v>
      </c>
      <c r="AF107" s="122">
        <f t="shared" si="193"/>
        <v>0</v>
      </c>
      <c r="AG107" s="118">
        <f t="shared" si="200"/>
        <v>38.886000000000003</v>
      </c>
      <c r="AH107" s="118">
        <f t="shared" si="200"/>
        <v>0</v>
      </c>
      <c r="AI107" s="122">
        <f t="shared" si="194"/>
        <v>0</v>
      </c>
      <c r="AJ107" s="118">
        <f t="shared" si="200"/>
        <v>0</v>
      </c>
      <c r="AK107" s="118">
        <f t="shared" si="200"/>
        <v>0</v>
      </c>
      <c r="AL107" s="122" t="e">
        <f t="shared" si="198"/>
        <v>#DIV/0!</v>
      </c>
      <c r="AM107" s="118">
        <f t="shared" si="200"/>
        <v>5.9139999999999997</v>
      </c>
      <c r="AN107" s="118">
        <f t="shared" si="200"/>
        <v>0</v>
      </c>
      <c r="AO107" s="122">
        <f t="shared" si="196"/>
        <v>0</v>
      </c>
      <c r="AP107" s="118">
        <f t="shared" si="200"/>
        <v>0</v>
      </c>
      <c r="AQ107" s="106">
        <f t="shared" si="200"/>
        <v>0</v>
      </c>
      <c r="AR107" s="106">
        <f t="shared" si="200"/>
        <v>0</v>
      </c>
      <c r="AS107" s="147"/>
      <c r="AT107" s="143"/>
      <c r="AU107" s="135">
        <f t="shared" si="112"/>
        <v>8.5</v>
      </c>
      <c r="AV107" s="135">
        <f t="shared" si="113"/>
        <v>0</v>
      </c>
      <c r="AW107" s="136">
        <f t="shared" si="134"/>
        <v>0</v>
      </c>
      <c r="AX107" s="137">
        <f t="shared" si="114"/>
        <v>8.5</v>
      </c>
      <c r="AY107" s="137">
        <f t="shared" si="115"/>
        <v>5684.3</v>
      </c>
      <c r="AZ107" s="137">
        <f t="shared" si="123"/>
        <v>4090.0859999999998</v>
      </c>
      <c r="BA107" s="137">
        <f t="shared" si="124"/>
        <v>5.9139999999999997</v>
      </c>
    </row>
    <row r="108" spans="1:53" ht="61.5" customHeight="1">
      <c r="A108" s="226"/>
      <c r="B108" s="234"/>
      <c r="C108" s="271"/>
      <c r="D108" s="239"/>
      <c r="E108" s="105" t="s">
        <v>3</v>
      </c>
      <c r="F108" s="118">
        <f t="shared" si="184"/>
        <v>9500.7999999999993</v>
      </c>
      <c r="G108" s="118">
        <f t="shared" si="184"/>
        <v>0</v>
      </c>
      <c r="H108" s="122">
        <f t="shared" si="185"/>
        <v>0</v>
      </c>
      <c r="I108" s="106"/>
      <c r="J108" s="106"/>
      <c r="K108" s="106"/>
      <c r="L108" s="106"/>
      <c r="M108" s="106"/>
      <c r="N108" s="106"/>
      <c r="O108" s="118"/>
      <c r="P108" s="118"/>
      <c r="Q108" s="122"/>
      <c r="R108" s="118"/>
      <c r="S108" s="118"/>
      <c r="T108" s="122"/>
      <c r="U108" s="124">
        <v>1459.1</v>
      </c>
      <c r="V108" s="124"/>
      <c r="W108" s="122">
        <f t="shared" si="197"/>
        <v>0</v>
      </c>
      <c r="X108" s="124">
        <v>4065.8</v>
      </c>
      <c r="Y108" s="124"/>
      <c r="Z108" s="122">
        <f t="shared" si="191"/>
        <v>0</v>
      </c>
      <c r="AA108" s="124">
        <f>3055.2+12</f>
        <v>3067.2</v>
      </c>
      <c r="AB108" s="124"/>
      <c r="AC108" s="122">
        <f t="shared" si="192"/>
        <v>0</v>
      </c>
      <c r="AD108" s="124">
        <v>908.7</v>
      </c>
      <c r="AE108" s="126"/>
      <c r="AF108" s="122">
        <f t="shared" si="193"/>
        <v>0</v>
      </c>
      <c r="AG108" s="126"/>
      <c r="AH108" s="126"/>
      <c r="AI108" s="122"/>
      <c r="AJ108" s="118"/>
      <c r="AK108" s="118"/>
      <c r="AL108" s="118"/>
      <c r="AM108" s="126"/>
      <c r="AN108" s="126"/>
      <c r="AO108" s="118"/>
      <c r="AP108" s="118"/>
      <c r="AQ108" s="106"/>
      <c r="AR108" s="106"/>
      <c r="AS108" s="147"/>
      <c r="AT108" s="143"/>
      <c r="AU108" s="135">
        <f t="shared" si="112"/>
        <v>0</v>
      </c>
      <c r="AV108" s="135">
        <f t="shared" si="113"/>
        <v>0</v>
      </c>
      <c r="AW108" s="136" t="e">
        <f t="shared" si="134"/>
        <v>#DIV/0!</v>
      </c>
      <c r="AX108" s="137">
        <f t="shared" si="114"/>
        <v>0</v>
      </c>
      <c r="AY108" s="137">
        <f t="shared" si="115"/>
        <v>5524.9</v>
      </c>
      <c r="AZ108" s="137">
        <f t="shared" si="123"/>
        <v>3975.8999999999996</v>
      </c>
      <c r="BA108" s="137">
        <f t="shared" si="124"/>
        <v>0</v>
      </c>
    </row>
    <row r="109" spans="1:53" ht="61.5" customHeight="1">
      <c r="A109" s="226"/>
      <c r="B109" s="234"/>
      <c r="C109" s="272"/>
      <c r="D109" s="240"/>
      <c r="E109" s="105" t="s">
        <v>44</v>
      </c>
      <c r="F109" s="118">
        <f t="shared" si="184"/>
        <v>288</v>
      </c>
      <c r="G109" s="118">
        <f t="shared" si="184"/>
        <v>0</v>
      </c>
      <c r="H109" s="122">
        <f t="shared" si="185"/>
        <v>0</v>
      </c>
      <c r="I109" s="106"/>
      <c r="J109" s="106"/>
      <c r="K109" s="106"/>
      <c r="L109" s="106"/>
      <c r="M109" s="106"/>
      <c r="N109" s="106"/>
      <c r="O109" s="118">
        <v>8.5</v>
      </c>
      <c r="P109" s="118">
        <v>0</v>
      </c>
      <c r="Q109" s="122">
        <f t="shared" si="187"/>
        <v>0</v>
      </c>
      <c r="R109" s="118">
        <v>85.8</v>
      </c>
      <c r="S109" s="118"/>
      <c r="T109" s="122">
        <f t="shared" si="188"/>
        <v>0</v>
      </c>
      <c r="U109" s="124">
        <v>30.4</v>
      </c>
      <c r="V109" s="124"/>
      <c r="W109" s="122">
        <f t="shared" si="197"/>
        <v>0</v>
      </c>
      <c r="X109" s="124">
        <v>43.2</v>
      </c>
      <c r="Y109" s="124"/>
      <c r="Z109" s="122">
        <f t="shared" si="191"/>
        <v>0</v>
      </c>
      <c r="AA109" s="124">
        <v>36.299999999999997</v>
      </c>
      <c r="AB109" s="124"/>
      <c r="AC109" s="122">
        <f t="shared" si="192"/>
        <v>0</v>
      </c>
      <c r="AD109" s="124">
        <v>39</v>
      </c>
      <c r="AE109" s="126"/>
      <c r="AF109" s="122">
        <f t="shared" si="193"/>
        <v>0</v>
      </c>
      <c r="AG109" s="126">
        <v>38.886000000000003</v>
      </c>
      <c r="AH109" s="126"/>
      <c r="AI109" s="122">
        <f t="shared" si="194"/>
        <v>0</v>
      </c>
      <c r="AJ109" s="118"/>
      <c r="AK109" s="118"/>
      <c r="AL109" s="122" t="e">
        <f t="shared" ref="AL109" si="201">AK109/AJ109</f>
        <v>#DIV/0!</v>
      </c>
      <c r="AM109" s="124">
        <v>5.9139999999999997</v>
      </c>
      <c r="AN109" s="126"/>
      <c r="AO109" s="122">
        <f t="shared" ref="AO109" si="202">AN109/AM109</f>
        <v>0</v>
      </c>
      <c r="AP109" s="118"/>
      <c r="AQ109" s="106"/>
      <c r="AR109" s="106"/>
      <c r="AS109" s="147"/>
      <c r="AT109" s="143" t="s">
        <v>448</v>
      </c>
      <c r="AU109" s="135">
        <f t="shared" si="112"/>
        <v>8.5</v>
      </c>
      <c r="AV109" s="135">
        <f t="shared" si="113"/>
        <v>0</v>
      </c>
      <c r="AW109" s="136">
        <f t="shared" si="134"/>
        <v>0</v>
      </c>
      <c r="AX109" s="137">
        <f t="shared" si="114"/>
        <v>8.5</v>
      </c>
      <c r="AY109" s="137">
        <f t="shared" si="115"/>
        <v>159.39999999999998</v>
      </c>
      <c r="AZ109" s="137">
        <f t="shared" si="123"/>
        <v>114.18600000000001</v>
      </c>
      <c r="BA109" s="137">
        <f t="shared" si="124"/>
        <v>5.9139999999999997</v>
      </c>
    </row>
    <row r="110" spans="1:53" ht="62.25" customHeight="1">
      <c r="A110" s="226" t="s">
        <v>378</v>
      </c>
      <c r="B110" s="250" t="s">
        <v>344</v>
      </c>
      <c r="C110" s="251" t="s">
        <v>318</v>
      </c>
      <c r="D110" s="238" t="s">
        <v>390</v>
      </c>
      <c r="E110" s="105" t="s">
        <v>42</v>
      </c>
      <c r="F110" s="118">
        <f t="shared" si="184"/>
        <v>0</v>
      </c>
      <c r="G110" s="118">
        <f t="shared" si="184"/>
        <v>0</v>
      </c>
      <c r="H110" s="122"/>
      <c r="I110" s="106">
        <f t="shared" ref="I110:P110" si="203">SUM(I111:I112)</f>
        <v>0</v>
      </c>
      <c r="J110" s="106">
        <f t="shared" si="203"/>
        <v>0</v>
      </c>
      <c r="K110" s="106">
        <f t="shared" si="203"/>
        <v>0</v>
      </c>
      <c r="L110" s="106">
        <f t="shared" si="203"/>
        <v>0</v>
      </c>
      <c r="M110" s="106">
        <f t="shared" si="203"/>
        <v>0</v>
      </c>
      <c r="N110" s="106">
        <f t="shared" si="203"/>
        <v>0</v>
      </c>
      <c r="O110" s="118">
        <f t="shared" si="203"/>
        <v>0</v>
      </c>
      <c r="P110" s="118">
        <f t="shared" si="203"/>
        <v>0</v>
      </c>
      <c r="Q110" s="122" t="e">
        <f t="shared" si="187"/>
        <v>#DIV/0!</v>
      </c>
      <c r="R110" s="118">
        <f>SUM(R111:R112)</f>
        <v>0</v>
      </c>
      <c r="S110" s="118">
        <f>SUM(S111:S112)</f>
        <v>0</v>
      </c>
      <c r="T110" s="122" t="e">
        <f t="shared" si="188"/>
        <v>#DIV/0!</v>
      </c>
      <c r="U110" s="125">
        <f t="shared" ref="U110:AR110" si="204">SUM(U111:U112)</f>
        <v>0</v>
      </c>
      <c r="V110" s="125">
        <f t="shared" si="204"/>
        <v>0</v>
      </c>
      <c r="W110" s="125">
        <f t="shared" si="204"/>
        <v>0</v>
      </c>
      <c r="X110" s="125">
        <f t="shared" si="204"/>
        <v>0</v>
      </c>
      <c r="Y110" s="125">
        <f t="shared" si="204"/>
        <v>0</v>
      </c>
      <c r="Z110" s="122"/>
      <c r="AA110" s="125">
        <f t="shared" si="204"/>
        <v>0</v>
      </c>
      <c r="AB110" s="125">
        <f t="shared" si="204"/>
        <v>0</v>
      </c>
      <c r="AC110" s="125">
        <f t="shared" si="204"/>
        <v>0</v>
      </c>
      <c r="AD110" s="125">
        <f t="shared" si="204"/>
        <v>0</v>
      </c>
      <c r="AE110" s="118">
        <f t="shared" si="204"/>
        <v>0</v>
      </c>
      <c r="AF110" s="118">
        <f t="shared" si="204"/>
        <v>0</v>
      </c>
      <c r="AG110" s="118">
        <f t="shared" si="204"/>
        <v>0</v>
      </c>
      <c r="AH110" s="118">
        <f t="shared" si="204"/>
        <v>0</v>
      </c>
      <c r="AI110" s="118">
        <f t="shared" si="204"/>
        <v>0</v>
      </c>
      <c r="AJ110" s="118">
        <f t="shared" si="204"/>
        <v>0</v>
      </c>
      <c r="AK110" s="118">
        <f t="shared" si="204"/>
        <v>0</v>
      </c>
      <c r="AL110" s="118">
        <f t="shared" si="204"/>
        <v>0</v>
      </c>
      <c r="AM110" s="118">
        <f t="shared" si="204"/>
        <v>0</v>
      </c>
      <c r="AN110" s="118">
        <f t="shared" si="204"/>
        <v>0</v>
      </c>
      <c r="AO110" s="118">
        <f t="shared" si="204"/>
        <v>0</v>
      </c>
      <c r="AP110" s="118">
        <f t="shared" si="204"/>
        <v>0</v>
      </c>
      <c r="AQ110" s="106">
        <f t="shared" si="204"/>
        <v>0</v>
      </c>
      <c r="AR110" s="106">
        <f t="shared" si="204"/>
        <v>0</v>
      </c>
      <c r="AS110" s="147"/>
      <c r="AT110" s="143"/>
      <c r="AU110" s="135">
        <f t="shared" si="112"/>
        <v>0</v>
      </c>
      <c r="AV110" s="135">
        <f t="shared" si="113"/>
        <v>0</v>
      </c>
      <c r="AW110" s="136"/>
      <c r="AX110" s="137">
        <f t="shared" si="114"/>
        <v>0</v>
      </c>
      <c r="AY110" s="137">
        <f t="shared" si="115"/>
        <v>0</v>
      </c>
      <c r="AZ110" s="137">
        <f t="shared" si="123"/>
        <v>0</v>
      </c>
      <c r="BA110" s="137">
        <f t="shared" si="124"/>
        <v>0</v>
      </c>
    </row>
    <row r="111" spans="1:53" ht="62.25" customHeight="1">
      <c r="A111" s="226"/>
      <c r="B111" s="250"/>
      <c r="C111" s="252"/>
      <c r="D111" s="239"/>
      <c r="E111" s="105" t="s">
        <v>3</v>
      </c>
      <c r="F111" s="118">
        <f t="shared" si="184"/>
        <v>0</v>
      </c>
      <c r="G111" s="118">
        <f t="shared" si="184"/>
        <v>0</v>
      </c>
      <c r="H111" s="122"/>
      <c r="I111" s="106"/>
      <c r="J111" s="106"/>
      <c r="K111" s="106"/>
      <c r="L111" s="106"/>
      <c r="M111" s="106"/>
      <c r="N111" s="106"/>
      <c r="O111" s="118"/>
      <c r="P111" s="118"/>
      <c r="Q111" s="122" t="e">
        <f t="shared" si="187"/>
        <v>#DIV/0!</v>
      </c>
      <c r="R111" s="118"/>
      <c r="S111" s="118"/>
      <c r="T111" s="122" t="e">
        <f t="shared" si="188"/>
        <v>#DIV/0!</v>
      </c>
      <c r="U111" s="124"/>
      <c r="V111" s="124"/>
      <c r="W111" s="124"/>
      <c r="X111" s="124"/>
      <c r="Y111" s="124"/>
      <c r="Z111" s="122"/>
      <c r="AA111" s="124"/>
      <c r="AB111" s="124"/>
      <c r="AC111" s="124"/>
      <c r="AD111" s="124"/>
      <c r="AE111" s="126"/>
      <c r="AF111" s="126"/>
      <c r="AG111" s="126"/>
      <c r="AH111" s="126"/>
      <c r="AI111" s="126"/>
      <c r="AJ111" s="118"/>
      <c r="AK111" s="118"/>
      <c r="AL111" s="118"/>
      <c r="AM111" s="126"/>
      <c r="AN111" s="126"/>
      <c r="AO111" s="126"/>
      <c r="AP111" s="118"/>
      <c r="AQ111" s="106"/>
      <c r="AR111" s="106"/>
      <c r="AS111" s="147"/>
      <c r="AT111" s="143"/>
      <c r="AU111" s="135">
        <f t="shared" si="112"/>
        <v>0</v>
      </c>
      <c r="AV111" s="135">
        <f t="shared" si="113"/>
        <v>0</v>
      </c>
      <c r="AW111" s="136"/>
      <c r="AX111" s="137">
        <f t="shared" si="114"/>
        <v>0</v>
      </c>
      <c r="AY111" s="137">
        <f t="shared" si="115"/>
        <v>0</v>
      </c>
      <c r="AZ111" s="137">
        <f t="shared" si="123"/>
        <v>0</v>
      </c>
      <c r="BA111" s="137">
        <f t="shared" si="124"/>
        <v>0</v>
      </c>
    </row>
    <row r="112" spans="1:53" ht="62.25" customHeight="1">
      <c r="A112" s="226"/>
      <c r="B112" s="250"/>
      <c r="C112" s="253"/>
      <c r="D112" s="240"/>
      <c r="E112" s="105" t="s">
        <v>44</v>
      </c>
      <c r="F112" s="118">
        <f t="shared" si="184"/>
        <v>0</v>
      </c>
      <c r="G112" s="118">
        <f t="shared" si="184"/>
        <v>0</v>
      </c>
      <c r="H112" s="122"/>
      <c r="I112" s="106"/>
      <c r="J112" s="106"/>
      <c r="K112" s="106"/>
      <c r="L112" s="106"/>
      <c r="M112" s="106"/>
      <c r="N112" s="106"/>
      <c r="O112" s="118"/>
      <c r="P112" s="118"/>
      <c r="Q112" s="122" t="e">
        <f t="shared" si="187"/>
        <v>#DIV/0!</v>
      </c>
      <c r="R112" s="118"/>
      <c r="S112" s="118"/>
      <c r="T112" s="122" t="e">
        <f t="shared" si="188"/>
        <v>#DIV/0!</v>
      </c>
      <c r="U112" s="124"/>
      <c r="V112" s="124"/>
      <c r="W112" s="124"/>
      <c r="X112" s="124"/>
      <c r="Y112" s="124"/>
      <c r="Z112" s="122"/>
      <c r="AA112" s="124"/>
      <c r="AB112" s="124"/>
      <c r="AC112" s="124"/>
      <c r="AD112" s="124"/>
      <c r="AE112" s="126"/>
      <c r="AF112" s="126"/>
      <c r="AG112" s="126"/>
      <c r="AH112" s="126"/>
      <c r="AI112" s="126"/>
      <c r="AJ112" s="118"/>
      <c r="AK112" s="118"/>
      <c r="AL112" s="118"/>
      <c r="AM112" s="126"/>
      <c r="AN112" s="126"/>
      <c r="AO112" s="126"/>
      <c r="AP112" s="118"/>
      <c r="AQ112" s="106"/>
      <c r="AR112" s="106"/>
      <c r="AS112" s="147"/>
      <c r="AT112" s="143"/>
      <c r="AU112" s="135">
        <f t="shared" si="112"/>
        <v>0</v>
      </c>
      <c r="AV112" s="135">
        <f t="shared" si="113"/>
        <v>0</v>
      </c>
      <c r="AW112" s="136"/>
      <c r="AX112" s="137">
        <f t="shared" si="114"/>
        <v>0</v>
      </c>
      <c r="AY112" s="137">
        <f t="shared" si="115"/>
        <v>0</v>
      </c>
      <c r="AZ112" s="137">
        <f t="shared" si="123"/>
        <v>0</v>
      </c>
      <c r="BA112" s="137">
        <f t="shared" si="124"/>
        <v>0</v>
      </c>
    </row>
    <row r="113" spans="1:53" ht="15" customHeight="1">
      <c r="A113" s="226" t="s">
        <v>379</v>
      </c>
      <c r="B113" s="250" t="s">
        <v>345</v>
      </c>
      <c r="C113" s="251" t="s">
        <v>319</v>
      </c>
      <c r="D113" s="238" t="s">
        <v>390</v>
      </c>
      <c r="E113" s="105" t="s">
        <v>42</v>
      </c>
      <c r="F113" s="118">
        <f t="shared" si="184"/>
        <v>0</v>
      </c>
      <c r="G113" s="118">
        <f t="shared" si="184"/>
        <v>0</v>
      </c>
      <c r="H113" s="122"/>
      <c r="I113" s="106">
        <f t="shared" ref="I113:P113" si="205">SUM(I114:I115)</f>
        <v>0</v>
      </c>
      <c r="J113" s="106">
        <f t="shared" si="205"/>
        <v>0</v>
      </c>
      <c r="K113" s="106">
        <f t="shared" si="205"/>
        <v>0</v>
      </c>
      <c r="L113" s="106">
        <f t="shared" si="205"/>
        <v>0</v>
      </c>
      <c r="M113" s="106">
        <f t="shared" si="205"/>
        <v>0</v>
      </c>
      <c r="N113" s="106">
        <f t="shared" si="205"/>
        <v>0</v>
      </c>
      <c r="O113" s="118">
        <f t="shared" si="205"/>
        <v>0</v>
      </c>
      <c r="P113" s="118">
        <f t="shared" si="205"/>
        <v>0</v>
      </c>
      <c r="Q113" s="122"/>
      <c r="R113" s="118">
        <f>SUM(R114:R115)</f>
        <v>0</v>
      </c>
      <c r="S113" s="118">
        <f>SUM(S114:S115)</f>
        <v>0</v>
      </c>
      <c r="T113" s="122"/>
      <c r="U113" s="125">
        <f>SUM(U114:U115)</f>
        <v>0</v>
      </c>
      <c r="V113" s="125">
        <f>SUM(V114:V115)</f>
        <v>0</v>
      </c>
      <c r="W113" s="125">
        <f>SUM(W114:W115)</f>
        <v>0</v>
      </c>
      <c r="X113" s="125"/>
      <c r="Y113" s="125"/>
      <c r="Z113" s="122"/>
      <c r="AA113" s="125">
        <f t="shared" ref="AA113:AN113" si="206">SUM(AA114:AA115)</f>
        <v>0</v>
      </c>
      <c r="AB113" s="125">
        <f t="shared" si="206"/>
        <v>0</v>
      </c>
      <c r="AC113" s="125">
        <f t="shared" si="206"/>
        <v>0</v>
      </c>
      <c r="AD113" s="125">
        <f t="shared" si="206"/>
        <v>0</v>
      </c>
      <c r="AE113" s="118">
        <f t="shared" si="206"/>
        <v>0</v>
      </c>
      <c r="AF113" s="118">
        <f t="shared" si="206"/>
        <v>0</v>
      </c>
      <c r="AG113" s="118">
        <f t="shared" si="206"/>
        <v>0</v>
      </c>
      <c r="AH113" s="118">
        <f t="shared" si="206"/>
        <v>0</v>
      </c>
      <c r="AI113" s="118">
        <f t="shared" si="206"/>
        <v>0</v>
      </c>
      <c r="AJ113" s="118">
        <f t="shared" si="206"/>
        <v>0</v>
      </c>
      <c r="AK113" s="118">
        <f t="shared" si="206"/>
        <v>0</v>
      </c>
      <c r="AL113" s="118">
        <f t="shared" si="206"/>
        <v>0</v>
      </c>
      <c r="AM113" s="118">
        <f t="shared" si="206"/>
        <v>0</v>
      </c>
      <c r="AN113" s="118">
        <f t="shared" si="206"/>
        <v>0</v>
      </c>
      <c r="AO113" s="118"/>
      <c r="AP113" s="118">
        <f>SUM(AP114:AP115)</f>
        <v>0</v>
      </c>
      <c r="AQ113" s="106">
        <f>SUM(AQ114:AQ115)</f>
        <v>0</v>
      </c>
      <c r="AR113" s="106">
        <f>SUM(AR114:AR115)</f>
        <v>0</v>
      </c>
      <c r="AS113" s="147"/>
      <c r="AT113" s="143"/>
      <c r="AU113" s="135">
        <f t="shared" si="112"/>
        <v>0</v>
      </c>
      <c r="AV113" s="135">
        <f t="shared" si="113"/>
        <v>0</v>
      </c>
      <c r="AW113" s="136"/>
      <c r="AX113" s="137">
        <f t="shared" si="114"/>
        <v>0</v>
      </c>
      <c r="AY113" s="137">
        <f t="shared" si="115"/>
        <v>0</v>
      </c>
      <c r="AZ113" s="137">
        <f t="shared" si="123"/>
        <v>0</v>
      </c>
      <c r="BA113" s="137">
        <f t="shared" si="124"/>
        <v>0</v>
      </c>
    </row>
    <row r="114" spans="1:53" ht="16.5" customHeight="1">
      <c r="A114" s="226"/>
      <c r="B114" s="250"/>
      <c r="C114" s="252"/>
      <c r="D114" s="239"/>
      <c r="E114" s="105" t="s">
        <v>3</v>
      </c>
      <c r="F114" s="118">
        <f t="shared" si="184"/>
        <v>0</v>
      </c>
      <c r="G114" s="118">
        <f t="shared" si="184"/>
        <v>0</v>
      </c>
      <c r="H114" s="122"/>
      <c r="I114" s="106"/>
      <c r="J114" s="106"/>
      <c r="K114" s="106"/>
      <c r="L114" s="106"/>
      <c r="M114" s="106"/>
      <c r="N114" s="106"/>
      <c r="O114" s="118"/>
      <c r="P114" s="118"/>
      <c r="Q114" s="122"/>
      <c r="R114" s="118"/>
      <c r="S114" s="118"/>
      <c r="T114" s="122"/>
      <c r="U114" s="124"/>
      <c r="V114" s="124"/>
      <c r="W114" s="124"/>
      <c r="X114" s="124"/>
      <c r="Y114" s="124"/>
      <c r="Z114" s="122"/>
      <c r="AA114" s="124"/>
      <c r="AB114" s="124"/>
      <c r="AC114" s="124"/>
      <c r="AD114" s="124"/>
      <c r="AE114" s="126"/>
      <c r="AF114" s="126"/>
      <c r="AG114" s="126"/>
      <c r="AH114" s="126"/>
      <c r="AI114" s="126"/>
      <c r="AJ114" s="118"/>
      <c r="AK114" s="118"/>
      <c r="AL114" s="118"/>
      <c r="AM114" s="126"/>
      <c r="AN114" s="126"/>
      <c r="AO114" s="126"/>
      <c r="AP114" s="118"/>
      <c r="AQ114" s="106"/>
      <c r="AR114" s="106"/>
      <c r="AS114" s="147"/>
      <c r="AT114" s="143"/>
      <c r="AU114" s="135">
        <f t="shared" si="112"/>
        <v>0</v>
      </c>
      <c r="AV114" s="135">
        <f t="shared" si="113"/>
        <v>0</v>
      </c>
      <c r="AW114" s="136"/>
      <c r="AX114" s="137">
        <f t="shared" si="114"/>
        <v>0</v>
      </c>
      <c r="AY114" s="137">
        <f t="shared" si="115"/>
        <v>0</v>
      </c>
      <c r="AZ114" s="137">
        <f t="shared" si="123"/>
        <v>0</v>
      </c>
      <c r="BA114" s="137">
        <f t="shared" si="124"/>
        <v>0</v>
      </c>
    </row>
    <row r="115" spans="1:53" ht="18" customHeight="1">
      <c r="A115" s="226"/>
      <c r="B115" s="250"/>
      <c r="C115" s="253"/>
      <c r="D115" s="240"/>
      <c r="E115" s="105" t="s">
        <v>44</v>
      </c>
      <c r="F115" s="118">
        <f t="shared" si="184"/>
        <v>0</v>
      </c>
      <c r="G115" s="118">
        <f t="shared" si="184"/>
        <v>0</v>
      </c>
      <c r="H115" s="122"/>
      <c r="I115" s="106"/>
      <c r="J115" s="106"/>
      <c r="K115" s="106"/>
      <c r="L115" s="106"/>
      <c r="M115" s="106"/>
      <c r="N115" s="106"/>
      <c r="O115" s="118"/>
      <c r="P115" s="118"/>
      <c r="Q115" s="122"/>
      <c r="R115" s="118"/>
      <c r="S115" s="118"/>
      <c r="T115" s="122"/>
      <c r="U115" s="124"/>
      <c r="V115" s="124"/>
      <c r="W115" s="124"/>
      <c r="X115" s="124"/>
      <c r="Y115" s="124"/>
      <c r="Z115" s="122"/>
      <c r="AA115" s="124"/>
      <c r="AB115" s="124"/>
      <c r="AC115" s="124"/>
      <c r="AD115" s="124"/>
      <c r="AE115" s="126"/>
      <c r="AF115" s="126"/>
      <c r="AG115" s="126"/>
      <c r="AH115" s="126"/>
      <c r="AI115" s="126"/>
      <c r="AJ115" s="118"/>
      <c r="AK115" s="118"/>
      <c r="AL115" s="118"/>
      <c r="AM115" s="126"/>
      <c r="AN115" s="126"/>
      <c r="AO115" s="126"/>
      <c r="AP115" s="118"/>
      <c r="AQ115" s="106"/>
      <c r="AR115" s="106"/>
      <c r="AS115" s="147"/>
      <c r="AT115" s="143"/>
      <c r="AU115" s="135">
        <f t="shared" si="112"/>
        <v>0</v>
      </c>
      <c r="AV115" s="135">
        <f t="shared" si="113"/>
        <v>0</v>
      </c>
      <c r="AW115" s="136"/>
      <c r="AX115" s="137">
        <f t="shared" si="114"/>
        <v>0</v>
      </c>
      <c r="AY115" s="137">
        <f t="shared" si="115"/>
        <v>0</v>
      </c>
      <c r="AZ115" s="137">
        <f t="shared" si="123"/>
        <v>0</v>
      </c>
      <c r="BA115" s="137">
        <f t="shared" si="124"/>
        <v>0</v>
      </c>
    </row>
    <row r="116" spans="1:53" ht="21" customHeight="1">
      <c r="A116" s="226" t="s">
        <v>380</v>
      </c>
      <c r="B116" s="250" t="s">
        <v>346</v>
      </c>
      <c r="C116" s="235" t="s">
        <v>282</v>
      </c>
      <c r="D116" s="238" t="s">
        <v>285</v>
      </c>
      <c r="E116" s="105" t="s">
        <v>42</v>
      </c>
      <c r="F116" s="118">
        <f t="shared" si="184"/>
        <v>200</v>
      </c>
      <c r="G116" s="118">
        <f t="shared" si="184"/>
        <v>0</v>
      </c>
      <c r="H116" s="122">
        <f t="shared" si="185"/>
        <v>0</v>
      </c>
      <c r="I116" s="106">
        <f t="shared" ref="I116:P116" si="207">SUM(I117:I118)</f>
        <v>0</v>
      </c>
      <c r="J116" s="106">
        <f t="shared" si="207"/>
        <v>0</v>
      </c>
      <c r="K116" s="106">
        <f t="shared" si="207"/>
        <v>0</v>
      </c>
      <c r="L116" s="106">
        <f t="shared" si="207"/>
        <v>0</v>
      </c>
      <c r="M116" s="106">
        <f t="shared" si="207"/>
        <v>0</v>
      </c>
      <c r="N116" s="106">
        <f t="shared" si="207"/>
        <v>0</v>
      </c>
      <c r="O116" s="118">
        <f t="shared" si="207"/>
        <v>0</v>
      </c>
      <c r="P116" s="118">
        <f t="shared" si="207"/>
        <v>0</v>
      </c>
      <c r="Q116" s="122"/>
      <c r="R116" s="118">
        <f>SUM(R117:R118)</f>
        <v>0</v>
      </c>
      <c r="S116" s="118">
        <f>SUM(S117:S118)</f>
        <v>0</v>
      </c>
      <c r="T116" s="122" t="e">
        <f t="shared" si="188"/>
        <v>#DIV/0!</v>
      </c>
      <c r="U116" s="125">
        <f t="shared" ref="U116:AR116" si="208">SUM(U117:U118)</f>
        <v>151.69999999999999</v>
      </c>
      <c r="V116" s="125">
        <f t="shared" si="208"/>
        <v>0</v>
      </c>
      <c r="W116" s="122">
        <f t="shared" ref="W116:W118" si="209">V116/U116</f>
        <v>0</v>
      </c>
      <c r="X116" s="125">
        <f t="shared" si="208"/>
        <v>0</v>
      </c>
      <c r="Y116" s="125">
        <f t="shared" si="208"/>
        <v>0</v>
      </c>
      <c r="Z116" s="122" t="e">
        <f t="shared" si="191"/>
        <v>#DIV/0!</v>
      </c>
      <c r="AA116" s="125">
        <f t="shared" si="208"/>
        <v>48.3</v>
      </c>
      <c r="AB116" s="125">
        <f t="shared" si="208"/>
        <v>0</v>
      </c>
      <c r="AC116" s="122"/>
      <c r="AD116" s="125">
        <f t="shared" si="208"/>
        <v>0</v>
      </c>
      <c r="AE116" s="118">
        <f t="shared" si="208"/>
        <v>0</v>
      </c>
      <c r="AF116" s="118">
        <f t="shared" si="208"/>
        <v>0</v>
      </c>
      <c r="AG116" s="118">
        <f t="shared" si="208"/>
        <v>0</v>
      </c>
      <c r="AH116" s="118">
        <f t="shared" si="208"/>
        <v>0</v>
      </c>
      <c r="AI116" s="118">
        <f t="shared" si="208"/>
        <v>0</v>
      </c>
      <c r="AJ116" s="118">
        <f t="shared" si="208"/>
        <v>0</v>
      </c>
      <c r="AK116" s="118">
        <f t="shared" si="208"/>
        <v>0</v>
      </c>
      <c r="AL116" s="118">
        <f t="shared" si="208"/>
        <v>0</v>
      </c>
      <c r="AM116" s="118">
        <f t="shared" si="208"/>
        <v>0</v>
      </c>
      <c r="AN116" s="118">
        <f t="shared" si="208"/>
        <v>0</v>
      </c>
      <c r="AO116" s="118">
        <f t="shared" si="208"/>
        <v>0</v>
      </c>
      <c r="AP116" s="118">
        <f t="shared" si="208"/>
        <v>0</v>
      </c>
      <c r="AQ116" s="106">
        <f t="shared" si="208"/>
        <v>0</v>
      </c>
      <c r="AR116" s="106">
        <f t="shared" si="208"/>
        <v>0</v>
      </c>
      <c r="AS116" s="147"/>
      <c r="AT116" s="143"/>
      <c r="AU116" s="135">
        <f t="shared" si="112"/>
        <v>0</v>
      </c>
      <c r="AV116" s="135">
        <f t="shared" si="113"/>
        <v>0</v>
      </c>
      <c r="AW116" s="136" t="e">
        <f t="shared" si="134"/>
        <v>#DIV/0!</v>
      </c>
      <c r="AX116" s="137">
        <f t="shared" si="114"/>
        <v>0</v>
      </c>
      <c r="AY116" s="137">
        <f t="shared" si="115"/>
        <v>151.69999999999999</v>
      </c>
      <c r="AZ116" s="137">
        <f t="shared" si="123"/>
        <v>48.3</v>
      </c>
      <c r="BA116" s="137">
        <f t="shared" si="124"/>
        <v>0</v>
      </c>
    </row>
    <row r="117" spans="1:53" ht="21" customHeight="1">
      <c r="A117" s="226"/>
      <c r="B117" s="250"/>
      <c r="C117" s="236"/>
      <c r="D117" s="239"/>
      <c r="E117" s="105" t="s">
        <v>3</v>
      </c>
      <c r="F117" s="118">
        <f t="shared" si="184"/>
        <v>0</v>
      </c>
      <c r="G117" s="118">
        <f t="shared" si="184"/>
        <v>0</v>
      </c>
      <c r="H117" s="122"/>
      <c r="I117" s="106"/>
      <c r="J117" s="106"/>
      <c r="K117" s="106"/>
      <c r="L117" s="106"/>
      <c r="M117" s="106"/>
      <c r="N117" s="106"/>
      <c r="O117" s="118"/>
      <c r="P117" s="118"/>
      <c r="Q117" s="122"/>
      <c r="R117" s="118"/>
      <c r="S117" s="118"/>
      <c r="T117" s="122"/>
      <c r="U117" s="126"/>
      <c r="V117" s="126"/>
      <c r="W117" s="126"/>
      <c r="X117" s="126"/>
      <c r="Y117" s="126"/>
      <c r="Z117" s="122"/>
      <c r="AA117" s="126"/>
      <c r="AB117" s="126"/>
      <c r="AC117" s="122"/>
      <c r="AD117" s="126"/>
      <c r="AE117" s="126"/>
      <c r="AF117" s="126"/>
      <c r="AG117" s="126"/>
      <c r="AH117" s="126"/>
      <c r="AI117" s="126"/>
      <c r="AJ117" s="118"/>
      <c r="AK117" s="118"/>
      <c r="AL117" s="118"/>
      <c r="AM117" s="126"/>
      <c r="AN117" s="126"/>
      <c r="AO117" s="126"/>
      <c r="AP117" s="118"/>
      <c r="AQ117" s="106"/>
      <c r="AR117" s="106"/>
      <c r="AS117" s="147"/>
      <c r="AT117" s="143"/>
      <c r="AU117" s="135">
        <f t="shared" si="112"/>
        <v>0</v>
      </c>
      <c r="AV117" s="135">
        <f t="shared" si="113"/>
        <v>0</v>
      </c>
      <c r="AW117" s="136"/>
      <c r="AX117" s="137">
        <f t="shared" si="114"/>
        <v>0</v>
      </c>
      <c r="AY117" s="137">
        <f t="shared" si="115"/>
        <v>0</v>
      </c>
      <c r="AZ117" s="137">
        <f t="shared" si="123"/>
        <v>0</v>
      </c>
      <c r="BA117" s="137">
        <f t="shared" si="124"/>
        <v>0</v>
      </c>
    </row>
    <row r="118" spans="1:53" ht="21" customHeight="1">
      <c r="A118" s="226"/>
      <c r="B118" s="250"/>
      <c r="C118" s="237"/>
      <c r="D118" s="240"/>
      <c r="E118" s="105" t="s">
        <v>44</v>
      </c>
      <c r="F118" s="118">
        <f t="shared" si="184"/>
        <v>200</v>
      </c>
      <c r="G118" s="118">
        <f t="shared" si="184"/>
        <v>0</v>
      </c>
      <c r="H118" s="122">
        <f t="shared" si="185"/>
        <v>0</v>
      </c>
      <c r="I118" s="106"/>
      <c r="J118" s="106"/>
      <c r="K118" s="106"/>
      <c r="L118" s="106"/>
      <c r="M118" s="106"/>
      <c r="N118" s="106"/>
      <c r="O118" s="118"/>
      <c r="P118" s="118"/>
      <c r="Q118" s="122"/>
      <c r="R118" s="118"/>
      <c r="S118" s="118"/>
      <c r="T118" s="122" t="e">
        <f t="shared" si="188"/>
        <v>#DIV/0!</v>
      </c>
      <c r="U118" s="126">
        <v>151.69999999999999</v>
      </c>
      <c r="V118" s="126"/>
      <c r="W118" s="122">
        <f t="shared" si="209"/>
        <v>0</v>
      </c>
      <c r="X118" s="126"/>
      <c r="Y118" s="126"/>
      <c r="Z118" s="122" t="e">
        <f t="shared" si="191"/>
        <v>#DIV/0!</v>
      </c>
      <c r="AA118" s="126">
        <v>48.3</v>
      </c>
      <c r="AB118" s="126"/>
      <c r="AC118" s="122"/>
      <c r="AD118" s="126"/>
      <c r="AE118" s="126"/>
      <c r="AF118" s="126"/>
      <c r="AG118" s="126"/>
      <c r="AH118" s="126"/>
      <c r="AI118" s="126"/>
      <c r="AJ118" s="118"/>
      <c r="AK118" s="118"/>
      <c r="AL118" s="118"/>
      <c r="AM118" s="126"/>
      <c r="AN118" s="126"/>
      <c r="AO118" s="126"/>
      <c r="AP118" s="118"/>
      <c r="AQ118" s="106"/>
      <c r="AR118" s="106"/>
      <c r="AS118" s="143"/>
      <c r="AT118" s="143"/>
      <c r="AU118" s="135">
        <f t="shared" si="112"/>
        <v>0</v>
      </c>
      <c r="AV118" s="135">
        <f t="shared" si="113"/>
        <v>0</v>
      </c>
      <c r="AW118" s="136" t="e">
        <f t="shared" si="134"/>
        <v>#DIV/0!</v>
      </c>
      <c r="AX118" s="137">
        <f t="shared" si="114"/>
        <v>0</v>
      </c>
      <c r="AY118" s="137">
        <f t="shared" si="115"/>
        <v>151.69999999999999</v>
      </c>
      <c r="AZ118" s="137">
        <f t="shared" si="123"/>
        <v>48.3</v>
      </c>
      <c r="BA118" s="137">
        <f t="shared" si="124"/>
        <v>0</v>
      </c>
    </row>
    <row r="119" spans="1:53" ht="16.5" customHeight="1">
      <c r="A119" s="226" t="s">
        <v>381</v>
      </c>
      <c r="B119" s="234" t="s">
        <v>347</v>
      </c>
      <c r="C119" s="235" t="s">
        <v>273</v>
      </c>
      <c r="D119" s="238" t="s">
        <v>290</v>
      </c>
      <c r="E119" s="105" t="s">
        <v>42</v>
      </c>
      <c r="F119" s="118">
        <f t="shared" si="184"/>
        <v>0</v>
      </c>
      <c r="G119" s="118">
        <f t="shared" si="184"/>
        <v>0</v>
      </c>
      <c r="H119" s="122"/>
      <c r="I119" s="106">
        <f t="shared" ref="I119:P119" si="210">SUM(I120:I121)</f>
        <v>0</v>
      </c>
      <c r="J119" s="106">
        <f t="shared" si="210"/>
        <v>0</v>
      </c>
      <c r="K119" s="106">
        <f t="shared" si="210"/>
        <v>0</v>
      </c>
      <c r="L119" s="106">
        <f t="shared" si="210"/>
        <v>0</v>
      </c>
      <c r="M119" s="106">
        <f t="shared" si="210"/>
        <v>0</v>
      </c>
      <c r="N119" s="106">
        <f t="shared" si="210"/>
        <v>0</v>
      </c>
      <c r="O119" s="118">
        <f t="shared" si="210"/>
        <v>0</v>
      </c>
      <c r="P119" s="118">
        <f t="shared" si="210"/>
        <v>0</v>
      </c>
      <c r="Q119" s="122"/>
      <c r="R119" s="118">
        <f>SUM(R120:R121)</f>
        <v>0</v>
      </c>
      <c r="S119" s="118">
        <f>SUM(S120:S121)</f>
        <v>0</v>
      </c>
      <c r="T119" s="122"/>
      <c r="U119" s="118">
        <f t="shared" ref="U119:AR119" si="211">SUM(U120:U121)</f>
        <v>0</v>
      </c>
      <c r="V119" s="118">
        <f t="shared" si="211"/>
        <v>0</v>
      </c>
      <c r="W119" s="118">
        <f t="shared" si="211"/>
        <v>0</v>
      </c>
      <c r="X119" s="118">
        <f t="shared" si="211"/>
        <v>0</v>
      </c>
      <c r="Y119" s="118">
        <f t="shared" si="211"/>
        <v>0</v>
      </c>
      <c r="Z119" s="122" t="e">
        <f t="shared" si="191"/>
        <v>#DIV/0!</v>
      </c>
      <c r="AA119" s="118">
        <f t="shared" si="211"/>
        <v>0</v>
      </c>
      <c r="AB119" s="118">
        <f t="shared" si="211"/>
        <v>0</v>
      </c>
      <c r="AC119" s="122" t="e">
        <f t="shared" ref="AC119:AC121" si="212">AB119/AA119</f>
        <v>#DIV/0!</v>
      </c>
      <c r="AD119" s="118">
        <f t="shared" si="211"/>
        <v>0</v>
      </c>
      <c r="AE119" s="118">
        <f t="shared" si="211"/>
        <v>0</v>
      </c>
      <c r="AF119" s="118">
        <f t="shared" si="211"/>
        <v>0</v>
      </c>
      <c r="AG119" s="118">
        <f t="shared" si="211"/>
        <v>0</v>
      </c>
      <c r="AH119" s="118">
        <f t="shared" si="211"/>
        <v>0</v>
      </c>
      <c r="AI119" s="118">
        <f t="shared" si="211"/>
        <v>0</v>
      </c>
      <c r="AJ119" s="118">
        <f t="shared" si="211"/>
        <v>0</v>
      </c>
      <c r="AK119" s="118">
        <f t="shared" si="211"/>
        <v>0</v>
      </c>
      <c r="AL119" s="118">
        <f t="shared" si="211"/>
        <v>0</v>
      </c>
      <c r="AM119" s="118">
        <f t="shared" si="211"/>
        <v>0</v>
      </c>
      <c r="AN119" s="118">
        <f t="shared" si="211"/>
        <v>0</v>
      </c>
      <c r="AO119" s="118">
        <f t="shared" si="211"/>
        <v>0</v>
      </c>
      <c r="AP119" s="118">
        <f t="shared" si="211"/>
        <v>0</v>
      </c>
      <c r="AQ119" s="106">
        <f t="shared" si="211"/>
        <v>0</v>
      </c>
      <c r="AR119" s="106">
        <f t="shared" si="211"/>
        <v>0</v>
      </c>
      <c r="AS119" s="147"/>
      <c r="AT119" s="143"/>
      <c r="AU119" s="135">
        <f t="shared" si="112"/>
        <v>0</v>
      </c>
      <c r="AV119" s="135">
        <f t="shared" si="113"/>
        <v>0</v>
      </c>
      <c r="AW119" s="136"/>
      <c r="AX119" s="137">
        <f t="shared" si="114"/>
        <v>0</v>
      </c>
      <c r="AY119" s="137">
        <f t="shared" si="115"/>
        <v>0</v>
      </c>
      <c r="AZ119" s="137">
        <f t="shared" si="123"/>
        <v>0</v>
      </c>
      <c r="BA119" s="137">
        <f t="shared" si="124"/>
        <v>0</v>
      </c>
    </row>
    <row r="120" spans="1:53" ht="16.5" customHeight="1">
      <c r="A120" s="226"/>
      <c r="B120" s="234"/>
      <c r="C120" s="236"/>
      <c r="D120" s="239"/>
      <c r="E120" s="105" t="s">
        <v>3</v>
      </c>
      <c r="F120" s="118">
        <f t="shared" si="184"/>
        <v>0</v>
      </c>
      <c r="G120" s="118">
        <f t="shared" si="184"/>
        <v>0</v>
      </c>
      <c r="H120" s="122"/>
      <c r="I120" s="106"/>
      <c r="J120" s="106"/>
      <c r="K120" s="106"/>
      <c r="L120" s="106"/>
      <c r="M120" s="106"/>
      <c r="N120" s="106"/>
      <c r="O120" s="118"/>
      <c r="P120" s="118"/>
      <c r="Q120" s="122"/>
      <c r="R120" s="118"/>
      <c r="S120" s="118"/>
      <c r="T120" s="122"/>
      <c r="U120" s="126"/>
      <c r="V120" s="126"/>
      <c r="W120" s="126"/>
      <c r="X120" s="126"/>
      <c r="Y120" s="126"/>
      <c r="Z120" s="122"/>
      <c r="AA120" s="126"/>
      <c r="AB120" s="126"/>
      <c r="AC120" s="122"/>
      <c r="AD120" s="126"/>
      <c r="AE120" s="126"/>
      <c r="AF120" s="126"/>
      <c r="AG120" s="126"/>
      <c r="AH120" s="126"/>
      <c r="AI120" s="126"/>
      <c r="AJ120" s="118"/>
      <c r="AK120" s="118"/>
      <c r="AL120" s="118"/>
      <c r="AM120" s="126"/>
      <c r="AN120" s="126"/>
      <c r="AO120" s="126"/>
      <c r="AP120" s="118"/>
      <c r="AQ120" s="106"/>
      <c r="AR120" s="106"/>
      <c r="AS120" s="147"/>
      <c r="AT120" s="143"/>
      <c r="AU120" s="135">
        <f t="shared" si="112"/>
        <v>0</v>
      </c>
      <c r="AV120" s="135">
        <f t="shared" si="113"/>
        <v>0</v>
      </c>
      <c r="AW120" s="136"/>
      <c r="AX120" s="137">
        <f t="shared" si="114"/>
        <v>0</v>
      </c>
      <c r="AY120" s="137">
        <f t="shared" si="115"/>
        <v>0</v>
      </c>
      <c r="AZ120" s="137">
        <f t="shared" si="123"/>
        <v>0</v>
      </c>
      <c r="BA120" s="137">
        <f t="shared" si="124"/>
        <v>0</v>
      </c>
    </row>
    <row r="121" spans="1:53" ht="20.25" customHeight="1">
      <c r="A121" s="226"/>
      <c r="B121" s="234"/>
      <c r="C121" s="237"/>
      <c r="D121" s="240"/>
      <c r="E121" s="105" t="s">
        <v>44</v>
      </c>
      <c r="F121" s="118">
        <f t="shared" si="184"/>
        <v>0</v>
      </c>
      <c r="G121" s="118">
        <f t="shared" si="184"/>
        <v>0</v>
      </c>
      <c r="H121" s="122"/>
      <c r="I121" s="106"/>
      <c r="J121" s="106"/>
      <c r="K121" s="106"/>
      <c r="L121" s="106"/>
      <c r="M121" s="106"/>
      <c r="N121" s="106"/>
      <c r="O121" s="118"/>
      <c r="P121" s="118"/>
      <c r="Q121" s="122"/>
      <c r="R121" s="118"/>
      <c r="S121" s="118"/>
      <c r="T121" s="122"/>
      <c r="U121" s="126"/>
      <c r="V121" s="126"/>
      <c r="W121" s="126"/>
      <c r="X121" s="126"/>
      <c r="Y121" s="126"/>
      <c r="Z121" s="122" t="e">
        <f t="shared" si="191"/>
        <v>#DIV/0!</v>
      </c>
      <c r="AA121" s="126"/>
      <c r="AB121" s="126"/>
      <c r="AC121" s="122" t="e">
        <f t="shared" si="212"/>
        <v>#DIV/0!</v>
      </c>
      <c r="AD121" s="126"/>
      <c r="AE121" s="126"/>
      <c r="AF121" s="126"/>
      <c r="AG121" s="126"/>
      <c r="AH121" s="126"/>
      <c r="AI121" s="126"/>
      <c r="AJ121" s="118"/>
      <c r="AK121" s="118"/>
      <c r="AL121" s="118"/>
      <c r="AM121" s="126"/>
      <c r="AN121" s="126"/>
      <c r="AO121" s="126"/>
      <c r="AP121" s="118"/>
      <c r="AQ121" s="106"/>
      <c r="AR121" s="106"/>
      <c r="AS121" s="147"/>
      <c r="AT121" s="143"/>
      <c r="AU121" s="135">
        <f t="shared" si="112"/>
        <v>0</v>
      </c>
      <c r="AV121" s="135">
        <f t="shared" si="113"/>
        <v>0</v>
      </c>
      <c r="AW121" s="136"/>
      <c r="AX121" s="137">
        <f t="shared" si="114"/>
        <v>0</v>
      </c>
      <c r="AY121" s="137">
        <f t="shared" si="115"/>
        <v>0</v>
      </c>
      <c r="AZ121" s="137">
        <f t="shared" si="123"/>
        <v>0</v>
      </c>
      <c r="BA121" s="137">
        <f t="shared" si="124"/>
        <v>0</v>
      </c>
    </row>
    <row r="122" spans="1:53" ht="15.75" customHeight="1">
      <c r="A122" s="226" t="s">
        <v>382</v>
      </c>
      <c r="B122" s="285" t="s">
        <v>348</v>
      </c>
      <c r="C122" s="286" t="s">
        <v>273</v>
      </c>
      <c r="D122" s="238" t="s">
        <v>390</v>
      </c>
      <c r="E122" s="105" t="s">
        <v>42</v>
      </c>
      <c r="F122" s="118">
        <f t="shared" ref="F122:G129" si="213">I122+L122+O122+R122+U122+X122+AA122+AD122+AG122+AJ122+AM122+AP122</f>
        <v>188.90359999999998</v>
      </c>
      <c r="G122" s="118">
        <f t="shared" si="213"/>
        <v>0</v>
      </c>
      <c r="H122" s="122">
        <f t="shared" si="185"/>
        <v>0</v>
      </c>
      <c r="I122" s="106">
        <f t="shared" ref="I122:P122" si="214">SUM(I123:I124)</f>
        <v>0</v>
      </c>
      <c r="J122" s="106">
        <f t="shared" si="214"/>
        <v>0</v>
      </c>
      <c r="K122" s="106">
        <f t="shared" si="214"/>
        <v>0</v>
      </c>
      <c r="L122" s="106">
        <f t="shared" si="214"/>
        <v>0</v>
      </c>
      <c r="M122" s="106">
        <f t="shared" si="214"/>
        <v>0</v>
      </c>
      <c r="N122" s="106">
        <f t="shared" si="214"/>
        <v>0</v>
      </c>
      <c r="O122" s="118">
        <f t="shared" si="214"/>
        <v>0</v>
      </c>
      <c r="P122" s="118">
        <f t="shared" si="214"/>
        <v>0</v>
      </c>
      <c r="Q122" s="122"/>
      <c r="R122" s="118">
        <f>SUM(R123:R124)</f>
        <v>0</v>
      </c>
      <c r="S122" s="118">
        <f>SUM(S123:S124)</f>
        <v>0</v>
      </c>
      <c r="T122" s="122"/>
      <c r="U122" s="118">
        <f t="shared" ref="U122:AR122" si="215">SUM(U123:U124)</f>
        <v>0</v>
      </c>
      <c r="V122" s="118">
        <f t="shared" si="215"/>
        <v>0</v>
      </c>
      <c r="W122" s="118">
        <f t="shared" si="215"/>
        <v>0</v>
      </c>
      <c r="X122" s="118">
        <f t="shared" si="215"/>
        <v>0</v>
      </c>
      <c r="Y122" s="118">
        <f t="shared" si="215"/>
        <v>0</v>
      </c>
      <c r="Z122" s="122"/>
      <c r="AA122" s="118">
        <f t="shared" si="215"/>
        <v>188.90359999999998</v>
      </c>
      <c r="AB122" s="118">
        <f t="shared" si="215"/>
        <v>0</v>
      </c>
      <c r="AC122" s="118">
        <f t="shared" si="215"/>
        <v>0</v>
      </c>
      <c r="AD122" s="118">
        <f t="shared" si="215"/>
        <v>0</v>
      </c>
      <c r="AE122" s="118">
        <f t="shared" si="215"/>
        <v>0</v>
      </c>
      <c r="AF122" s="118">
        <f t="shared" si="215"/>
        <v>0</v>
      </c>
      <c r="AG122" s="118">
        <f t="shared" si="215"/>
        <v>0</v>
      </c>
      <c r="AH122" s="118">
        <f t="shared" si="215"/>
        <v>0</v>
      </c>
      <c r="AI122" s="118">
        <f t="shared" si="215"/>
        <v>0</v>
      </c>
      <c r="AJ122" s="118">
        <f t="shared" si="215"/>
        <v>0</v>
      </c>
      <c r="AK122" s="118">
        <f t="shared" si="215"/>
        <v>0</v>
      </c>
      <c r="AL122" s="118">
        <f t="shared" si="215"/>
        <v>0</v>
      </c>
      <c r="AM122" s="118">
        <f t="shared" si="215"/>
        <v>0</v>
      </c>
      <c r="AN122" s="118">
        <f t="shared" si="215"/>
        <v>0</v>
      </c>
      <c r="AO122" s="118">
        <f t="shared" si="215"/>
        <v>0</v>
      </c>
      <c r="AP122" s="118">
        <f t="shared" si="215"/>
        <v>0</v>
      </c>
      <c r="AQ122" s="106">
        <f t="shared" si="215"/>
        <v>0</v>
      </c>
      <c r="AR122" s="106">
        <f t="shared" si="215"/>
        <v>0</v>
      </c>
      <c r="AS122" s="147"/>
      <c r="AT122" s="143"/>
      <c r="AU122" s="135">
        <f t="shared" si="112"/>
        <v>0</v>
      </c>
      <c r="AV122" s="135">
        <f t="shared" si="113"/>
        <v>0</v>
      </c>
      <c r="AW122" s="136" t="e">
        <f t="shared" si="134"/>
        <v>#DIV/0!</v>
      </c>
      <c r="AX122" s="137">
        <f t="shared" si="114"/>
        <v>0</v>
      </c>
      <c r="AY122" s="137">
        <f t="shared" si="115"/>
        <v>0</v>
      </c>
      <c r="AZ122" s="137">
        <f t="shared" si="123"/>
        <v>188.90359999999998</v>
      </c>
      <c r="BA122" s="137">
        <f t="shared" si="124"/>
        <v>0</v>
      </c>
    </row>
    <row r="123" spans="1:53" ht="18" customHeight="1">
      <c r="A123" s="226"/>
      <c r="B123" s="285"/>
      <c r="C123" s="287"/>
      <c r="D123" s="239"/>
      <c r="E123" s="105" t="s">
        <v>3</v>
      </c>
      <c r="F123" s="118">
        <f t="shared" si="213"/>
        <v>70.203599999999994</v>
      </c>
      <c r="G123" s="118">
        <f t="shared" si="213"/>
        <v>0</v>
      </c>
      <c r="H123" s="122">
        <f t="shared" si="185"/>
        <v>0</v>
      </c>
      <c r="I123" s="106"/>
      <c r="J123" s="106"/>
      <c r="K123" s="106"/>
      <c r="L123" s="106"/>
      <c r="M123" s="106"/>
      <c r="N123" s="106"/>
      <c r="O123" s="118"/>
      <c r="P123" s="118"/>
      <c r="Q123" s="122"/>
      <c r="R123" s="118"/>
      <c r="S123" s="118"/>
      <c r="T123" s="122"/>
      <c r="U123" s="126"/>
      <c r="V123" s="126"/>
      <c r="W123" s="126"/>
      <c r="X123" s="126"/>
      <c r="Y123" s="126"/>
      <c r="Z123" s="122"/>
      <c r="AA123" s="126">
        <v>70.203599999999994</v>
      </c>
      <c r="AB123" s="126"/>
      <c r="AC123" s="126"/>
      <c r="AD123" s="126"/>
      <c r="AE123" s="126"/>
      <c r="AF123" s="126"/>
      <c r="AG123" s="126"/>
      <c r="AH123" s="126"/>
      <c r="AI123" s="126"/>
      <c r="AJ123" s="118"/>
      <c r="AK123" s="118"/>
      <c r="AL123" s="118"/>
      <c r="AM123" s="126"/>
      <c r="AN123" s="126"/>
      <c r="AO123" s="126"/>
      <c r="AP123" s="118"/>
      <c r="AQ123" s="106"/>
      <c r="AR123" s="106"/>
      <c r="AS123" s="147"/>
      <c r="AT123" s="143"/>
      <c r="AU123" s="135">
        <f t="shared" si="112"/>
        <v>0</v>
      </c>
      <c r="AV123" s="135">
        <f t="shared" si="113"/>
        <v>0</v>
      </c>
      <c r="AW123" s="136" t="e">
        <f t="shared" si="134"/>
        <v>#DIV/0!</v>
      </c>
      <c r="AX123" s="137">
        <f t="shared" si="114"/>
        <v>0</v>
      </c>
      <c r="AY123" s="137">
        <f t="shared" si="115"/>
        <v>0</v>
      </c>
      <c r="AZ123" s="137">
        <f t="shared" si="123"/>
        <v>70.203599999999994</v>
      </c>
      <c r="BA123" s="137">
        <f t="shared" si="124"/>
        <v>0</v>
      </c>
    </row>
    <row r="124" spans="1:53" ht="16.5" customHeight="1">
      <c r="A124" s="226"/>
      <c r="B124" s="285"/>
      <c r="C124" s="288"/>
      <c r="D124" s="240"/>
      <c r="E124" s="105" t="s">
        <v>44</v>
      </c>
      <c r="F124" s="118">
        <f t="shared" si="213"/>
        <v>118.7</v>
      </c>
      <c r="G124" s="118">
        <f t="shared" si="213"/>
        <v>0</v>
      </c>
      <c r="H124" s="122">
        <f t="shared" si="185"/>
        <v>0</v>
      </c>
      <c r="I124" s="106"/>
      <c r="J124" s="106"/>
      <c r="K124" s="106"/>
      <c r="L124" s="106"/>
      <c r="M124" s="106"/>
      <c r="N124" s="106"/>
      <c r="O124" s="118"/>
      <c r="P124" s="118"/>
      <c r="Q124" s="122"/>
      <c r="R124" s="118"/>
      <c r="S124" s="118"/>
      <c r="T124" s="122"/>
      <c r="U124" s="126"/>
      <c r="V124" s="126"/>
      <c r="W124" s="126"/>
      <c r="X124" s="126"/>
      <c r="Y124" s="126"/>
      <c r="Z124" s="122"/>
      <c r="AA124" s="126">
        <v>118.7</v>
      </c>
      <c r="AB124" s="126"/>
      <c r="AC124" s="126"/>
      <c r="AD124" s="126"/>
      <c r="AE124" s="126"/>
      <c r="AF124" s="126"/>
      <c r="AG124" s="126"/>
      <c r="AH124" s="126"/>
      <c r="AI124" s="126"/>
      <c r="AJ124" s="118"/>
      <c r="AK124" s="118"/>
      <c r="AL124" s="118"/>
      <c r="AM124" s="126"/>
      <c r="AN124" s="126"/>
      <c r="AO124" s="126"/>
      <c r="AP124" s="118"/>
      <c r="AQ124" s="106"/>
      <c r="AR124" s="106"/>
      <c r="AS124" s="147"/>
      <c r="AT124" s="143"/>
      <c r="AU124" s="135">
        <f t="shared" si="112"/>
        <v>0</v>
      </c>
      <c r="AV124" s="135">
        <f t="shared" si="113"/>
        <v>0</v>
      </c>
      <c r="AW124" s="136" t="e">
        <f t="shared" si="134"/>
        <v>#DIV/0!</v>
      </c>
      <c r="AX124" s="137">
        <f t="shared" si="114"/>
        <v>0</v>
      </c>
      <c r="AY124" s="137">
        <f t="shared" si="115"/>
        <v>0</v>
      </c>
      <c r="AZ124" s="137">
        <f t="shared" si="123"/>
        <v>118.7</v>
      </c>
      <c r="BA124" s="137">
        <f t="shared" si="124"/>
        <v>0</v>
      </c>
    </row>
    <row r="125" spans="1:53" ht="16.5" customHeight="1">
      <c r="A125" s="127" t="s">
        <v>313</v>
      </c>
      <c r="B125" s="244" t="s">
        <v>314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6"/>
      <c r="AU125" s="135">
        <f t="shared" si="112"/>
        <v>0</v>
      </c>
      <c r="AV125" s="135">
        <f t="shared" si="113"/>
        <v>0</v>
      </c>
      <c r="AW125" s="136"/>
      <c r="AX125" s="137"/>
      <c r="AY125" s="137"/>
      <c r="AZ125" s="137"/>
      <c r="BA125" s="137"/>
    </row>
    <row r="126" spans="1:53" ht="18" customHeight="1">
      <c r="A126" s="185" t="s">
        <v>315</v>
      </c>
      <c r="B126" s="247" t="s">
        <v>293</v>
      </c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9"/>
      <c r="AU126" s="135">
        <f t="shared" si="112"/>
        <v>0</v>
      </c>
      <c r="AV126" s="135">
        <f t="shared" si="113"/>
        <v>0</v>
      </c>
      <c r="AW126" s="136"/>
      <c r="AX126" s="137"/>
      <c r="AY126" s="137"/>
      <c r="AZ126" s="137"/>
      <c r="BA126" s="137"/>
    </row>
    <row r="127" spans="1:53" ht="21" customHeight="1">
      <c r="A127" s="226" t="s">
        <v>383</v>
      </c>
      <c r="B127" s="234" t="s">
        <v>349</v>
      </c>
      <c r="C127" s="235" t="s">
        <v>269</v>
      </c>
      <c r="D127" s="238">
        <v>1.2</v>
      </c>
      <c r="E127" s="105" t="s">
        <v>42</v>
      </c>
      <c r="F127" s="118">
        <f t="shared" si="213"/>
        <v>32316</v>
      </c>
      <c r="G127" s="118">
        <f t="shared" si="213"/>
        <v>5196.3239999999996</v>
      </c>
      <c r="H127" s="122">
        <f t="shared" si="185"/>
        <v>0.16079725213516524</v>
      </c>
      <c r="I127" s="106">
        <f>SUM(I128:I129)</f>
        <v>0</v>
      </c>
      <c r="J127" s="106">
        <f>SUM(J128:J129)</f>
        <v>0</v>
      </c>
      <c r="K127" s="122"/>
      <c r="L127" s="118">
        <f>SUM(L128:L129)</f>
        <v>2500</v>
      </c>
      <c r="M127" s="118">
        <f>SUM(M128:M129)</f>
        <v>2758.2579999999998</v>
      </c>
      <c r="N127" s="122">
        <f t="shared" ref="N127:N128" si="216">M127/L127</f>
        <v>1.1033031999999998</v>
      </c>
      <c r="O127" s="118">
        <f>SUM(O128:O129)</f>
        <v>2800</v>
      </c>
      <c r="P127" s="118">
        <f>SUM(P128:P129)</f>
        <v>2438.0659999999998</v>
      </c>
      <c r="Q127" s="122">
        <f t="shared" si="187"/>
        <v>0.87073785714285712</v>
      </c>
      <c r="R127" s="118">
        <f>SUM(R128:R129)</f>
        <v>2900</v>
      </c>
      <c r="S127" s="118">
        <f>SUM(S128:S129)</f>
        <v>0</v>
      </c>
      <c r="T127" s="122">
        <f t="shared" si="188"/>
        <v>0</v>
      </c>
      <c r="U127" s="118">
        <f t="shared" ref="U127:AR127" si="217">SUM(U128:U129)</f>
        <v>2900</v>
      </c>
      <c r="V127" s="118">
        <f t="shared" si="217"/>
        <v>0</v>
      </c>
      <c r="W127" s="122">
        <f t="shared" ref="W127:W128" si="218">V127/U127</f>
        <v>0</v>
      </c>
      <c r="X127" s="118">
        <f t="shared" si="217"/>
        <v>2500</v>
      </c>
      <c r="Y127" s="118">
        <f t="shared" si="217"/>
        <v>0</v>
      </c>
      <c r="Z127" s="122">
        <f t="shared" ref="Z127:Z128" si="219">Y127/X127</f>
        <v>0</v>
      </c>
      <c r="AA127" s="118">
        <f t="shared" si="217"/>
        <v>2000</v>
      </c>
      <c r="AB127" s="118">
        <f t="shared" si="217"/>
        <v>0</v>
      </c>
      <c r="AC127" s="122">
        <f t="shared" ref="AC127:AC128" si="220">AB127/AA127</f>
        <v>0</v>
      </c>
      <c r="AD127" s="118">
        <f t="shared" si="217"/>
        <v>2000</v>
      </c>
      <c r="AE127" s="118">
        <f t="shared" si="217"/>
        <v>0</v>
      </c>
      <c r="AF127" s="122">
        <f t="shared" ref="AF127:AF128" si="221">AE127/AD127</f>
        <v>0</v>
      </c>
      <c r="AG127" s="118">
        <f t="shared" si="217"/>
        <v>2600</v>
      </c>
      <c r="AH127" s="118">
        <f t="shared" si="217"/>
        <v>0</v>
      </c>
      <c r="AI127" s="122">
        <f t="shared" ref="AI127:AI128" si="222">AH127/AG127</f>
        <v>0</v>
      </c>
      <c r="AJ127" s="118">
        <f t="shared" si="217"/>
        <v>3000</v>
      </c>
      <c r="AK127" s="118">
        <f t="shared" si="217"/>
        <v>0</v>
      </c>
      <c r="AL127" s="122">
        <f t="shared" ref="AL127:AL128" si="223">AK127/AJ127</f>
        <v>0</v>
      </c>
      <c r="AM127" s="118">
        <f t="shared" si="217"/>
        <v>3000</v>
      </c>
      <c r="AN127" s="118">
        <f t="shared" si="217"/>
        <v>0</v>
      </c>
      <c r="AO127" s="122">
        <f t="shared" ref="AO127:AO128" si="224">AN127/AM127</f>
        <v>0</v>
      </c>
      <c r="AP127" s="118">
        <f t="shared" si="217"/>
        <v>6116</v>
      </c>
      <c r="AQ127" s="106">
        <f t="shared" si="217"/>
        <v>0</v>
      </c>
      <c r="AR127" s="106">
        <f t="shared" si="217"/>
        <v>0</v>
      </c>
      <c r="AS127" s="292" t="s">
        <v>434</v>
      </c>
      <c r="AT127" s="289" t="s">
        <v>435</v>
      </c>
      <c r="AU127" s="135">
        <f t="shared" si="112"/>
        <v>5300</v>
      </c>
      <c r="AV127" s="135">
        <f t="shared" si="113"/>
        <v>5196.3239999999996</v>
      </c>
      <c r="AW127" s="136">
        <f t="shared" si="134"/>
        <v>0.98043849056603771</v>
      </c>
      <c r="AX127" s="137">
        <f t="shared" si="114"/>
        <v>5300</v>
      </c>
      <c r="AY127" s="137">
        <f t="shared" si="115"/>
        <v>8300</v>
      </c>
      <c r="AZ127" s="137">
        <f t="shared" si="123"/>
        <v>6600</v>
      </c>
      <c r="BA127" s="137">
        <f t="shared" si="124"/>
        <v>12116</v>
      </c>
    </row>
    <row r="128" spans="1:53" ht="19.5" customHeight="1">
      <c r="A128" s="226"/>
      <c r="B128" s="234"/>
      <c r="C128" s="236"/>
      <c r="D128" s="239"/>
      <c r="E128" s="105" t="s">
        <v>3</v>
      </c>
      <c r="F128" s="118">
        <f t="shared" si="213"/>
        <v>32316</v>
      </c>
      <c r="G128" s="118">
        <f t="shared" si="213"/>
        <v>5196.3239999999996</v>
      </c>
      <c r="H128" s="122">
        <f t="shared" si="185"/>
        <v>0.16079725213516524</v>
      </c>
      <c r="I128" s="106"/>
      <c r="J128" s="106"/>
      <c r="K128" s="122"/>
      <c r="L128" s="118">
        <v>2500</v>
      </c>
      <c r="M128" s="118">
        <v>2758.2579999999998</v>
      </c>
      <c r="N128" s="122">
        <f t="shared" si="216"/>
        <v>1.1033031999999998</v>
      </c>
      <c r="O128" s="118">
        <v>2800</v>
      </c>
      <c r="P128" s="118">
        <v>2438.0659999999998</v>
      </c>
      <c r="Q128" s="122">
        <f t="shared" si="187"/>
        <v>0.87073785714285712</v>
      </c>
      <c r="R128" s="118">
        <v>2900</v>
      </c>
      <c r="S128" s="118"/>
      <c r="T128" s="122">
        <f t="shared" si="188"/>
        <v>0</v>
      </c>
      <c r="U128" s="126">
        <v>2900</v>
      </c>
      <c r="V128" s="126"/>
      <c r="W128" s="122">
        <f t="shared" si="218"/>
        <v>0</v>
      </c>
      <c r="X128" s="126">
        <v>2500</v>
      </c>
      <c r="Y128" s="126"/>
      <c r="Z128" s="122">
        <f t="shared" si="219"/>
        <v>0</v>
      </c>
      <c r="AA128" s="126">
        <v>2000</v>
      </c>
      <c r="AB128" s="126"/>
      <c r="AC128" s="122">
        <f t="shared" si="220"/>
        <v>0</v>
      </c>
      <c r="AD128" s="126">
        <v>2000</v>
      </c>
      <c r="AE128" s="126"/>
      <c r="AF128" s="122">
        <f t="shared" si="221"/>
        <v>0</v>
      </c>
      <c r="AG128" s="126">
        <v>2600</v>
      </c>
      <c r="AH128" s="126"/>
      <c r="AI128" s="122">
        <f t="shared" si="222"/>
        <v>0</v>
      </c>
      <c r="AJ128" s="118">
        <v>3000</v>
      </c>
      <c r="AK128" s="118"/>
      <c r="AL128" s="122">
        <f t="shared" si="223"/>
        <v>0</v>
      </c>
      <c r="AM128" s="126">
        <v>3000</v>
      </c>
      <c r="AN128" s="126"/>
      <c r="AO128" s="122">
        <f t="shared" si="224"/>
        <v>0</v>
      </c>
      <c r="AP128" s="118">
        <v>6116</v>
      </c>
      <c r="AQ128" s="106"/>
      <c r="AR128" s="106"/>
      <c r="AS128" s="293"/>
      <c r="AT128" s="290"/>
      <c r="AU128" s="135">
        <f t="shared" si="112"/>
        <v>5300</v>
      </c>
      <c r="AV128" s="135">
        <f t="shared" si="113"/>
        <v>5196.3239999999996</v>
      </c>
      <c r="AW128" s="136">
        <f t="shared" si="134"/>
        <v>0.98043849056603771</v>
      </c>
      <c r="AX128" s="137">
        <f t="shared" si="114"/>
        <v>5300</v>
      </c>
      <c r="AY128" s="137">
        <f t="shared" si="115"/>
        <v>8300</v>
      </c>
      <c r="AZ128" s="137">
        <f t="shared" si="123"/>
        <v>6600</v>
      </c>
      <c r="BA128" s="137">
        <f t="shared" si="124"/>
        <v>12116</v>
      </c>
    </row>
    <row r="129" spans="1:53" ht="21" customHeight="1">
      <c r="A129" s="226"/>
      <c r="B129" s="234"/>
      <c r="C129" s="237"/>
      <c r="D129" s="240"/>
      <c r="E129" s="105" t="s">
        <v>44</v>
      </c>
      <c r="F129" s="118">
        <f t="shared" si="213"/>
        <v>0</v>
      </c>
      <c r="G129" s="118">
        <f t="shared" si="213"/>
        <v>0</v>
      </c>
      <c r="H129" s="122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94"/>
      <c r="V129" s="94"/>
      <c r="W129" s="94"/>
      <c r="X129" s="94"/>
      <c r="Y129" s="94"/>
      <c r="Z129" s="122"/>
      <c r="AA129" s="94"/>
      <c r="AB129" s="94"/>
      <c r="AC129" s="122"/>
      <c r="AD129" s="94"/>
      <c r="AE129" s="94"/>
      <c r="AF129" s="122"/>
      <c r="AG129" s="94"/>
      <c r="AH129" s="94"/>
      <c r="AI129" s="94"/>
      <c r="AJ129" s="106"/>
      <c r="AK129" s="106"/>
      <c r="AL129" s="106"/>
      <c r="AM129" s="94"/>
      <c r="AN129" s="94"/>
      <c r="AO129" s="94"/>
      <c r="AP129" s="106"/>
      <c r="AQ129" s="106"/>
      <c r="AR129" s="106"/>
      <c r="AS129" s="294"/>
      <c r="AT129" s="291"/>
      <c r="AU129" s="135">
        <f t="shared" si="112"/>
        <v>0</v>
      </c>
      <c r="AV129" s="135">
        <f t="shared" si="113"/>
        <v>0</v>
      </c>
      <c r="AW129" s="136"/>
      <c r="AX129" s="137">
        <f t="shared" si="114"/>
        <v>0</v>
      </c>
      <c r="AY129" s="137">
        <f t="shared" si="115"/>
        <v>0</v>
      </c>
      <c r="AZ129" s="137">
        <f t="shared" si="123"/>
        <v>0</v>
      </c>
      <c r="BA129" s="137">
        <f t="shared" si="124"/>
        <v>0</v>
      </c>
    </row>
    <row r="130" spans="1:53" s="108" customFormat="1" ht="18.75">
      <c r="A130" s="127" t="s">
        <v>13</v>
      </c>
      <c r="B130" s="282" t="s">
        <v>316</v>
      </c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4"/>
      <c r="AU130" s="135">
        <f t="shared" si="112"/>
        <v>0</v>
      </c>
      <c r="AV130" s="135">
        <f t="shared" si="113"/>
        <v>0</v>
      </c>
      <c r="AW130" s="136"/>
      <c r="AX130" s="137"/>
      <c r="AY130" s="137"/>
      <c r="AZ130" s="137"/>
      <c r="BA130" s="137"/>
    </row>
    <row r="131" spans="1:53" ht="15" customHeight="1">
      <c r="A131" s="185" t="s">
        <v>317</v>
      </c>
      <c r="B131" s="247" t="s">
        <v>306</v>
      </c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9"/>
      <c r="AU131" s="135">
        <f t="shared" si="112"/>
        <v>0</v>
      </c>
      <c r="AV131" s="135">
        <f t="shared" si="113"/>
        <v>0</v>
      </c>
      <c r="AW131" s="136"/>
      <c r="AX131" s="137"/>
      <c r="AY131" s="137"/>
      <c r="AZ131" s="137"/>
      <c r="BA131" s="137"/>
    </row>
    <row r="132" spans="1:53" ht="27" customHeight="1">
      <c r="A132" s="296" t="s">
        <v>384</v>
      </c>
      <c r="B132" s="297" t="s">
        <v>350</v>
      </c>
      <c r="C132" s="235" t="s">
        <v>272</v>
      </c>
      <c r="D132" s="241">
        <v>8</v>
      </c>
      <c r="E132" s="105" t="s">
        <v>42</v>
      </c>
      <c r="F132" s="118">
        <f t="shared" ref="F132:G134" si="225">I132+L132+O132+R132+U132+X132+AA132+AD132+AG132+AJ132+AM132+AP132</f>
        <v>66013.900000000009</v>
      </c>
      <c r="G132" s="118">
        <f t="shared" si="225"/>
        <v>7088.5369999999994</v>
      </c>
      <c r="H132" s="122">
        <f t="shared" ref="H132:H134" si="226">G132/F132</f>
        <v>0.10737946099230614</v>
      </c>
      <c r="I132" s="106">
        <f>SUM(I133:I134)</f>
        <v>0</v>
      </c>
      <c r="J132" s="106">
        <f>SUM(J133:J134)</f>
        <v>0</v>
      </c>
      <c r="K132" s="106">
        <f>SUM(K133:K134)</f>
        <v>0</v>
      </c>
      <c r="L132" s="118">
        <f>SUM(L133:L134)</f>
        <v>7199.3919999999998</v>
      </c>
      <c r="M132" s="118">
        <f>SUM(M133:M134)</f>
        <v>5404.2547999999997</v>
      </c>
      <c r="N132" s="122">
        <f t="shared" ref="N132:N134" si="227">M132/L132</f>
        <v>0.75065433303256712</v>
      </c>
      <c r="O132" s="118">
        <f>SUM(O133:O134)</f>
        <v>7674.9</v>
      </c>
      <c r="P132" s="118">
        <f>SUM(P133:P134)</f>
        <v>1684.2821999999999</v>
      </c>
      <c r="Q132" s="122">
        <f t="shared" ref="Q132:Q134" si="228">P132/O132</f>
        <v>0.21945330883790015</v>
      </c>
      <c r="R132" s="118">
        <f>SUM(R133:R134)</f>
        <v>6663.8220000000001</v>
      </c>
      <c r="S132" s="118">
        <f>SUM(S133:S134)</f>
        <v>0</v>
      </c>
      <c r="T132" s="122">
        <f t="shared" ref="T132:T134" si="229">S132/R132</f>
        <v>0</v>
      </c>
      <c r="U132" s="118">
        <f t="shared" ref="U132:AR132" si="230">SUM(U133:U134)</f>
        <v>8145</v>
      </c>
      <c r="V132" s="118">
        <f t="shared" si="230"/>
        <v>0</v>
      </c>
      <c r="W132" s="122">
        <f t="shared" ref="W132:W134" si="231">V132/U132</f>
        <v>0</v>
      </c>
      <c r="X132" s="118">
        <f t="shared" si="230"/>
        <v>5742.1880000000001</v>
      </c>
      <c r="Y132" s="118">
        <f t="shared" si="230"/>
        <v>0</v>
      </c>
      <c r="Z132" s="122">
        <f t="shared" ref="Z132:Z134" si="232">Y132/X132</f>
        <v>0</v>
      </c>
      <c r="AA132" s="118">
        <f t="shared" si="230"/>
        <v>0</v>
      </c>
      <c r="AB132" s="118">
        <f t="shared" si="230"/>
        <v>0</v>
      </c>
      <c r="AC132" s="122" t="e">
        <f t="shared" ref="AC132:AC133" si="233">AB132/AA132</f>
        <v>#DIV/0!</v>
      </c>
      <c r="AD132" s="118">
        <f t="shared" si="230"/>
        <v>0</v>
      </c>
      <c r="AE132" s="118">
        <f t="shared" si="230"/>
        <v>0</v>
      </c>
      <c r="AF132" s="118">
        <f t="shared" si="230"/>
        <v>0</v>
      </c>
      <c r="AG132" s="118">
        <f t="shared" si="230"/>
        <v>0</v>
      </c>
      <c r="AH132" s="118">
        <f t="shared" si="230"/>
        <v>0</v>
      </c>
      <c r="AI132" s="118">
        <f t="shared" si="230"/>
        <v>0</v>
      </c>
      <c r="AJ132" s="118">
        <f t="shared" si="230"/>
        <v>8528</v>
      </c>
      <c r="AK132" s="118">
        <f t="shared" si="230"/>
        <v>0</v>
      </c>
      <c r="AL132" s="122">
        <f t="shared" ref="AL132:AL134" si="234">AK132/AJ132</f>
        <v>0</v>
      </c>
      <c r="AM132" s="118">
        <f t="shared" si="230"/>
        <v>8417</v>
      </c>
      <c r="AN132" s="118">
        <f t="shared" si="230"/>
        <v>0</v>
      </c>
      <c r="AO132" s="122">
        <f t="shared" ref="AO132:AO134" si="235">AN132/AM132</f>
        <v>0</v>
      </c>
      <c r="AP132" s="118">
        <f t="shared" si="230"/>
        <v>13643.598</v>
      </c>
      <c r="AQ132" s="106">
        <f t="shared" si="230"/>
        <v>0</v>
      </c>
      <c r="AR132" s="106">
        <f t="shared" si="230"/>
        <v>0</v>
      </c>
      <c r="AS132" s="300" t="s">
        <v>437</v>
      </c>
      <c r="AT132" s="300" t="s">
        <v>439</v>
      </c>
      <c r="AU132" s="135">
        <f t="shared" si="112"/>
        <v>14874.291999999999</v>
      </c>
      <c r="AV132" s="135">
        <f t="shared" si="113"/>
        <v>7088.5369999999994</v>
      </c>
      <c r="AW132" s="136">
        <f t="shared" si="134"/>
        <v>0.47656298531721708</v>
      </c>
      <c r="AX132" s="137">
        <f t="shared" si="114"/>
        <v>14874.291999999999</v>
      </c>
      <c r="AY132" s="137">
        <f t="shared" si="115"/>
        <v>20551.010000000002</v>
      </c>
      <c r="AZ132" s="137">
        <f t="shared" si="123"/>
        <v>0</v>
      </c>
      <c r="BA132" s="137">
        <f t="shared" si="124"/>
        <v>30588.597999999998</v>
      </c>
    </row>
    <row r="133" spans="1:53" ht="27" customHeight="1">
      <c r="A133" s="296"/>
      <c r="B133" s="298"/>
      <c r="C133" s="236"/>
      <c r="D133" s="242"/>
      <c r="E133" s="105" t="s">
        <v>3</v>
      </c>
      <c r="F133" s="118">
        <f t="shared" si="225"/>
        <v>64103.899999999994</v>
      </c>
      <c r="G133" s="118">
        <f t="shared" si="225"/>
        <v>6938.5663999999997</v>
      </c>
      <c r="H133" s="122">
        <f t="shared" si="226"/>
        <v>0.10823938013131806</v>
      </c>
      <c r="I133" s="106"/>
      <c r="J133" s="106"/>
      <c r="K133" s="106"/>
      <c r="L133" s="118">
        <v>6969.4</v>
      </c>
      <c r="M133" s="118">
        <v>5283.1909999999998</v>
      </c>
      <c r="N133" s="122">
        <f t="shared" si="227"/>
        <v>0.75805535627170206</v>
      </c>
      <c r="O133" s="118">
        <v>7478.9</v>
      </c>
      <c r="P133" s="118">
        <v>1655.3753999999999</v>
      </c>
      <c r="Q133" s="122">
        <f t="shared" si="228"/>
        <v>0.22133942157269118</v>
      </c>
      <c r="R133" s="118">
        <v>6497.8220000000001</v>
      </c>
      <c r="S133" s="118"/>
      <c r="T133" s="122">
        <f t="shared" si="229"/>
        <v>0</v>
      </c>
      <c r="U133" s="126">
        <v>7938</v>
      </c>
      <c r="V133" s="126"/>
      <c r="W133" s="122">
        <f t="shared" si="231"/>
        <v>0</v>
      </c>
      <c r="X133" s="126">
        <v>5543.4679999999998</v>
      </c>
      <c r="Y133" s="126"/>
      <c r="Z133" s="122">
        <f t="shared" si="232"/>
        <v>0</v>
      </c>
      <c r="AA133" s="126"/>
      <c r="AB133" s="126"/>
      <c r="AC133" s="122" t="e">
        <f t="shared" si="233"/>
        <v>#DIV/0!</v>
      </c>
      <c r="AD133" s="126"/>
      <c r="AE133" s="126"/>
      <c r="AF133" s="126"/>
      <c r="AG133" s="126"/>
      <c r="AH133" s="126"/>
      <c r="AI133" s="126"/>
      <c r="AJ133" s="118">
        <v>8315</v>
      </c>
      <c r="AK133" s="118"/>
      <c r="AL133" s="122">
        <f t="shared" si="234"/>
        <v>0</v>
      </c>
      <c r="AM133" s="126">
        <v>8204</v>
      </c>
      <c r="AN133" s="126"/>
      <c r="AO133" s="122">
        <f t="shared" si="235"/>
        <v>0</v>
      </c>
      <c r="AP133" s="118">
        <f>8395.0212+4762.2888</f>
        <v>13157.31</v>
      </c>
      <c r="AQ133" s="106"/>
      <c r="AR133" s="106"/>
      <c r="AS133" s="301"/>
      <c r="AT133" s="301"/>
      <c r="AU133" s="135">
        <f t="shared" si="112"/>
        <v>14448.3</v>
      </c>
      <c r="AV133" s="135">
        <f t="shared" si="113"/>
        <v>6938.5663999999997</v>
      </c>
      <c r="AW133" s="136">
        <f t="shared" si="134"/>
        <v>0.48023410366617525</v>
      </c>
      <c r="AX133" s="137">
        <f t="shared" si="114"/>
        <v>14448.3</v>
      </c>
      <c r="AY133" s="137">
        <f t="shared" si="115"/>
        <v>19979.29</v>
      </c>
      <c r="AZ133" s="137">
        <f t="shared" si="123"/>
        <v>0</v>
      </c>
      <c r="BA133" s="137">
        <f t="shared" si="124"/>
        <v>29676.309999999998</v>
      </c>
    </row>
    <row r="134" spans="1:53" ht="27" customHeight="1">
      <c r="A134" s="296"/>
      <c r="B134" s="299"/>
      <c r="C134" s="237"/>
      <c r="D134" s="243"/>
      <c r="E134" s="105" t="s">
        <v>44</v>
      </c>
      <c r="F134" s="118">
        <f t="shared" si="225"/>
        <v>1910</v>
      </c>
      <c r="G134" s="118">
        <f t="shared" si="225"/>
        <v>149.97059999999999</v>
      </c>
      <c r="H134" s="122">
        <f t="shared" si="226"/>
        <v>7.8518638743455493E-2</v>
      </c>
      <c r="I134" s="106"/>
      <c r="J134" s="106"/>
      <c r="K134" s="106"/>
      <c r="L134" s="118">
        <f>187+42.992</f>
        <v>229.99199999999999</v>
      </c>
      <c r="M134" s="118">
        <v>121.0638</v>
      </c>
      <c r="N134" s="122">
        <f t="shared" si="227"/>
        <v>0.52638265678806218</v>
      </c>
      <c r="O134" s="118">
        <v>196</v>
      </c>
      <c r="P134" s="118">
        <v>28.9068</v>
      </c>
      <c r="Q134" s="122">
        <f t="shared" si="228"/>
        <v>0.14748367346938776</v>
      </c>
      <c r="R134" s="118">
        <v>166</v>
      </c>
      <c r="S134" s="118"/>
      <c r="T134" s="122">
        <f t="shared" si="229"/>
        <v>0</v>
      </c>
      <c r="U134" s="126">
        <v>207</v>
      </c>
      <c r="V134" s="126"/>
      <c r="W134" s="122">
        <f t="shared" si="231"/>
        <v>0</v>
      </c>
      <c r="X134" s="126">
        <v>198.72</v>
      </c>
      <c r="Y134" s="126"/>
      <c r="Z134" s="122">
        <f t="shared" si="232"/>
        <v>0</v>
      </c>
      <c r="AA134" s="126"/>
      <c r="AB134" s="126"/>
      <c r="AC134" s="122"/>
      <c r="AD134" s="126"/>
      <c r="AE134" s="126"/>
      <c r="AF134" s="126"/>
      <c r="AG134" s="126"/>
      <c r="AH134" s="126"/>
      <c r="AI134" s="126"/>
      <c r="AJ134" s="118">
        <v>213</v>
      </c>
      <c r="AK134" s="118"/>
      <c r="AL134" s="122">
        <f t="shared" si="234"/>
        <v>0</v>
      </c>
      <c r="AM134" s="126">
        <v>213</v>
      </c>
      <c r="AN134" s="126"/>
      <c r="AO134" s="122">
        <f t="shared" si="235"/>
        <v>0</v>
      </c>
      <c r="AP134" s="118">
        <f>486.288</f>
        <v>486.28800000000001</v>
      </c>
      <c r="AQ134" s="106"/>
      <c r="AR134" s="106"/>
      <c r="AS134" s="302"/>
      <c r="AT134" s="302"/>
      <c r="AU134" s="135">
        <f t="shared" si="112"/>
        <v>425.99199999999996</v>
      </c>
      <c r="AV134" s="135">
        <f t="shared" si="113"/>
        <v>149.97059999999999</v>
      </c>
      <c r="AW134" s="136">
        <f t="shared" si="134"/>
        <v>0.352050273244568</v>
      </c>
      <c r="AX134" s="137">
        <f t="shared" si="114"/>
        <v>425.99199999999996</v>
      </c>
      <c r="AY134" s="137">
        <f t="shared" si="115"/>
        <v>571.72</v>
      </c>
      <c r="AZ134" s="137">
        <f t="shared" si="123"/>
        <v>0</v>
      </c>
      <c r="BA134" s="137">
        <f t="shared" si="124"/>
        <v>912.28800000000001</v>
      </c>
    </row>
    <row r="135" spans="1:53" s="108" customFormat="1" ht="18.75">
      <c r="A135" s="127" t="s">
        <v>396</v>
      </c>
      <c r="B135" s="244" t="s">
        <v>399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6"/>
      <c r="AU135" s="135">
        <f t="shared" si="112"/>
        <v>0</v>
      </c>
      <c r="AV135" s="135">
        <f t="shared" si="113"/>
        <v>0</v>
      </c>
      <c r="AW135" s="136"/>
      <c r="AX135" s="137"/>
      <c r="AY135" s="137"/>
      <c r="AZ135" s="137"/>
      <c r="BA135" s="137"/>
    </row>
    <row r="136" spans="1:53" ht="15" customHeight="1">
      <c r="A136" s="185" t="s">
        <v>397</v>
      </c>
      <c r="B136" s="247" t="s">
        <v>293</v>
      </c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9"/>
      <c r="AU136" s="135">
        <f t="shared" si="112"/>
        <v>0</v>
      </c>
      <c r="AV136" s="135">
        <f t="shared" si="113"/>
        <v>0</v>
      </c>
      <c r="AW136" s="136"/>
      <c r="AX136" s="137"/>
      <c r="AY136" s="137"/>
      <c r="AZ136" s="137"/>
      <c r="BA136" s="137"/>
    </row>
    <row r="137" spans="1:53" ht="24.75" customHeight="1">
      <c r="A137" s="296" t="s">
        <v>398</v>
      </c>
      <c r="B137" s="297" t="s">
        <v>403</v>
      </c>
      <c r="C137" s="235" t="s">
        <v>401</v>
      </c>
      <c r="D137" s="241" t="s">
        <v>400</v>
      </c>
      <c r="E137" s="105" t="s">
        <v>42</v>
      </c>
      <c r="F137" s="118">
        <f t="shared" ref="F137:G139" si="236">I137+L137+O137+R137+U137+X137+AA137+AD137+AG137+AJ137+AM137+AP137</f>
        <v>33750.116249999999</v>
      </c>
      <c r="G137" s="118">
        <f t="shared" si="236"/>
        <v>8951.2507000000005</v>
      </c>
      <c r="H137" s="122">
        <f t="shared" ref="H137:H139" si="237">G137/F137</f>
        <v>0.26522132942282833</v>
      </c>
      <c r="I137" s="118">
        <f>SUM(I138:I139)</f>
        <v>2315.5709999999999</v>
      </c>
      <c r="J137" s="106">
        <f>SUM(J138:J139)</f>
        <v>0</v>
      </c>
      <c r="K137" s="122">
        <f t="shared" ref="K137:K142" si="238">J137/I137</f>
        <v>0</v>
      </c>
      <c r="L137" s="125">
        <f>SUM(L138:L139)</f>
        <v>3997.2997700000005</v>
      </c>
      <c r="M137" s="118">
        <f>SUM(M138:M139)</f>
        <v>5737.9003499999999</v>
      </c>
      <c r="N137" s="122">
        <f t="shared" ref="N137:N142" si="239">M137/L137</f>
        <v>1.4354440948020266</v>
      </c>
      <c r="O137" s="125">
        <f>SUM(O138:O139)</f>
        <v>3673.165</v>
      </c>
      <c r="P137" s="118">
        <f>SUM(P138:P139)</f>
        <v>3213.3503500000002</v>
      </c>
      <c r="Q137" s="122">
        <f t="shared" ref="Q137:Q139" si="240">P137/O137</f>
        <v>0.87481786143557405</v>
      </c>
      <c r="R137" s="125">
        <f>SUM(R138:R139)</f>
        <v>3653.5550000000003</v>
      </c>
      <c r="S137" s="125">
        <f>SUM(S138:S139)</f>
        <v>0</v>
      </c>
      <c r="T137" s="150"/>
      <c r="U137" s="125">
        <f t="shared" ref="U137:AR137" si="241">SUM(U138:U139)</f>
        <v>3672.759</v>
      </c>
      <c r="V137" s="118">
        <f t="shared" si="241"/>
        <v>0</v>
      </c>
      <c r="W137" s="118">
        <f t="shared" si="241"/>
        <v>0</v>
      </c>
      <c r="X137" s="118">
        <f t="shared" si="241"/>
        <v>1728.6711599999999</v>
      </c>
      <c r="Y137" s="118">
        <f t="shared" si="241"/>
        <v>0</v>
      </c>
      <c r="Z137" s="118">
        <f t="shared" si="241"/>
        <v>0</v>
      </c>
      <c r="AA137" s="118">
        <f t="shared" si="241"/>
        <v>0</v>
      </c>
      <c r="AB137" s="118">
        <f t="shared" si="241"/>
        <v>0</v>
      </c>
      <c r="AC137" s="118">
        <f t="shared" si="241"/>
        <v>0</v>
      </c>
      <c r="AD137" s="118">
        <f t="shared" si="241"/>
        <v>0</v>
      </c>
      <c r="AE137" s="118">
        <f t="shared" si="241"/>
        <v>0</v>
      </c>
      <c r="AF137" s="118">
        <f t="shared" si="241"/>
        <v>0</v>
      </c>
      <c r="AG137" s="118">
        <f t="shared" si="241"/>
        <v>3011.7310000000002</v>
      </c>
      <c r="AH137" s="118">
        <f t="shared" si="241"/>
        <v>0</v>
      </c>
      <c r="AI137" s="122">
        <f t="shared" ref="AI137:AI142" si="242">AH137/AG137</f>
        <v>0</v>
      </c>
      <c r="AJ137" s="118">
        <f t="shared" si="241"/>
        <v>3652.5550000000003</v>
      </c>
      <c r="AK137" s="118">
        <f t="shared" si="241"/>
        <v>0</v>
      </c>
      <c r="AL137" s="122">
        <f t="shared" ref="AL137:AL142" si="243">AK137/AJ137</f>
        <v>0</v>
      </c>
      <c r="AM137" s="118">
        <f t="shared" si="241"/>
        <v>3653.5550000000003</v>
      </c>
      <c r="AN137" s="118">
        <f t="shared" si="241"/>
        <v>0</v>
      </c>
      <c r="AO137" s="122">
        <f t="shared" ref="AO137:AO142" si="244">AN137/AM137</f>
        <v>0</v>
      </c>
      <c r="AP137" s="118">
        <f t="shared" si="241"/>
        <v>4391.25432</v>
      </c>
      <c r="AQ137" s="106">
        <f t="shared" si="241"/>
        <v>0</v>
      </c>
      <c r="AR137" s="106">
        <f t="shared" si="241"/>
        <v>0</v>
      </c>
      <c r="AS137" s="292" t="s">
        <v>438</v>
      </c>
      <c r="AT137" s="300" t="s">
        <v>436</v>
      </c>
      <c r="AU137" s="135">
        <f t="shared" ref="AU137:AU142" si="245">I137+L137+O137</f>
        <v>9986.0357700000004</v>
      </c>
      <c r="AV137" s="135">
        <f t="shared" ref="AV137:AV142" si="246">J137+M137+P137</f>
        <v>8951.2507000000005</v>
      </c>
      <c r="AW137" s="136">
        <f t="shared" si="134"/>
        <v>0.89637679116785296</v>
      </c>
      <c r="AX137" s="137">
        <f t="shared" ref="AX137:AX139" si="247">I137+L137+O137</f>
        <v>9986.0357700000004</v>
      </c>
      <c r="AY137" s="137">
        <f t="shared" ref="AY137:AY139" si="248">R137+U137+X137</f>
        <v>9054.9851600000002</v>
      </c>
      <c r="AZ137" s="137">
        <f t="shared" si="123"/>
        <v>3011.7310000000002</v>
      </c>
      <c r="BA137" s="137">
        <f t="shared" si="124"/>
        <v>11697.364320000001</v>
      </c>
    </row>
    <row r="138" spans="1:53" ht="21.75" customHeight="1">
      <c r="A138" s="296"/>
      <c r="B138" s="298"/>
      <c r="C138" s="236"/>
      <c r="D138" s="242"/>
      <c r="E138" s="105" t="s">
        <v>3</v>
      </c>
      <c r="F138" s="118">
        <f t="shared" si="236"/>
        <v>0</v>
      </c>
      <c r="G138" s="118">
        <f t="shared" si="236"/>
        <v>0</v>
      </c>
      <c r="H138" s="122"/>
      <c r="I138" s="118"/>
      <c r="J138" s="106"/>
      <c r="K138" s="122"/>
      <c r="L138" s="125"/>
      <c r="M138" s="118"/>
      <c r="N138" s="122"/>
      <c r="O138" s="125"/>
      <c r="P138" s="118"/>
      <c r="Q138" s="122"/>
      <c r="R138" s="125"/>
      <c r="S138" s="125"/>
      <c r="T138" s="150"/>
      <c r="U138" s="124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2"/>
      <c r="AJ138" s="118"/>
      <c r="AK138" s="118"/>
      <c r="AL138" s="122"/>
      <c r="AM138" s="126"/>
      <c r="AN138" s="126"/>
      <c r="AO138" s="122"/>
      <c r="AP138" s="118"/>
      <c r="AQ138" s="106"/>
      <c r="AR138" s="106"/>
      <c r="AS138" s="293"/>
      <c r="AT138" s="301"/>
      <c r="AU138" s="135">
        <f t="shared" si="245"/>
        <v>0</v>
      </c>
      <c r="AV138" s="135">
        <f t="shared" si="246"/>
        <v>0</v>
      </c>
      <c r="AW138" s="136"/>
      <c r="AX138" s="137">
        <f t="shared" si="247"/>
        <v>0</v>
      </c>
      <c r="AY138" s="137">
        <f t="shared" si="248"/>
        <v>0</v>
      </c>
      <c r="AZ138" s="137">
        <f t="shared" si="123"/>
        <v>0</v>
      </c>
      <c r="BA138" s="137">
        <f t="shared" si="124"/>
        <v>0</v>
      </c>
    </row>
    <row r="139" spans="1:53" ht="24.75" customHeight="1">
      <c r="A139" s="296"/>
      <c r="B139" s="299"/>
      <c r="C139" s="237"/>
      <c r="D139" s="243"/>
      <c r="E139" s="105" t="s">
        <v>44</v>
      </c>
      <c r="F139" s="118">
        <f t="shared" si="236"/>
        <v>33750.116249999999</v>
      </c>
      <c r="G139" s="118">
        <f t="shared" si="236"/>
        <v>8951.2507000000005</v>
      </c>
      <c r="H139" s="122">
        <f t="shared" si="237"/>
        <v>0.26522132942282833</v>
      </c>
      <c r="I139" s="118">
        <f>2203+20.2+92.371</f>
        <v>2315.5709999999999</v>
      </c>
      <c r="J139" s="106"/>
      <c r="K139" s="122">
        <f t="shared" si="238"/>
        <v>0</v>
      </c>
      <c r="L139" s="125">
        <f>3504+343.74477+57.184+92.371</f>
        <v>3997.2997700000005</v>
      </c>
      <c r="M139" s="118">
        <v>5737.9003499999999</v>
      </c>
      <c r="N139" s="122">
        <f t="shared" si="239"/>
        <v>1.4354440948020266</v>
      </c>
      <c r="O139" s="125">
        <f>3504+76.794+92.371</f>
        <v>3673.165</v>
      </c>
      <c r="P139" s="118">
        <v>3213.3503500000002</v>
      </c>
      <c r="Q139" s="122">
        <f t="shared" si="240"/>
        <v>0.87481786143557405</v>
      </c>
      <c r="R139" s="125">
        <f>3504+57.184+92.371</f>
        <v>3653.5550000000003</v>
      </c>
      <c r="S139" s="125"/>
      <c r="T139" s="150"/>
      <c r="U139" s="124">
        <f>3503+77.388+92.371</f>
        <v>3672.759</v>
      </c>
      <c r="V139" s="126"/>
      <c r="W139" s="126"/>
      <c r="X139" s="126">
        <f>1362+16.771+349.90016</f>
        <v>1728.6711599999999</v>
      </c>
      <c r="Y139" s="126"/>
      <c r="Z139" s="126"/>
      <c r="AA139" s="126"/>
      <c r="AB139" s="126"/>
      <c r="AC139" s="126"/>
      <c r="AD139" s="126"/>
      <c r="AE139" s="126"/>
      <c r="AF139" s="126"/>
      <c r="AG139" s="126">
        <f>2898.55+20.81+92.371</f>
        <v>3011.7310000000002</v>
      </c>
      <c r="AH139" s="126"/>
      <c r="AI139" s="122">
        <f t="shared" si="242"/>
        <v>0</v>
      </c>
      <c r="AJ139" s="118">
        <f>3503+57.184+92.371</f>
        <v>3652.5550000000003</v>
      </c>
      <c r="AK139" s="118"/>
      <c r="AL139" s="122">
        <f t="shared" si="243"/>
        <v>0</v>
      </c>
      <c r="AM139" s="126">
        <f>3504+57.184+92.371</f>
        <v>3653.5550000000003</v>
      </c>
      <c r="AN139" s="126"/>
      <c r="AO139" s="122">
        <f t="shared" si="244"/>
        <v>0</v>
      </c>
      <c r="AP139" s="118">
        <f>4204.7+94.16945+92.371+0.01387</f>
        <v>4391.25432</v>
      </c>
      <c r="AQ139" s="106"/>
      <c r="AR139" s="106"/>
      <c r="AS139" s="294"/>
      <c r="AT139" s="302"/>
      <c r="AU139" s="135">
        <f t="shared" si="245"/>
        <v>9986.0357700000004</v>
      </c>
      <c r="AV139" s="135">
        <f t="shared" si="246"/>
        <v>8951.2507000000005</v>
      </c>
      <c r="AW139" s="136">
        <f t="shared" si="134"/>
        <v>0.89637679116785296</v>
      </c>
      <c r="AX139" s="137">
        <f t="shared" si="247"/>
        <v>9986.0357700000004</v>
      </c>
      <c r="AY139" s="137">
        <f t="shared" si="248"/>
        <v>9054.9851600000002</v>
      </c>
      <c r="AZ139" s="137">
        <f t="shared" si="123"/>
        <v>3011.7310000000002</v>
      </c>
      <c r="BA139" s="137">
        <f t="shared" si="124"/>
        <v>11697.364320000001</v>
      </c>
    </row>
    <row r="140" spans="1:53" s="108" customFormat="1" ht="20.25" customHeight="1">
      <c r="A140" s="303" t="s">
        <v>386</v>
      </c>
      <c r="B140" s="304"/>
      <c r="C140" s="107" t="s">
        <v>42</v>
      </c>
      <c r="D140" s="309"/>
      <c r="E140" s="105" t="s">
        <v>42</v>
      </c>
      <c r="F140" s="119">
        <f t="shared" ref="F140:G142" si="249">F8+F11+F14+F17+F20+F23+F26+F29+F32+F35+F38+F48+F51+F56+F59+F62+F65+F68+F73+F76+F79+F82+F85+F88+F91+F96+F99+F104+F107+F110+F113+F116+F119+F122+F127+F132+F137</f>
        <v>1397104.52648</v>
      </c>
      <c r="G140" s="119">
        <f t="shared" si="249"/>
        <v>257637.32131999999</v>
      </c>
      <c r="H140" s="123">
        <f t="shared" ref="H140:H141" si="250">G140/F140</f>
        <v>0.184408049961098</v>
      </c>
      <c r="I140" s="119">
        <f t="shared" ref="I140:J142" si="251">I8+I11+I14+I17+I20+I23+I26+I29+I32+I35+I38+I48+I51+I56+I59+I62+I65+I68+I73+I76+I79+I82+I85+I88+I91+I96+I99+I104+I107+I110+I113+I116+I119+I122+I127+I132+I137</f>
        <v>31818.234999999997</v>
      </c>
      <c r="J140" s="119">
        <f t="shared" si="251"/>
        <v>31046.984339999995</v>
      </c>
      <c r="K140" s="123">
        <f t="shared" si="238"/>
        <v>0.97576073405705877</v>
      </c>
      <c r="L140" s="119">
        <f t="shared" ref="L140:M142" si="252">L8+L11+L14+L17+L20+L23+L26+L29+L32+L35+L38+L48+L51+L56+L59+L62+L65+L68+L73+L76+L79+L82+L85+L88+L91+L96+L99+L104+L107+L110+L113+L116+L119+L122+L127+L132+L137</f>
        <v>114960.95999999998</v>
      </c>
      <c r="M140" s="119">
        <f t="shared" si="252"/>
        <v>106941.52184999999</v>
      </c>
      <c r="N140" s="123">
        <f t="shared" si="239"/>
        <v>0.93024207391796321</v>
      </c>
      <c r="O140" s="119">
        <f t="shared" ref="O140:P142" si="253">O8+O11+O14+O17+O20+O23+O26+O29+O32+O35+O38+O48+O51+O56+O59+O62+O65+O68+O73+O76+O79+O82+O85+O88+O91+O96+O99+O104+O107+O110+O113+O116+O119+O122+O127+O132+O137</f>
        <v>123165.13099999998</v>
      </c>
      <c r="P140" s="119">
        <f t="shared" si="253"/>
        <v>119648.81512999999</v>
      </c>
      <c r="Q140" s="123">
        <f t="shared" ref="Q140:Q142" si="254">P140/O140</f>
        <v>0.97145039475498962</v>
      </c>
      <c r="R140" s="119">
        <f t="shared" ref="R140:S142" si="255">R8+R11+R14+R17+R20+R23+R26+R29+R32+R35+R38+R48+R51+R56+R59+R62+R65+R68+R73+R76+R79+R82+R85+R88+R91+R96+R99+R104+R107+R110+R113+R116+R119+R122+R127+R132+R137</f>
        <v>133805.64199999999</v>
      </c>
      <c r="S140" s="119">
        <f t="shared" si="255"/>
        <v>0</v>
      </c>
      <c r="T140" s="123">
        <f t="shared" ref="T140:T142" si="256">S140/R140</f>
        <v>0</v>
      </c>
      <c r="U140" s="119">
        <f t="shared" ref="U140:V142" si="257">U8+U11+U14+U17+U20+U23+U26+U29+U32+U35+U38+U48+U51+U56+U59+U62+U65+U68+U73+U76+U79+U82+U85+U88+U91+U96+U99+U104+U107+U110+U113+U116+U119+U122+U127+U132+U137</f>
        <v>156706.23700000002</v>
      </c>
      <c r="V140" s="119">
        <f t="shared" si="257"/>
        <v>0</v>
      </c>
      <c r="W140" s="123">
        <f t="shared" ref="W140:W142" si="258">V140/U140</f>
        <v>0</v>
      </c>
      <c r="X140" s="119">
        <f t="shared" ref="X140:Y142" si="259">X8+X11+X14+X17+X20+X23+X26+X29+X32+X35+X38+X48+X51+X56+X59+X62+X65+X68+X73+X76+X79+X82+X85+X88+X91+X96+X99+X104+X107+X110+X113+X116+X119+X122+X127+X132+X137</f>
        <v>194937.69415999998</v>
      </c>
      <c r="Y140" s="119">
        <f t="shared" si="259"/>
        <v>0</v>
      </c>
      <c r="Z140" s="123">
        <f t="shared" ref="Z140:Z142" si="260">Y140/X140</f>
        <v>0</v>
      </c>
      <c r="AA140" s="119">
        <f t="shared" ref="AA140:AB142" si="261">AA8+AA11+AA14+AA17+AA20+AA23+AA26+AA29+AA32+AA35+AA38+AA48+AA51+AA56+AA59+AA62+AA65+AA68+AA73+AA76+AA79+AA82+AA85+AA88+AA91+AA96+AA99+AA104+AA107+AA110+AA113+AA116+AA119+AA122+AA127+AA132+AA137</f>
        <v>122151.57600000002</v>
      </c>
      <c r="AB140" s="119">
        <f t="shared" si="261"/>
        <v>0</v>
      </c>
      <c r="AC140" s="123">
        <f t="shared" ref="AC140:AC142" si="262">AB140/AA140</f>
        <v>0</v>
      </c>
      <c r="AD140" s="119">
        <f t="shared" ref="AD140:AE142" si="263">AD8+AD11+AD14+AD17+AD20+AD23+AD26+AD29+AD32+AD35+AD38+AD48+AD51+AD56+AD59+AD62+AD65+AD68+AD73+AD76+AD79+AD82+AD85+AD88+AD91+AD96+AD99+AD104+AD107+AD110+AD113+AD116+AD119+AD122+AD127+AD132+AD137</f>
        <v>65392.915000000001</v>
      </c>
      <c r="AE140" s="119">
        <f t="shared" si="263"/>
        <v>0</v>
      </c>
      <c r="AF140" s="123">
        <f t="shared" ref="AF140:AF142" si="264">AE140/AD140</f>
        <v>0</v>
      </c>
      <c r="AG140" s="119">
        <f t="shared" ref="AG140:AH142" si="265">AG8+AG11+AG14+AG17+AG20+AG23+AG26+AG29+AG32+AG35+AG38+AG48+AG51+AG56+AG59+AG62+AG65+AG68+AG73+AG76+AG79+AG82+AG85+AG88+AG91+AG96+AG99+AG104+AG107+AG110+AG113+AG116+AG119+AG122+AG127+AG132+AG137</f>
        <v>78224.692999999985</v>
      </c>
      <c r="AH140" s="119">
        <f t="shared" si="265"/>
        <v>0</v>
      </c>
      <c r="AI140" s="123">
        <f t="shared" si="242"/>
        <v>0</v>
      </c>
      <c r="AJ140" s="119">
        <f t="shared" ref="AJ140:AK142" si="266">AJ8+AJ11+AJ14+AJ17+AJ20+AJ23+AJ26+AJ29+AJ32+AJ35+AJ38+AJ48+AJ51+AJ56+AJ59+AJ62+AJ65+AJ68+AJ73+AJ76+AJ79+AJ82+AJ85+AJ88+AJ91+AJ96+AJ99+AJ104+AJ107+AJ110+AJ113+AJ116+AJ119+AJ122+AJ127+AJ132+AJ137</f>
        <v>118176.66014999998</v>
      </c>
      <c r="AK140" s="119">
        <f t="shared" si="266"/>
        <v>0</v>
      </c>
      <c r="AL140" s="123">
        <f t="shared" si="243"/>
        <v>0</v>
      </c>
      <c r="AM140" s="119">
        <f t="shared" ref="AM140:AN142" si="267">AM8+AM11+AM14+AM17+AM20+AM23+AM26+AM29+AM32+AM35+AM38+AM48+AM51+AM56+AM59+AM62+AM65+AM68+AM73+AM76+AM79+AM82+AM85+AM88+AM91+AM96+AM99+AM104+AM107+AM110+AM113+AM116+AM119+AM122+AM127+AM132+AM137</f>
        <v>107299.125</v>
      </c>
      <c r="AN140" s="119">
        <f t="shared" si="267"/>
        <v>0</v>
      </c>
      <c r="AO140" s="123">
        <f t="shared" si="244"/>
        <v>0</v>
      </c>
      <c r="AP140" s="119">
        <f t="shared" ref="AP140:AQ142" si="268">AP8+AP11+AP14+AP17+AP20+AP23+AP26+AP29+AP32+AP35+AP38+AP48+AP51+AP56+AP59+AP62+AP65+AP68+AP73+AP76+AP79+AP82+AP85+AP88+AP91+AP96+AP99+AP104+AP107+AP110+AP113+AP116+AP119+AP122+AP127+AP132+AP137</f>
        <v>150465.65817000001</v>
      </c>
      <c r="AQ140" s="119">
        <f t="shared" si="268"/>
        <v>0</v>
      </c>
      <c r="AR140" s="123">
        <f t="shared" ref="AR140:AR142" si="269">AQ140/AP140</f>
        <v>0</v>
      </c>
      <c r="AS140" s="109"/>
      <c r="AT140" s="109"/>
      <c r="AU140" s="135">
        <f t="shared" si="245"/>
        <v>269944.32599999994</v>
      </c>
      <c r="AV140" s="135">
        <f t="shared" si="246"/>
        <v>257637.32131999999</v>
      </c>
      <c r="AW140" s="136">
        <f>(AV140)/(AU140)*100%</f>
        <v>0.95440910034167581</v>
      </c>
      <c r="AX140" s="137">
        <f t="shared" ref="AX140:AX142" si="270">I140+L140+O140</f>
        <v>269944.32599999994</v>
      </c>
      <c r="AY140" s="137">
        <f t="shared" ref="AY140:AY142" si="271">R140+U140+X140</f>
        <v>485449.57316000003</v>
      </c>
      <c r="AZ140" s="137">
        <f t="shared" ref="AZ140:AZ142" si="272">AA140+AD140+AG140</f>
        <v>265769.18400000001</v>
      </c>
      <c r="BA140" s="137">
        <f t="shared" ref="BA140:BA142" si="273">AJ140+AM140+AP140</f>
        <v>375941.44331999996</v>
      </c>
    </row>
    <row r="141" spans="1:53" s="108" customFormat="1" ht="18.75">
      <c r="A141" s="305"/>
      <c r="B141" s="306"/>
      <c r="C141" s="110" t="s">
        <v>3</v>
      </c>
      <c r="D141" s="310"/>
      <c r="E141" s="105" t="s">
        <v>3</v>
      </c>
      <c r="F141" s="119">
        <f t="shared" si="249"/>
        <v>1141267.7719999999</v>
      </c>
      <c r="G141" s="119">
        <f t="shared" si="249"/>
        <v>202324.06340000001</v>
      </c>
      <c r="H141" s="123">
        <f t="shared" si="250"/>
        <v>0.17728009881978865</v>
      </c>
      <c r="I141" s="119">
        <f t="shared" si="251"/>
        <v>23179.773000000001</v>
      </c>
      <c r="J141" s="119">
        <f t="shared" si="251"/>
        <v>23172.677299999999</v>
      </c>
      <c r="K141" s="123">
        <f t="shared" si="238"/>
        <v>0.9996938839737558</v>
      </c>
      <c r="L141" s="119">
        <f t="shared" si="252"/>
        <v>90642.8</v>
      </c>
      <c r="M141" s="119">
        <f t="shared" si="252"/>
        <v>83521.308900000004</v>
      </c>
      <c r="N141" s="123">
        <f t="shared" si="239"/>
        <v>0.92143346079335586</v>
      </c>
      <c r="O141" s="119">
        <f t="shared" si="253"/>
        <v>96956.900000000009</v>
      </c>
      <c r="P141" s="119">
        <f t="shared" si="253"/>
        <v>95630.077200000014</v>
      </c>
      <c r="Q141" s="123">
        <f t="shared" si="254"/>
        <v>0.98631533392672421</v>
      </c>
      <c r="R141" s="119">
        <f t="shared" si="255"/>
        <v>107881.94200000001</v>
      </c>
      <c r="S141" s="119">
        <f t="shared" si="255"/>
        <v>0</v>
      </c>
      <c r="T141" s="123">
        <f t="shared" si="256"/>
        <v>0</v>
      </c>
      <c r="U141" s="119">
        <f t="shared" si="257"/>
        <v>135059.152</v>
      </c>
      <c r="V141" s="119">
        <f t="shared" si="257"/>
        <v>0</v>
      </c>
      <c r="W141" s="123">
        <f t="shared" si="258"/>
        <v>0</v>
      </c>
      <c r="X141" s="119">
        <f t="shared" si="259"/>
        <v>173828.36799999996</v>
      </c>
      <c r="Y141" s="119">
        <f t="shared" si="259"/>
        <v>0</v>
      </c>
      <c r="Z141" s="123">
        <f t="shared" si="260"/>
        <v>0</v>
      </c>
      <c r="AA141" s="119">
        <f t="shared" si="261"/>
        <v>97959.377999999997</v>
      </c>
      <c r="AB141" s="119">
        <f t="shared" si="261"/>
        <v>0</v>
      </c>
      <c r="AC141" s="123">
        <f t="shared" si="262"/>
        <v>0</v>
      </c>
      <c r="AD141" s="119">
        <f t="shared" si="263"/>
        <v>50013.599999999999</v>
      </c>
      <c r="AE141" s="119">
        <f t="shared" si="263"/>
        <v>0</v>
      </c>
      <c r="AF141" s="123">
        <f t="shared" si="264"/>
        <v>0</v>
      </c>
      <c r="AG141" s="119">
        <f t="shared" si="265"/>
        <v>62939</v>
      </c>
      <c r="AH141" s="119">
        <f t="shared" si="265"/>
        <v>0</v>
      </c>
      <c r="AI141" s="123">
        <f t="shared" si="242"/>
        <v>0</v>
      </c>
      <c r="AJ141" s="119">
        <f t="shared" si="266"/>
        <v>95634.6</v>
      </c>
      <c r="AK141" s="119">
        <f t="shared" si="266"/>
        <v>0</v>
      </c>
      <c r="AL141" s="123">
        <f t="shared" si="243"/>
        <v>0</v>
      </c>
      <c r="AM141" s="119">
        <f t="shared" si="267"/>
        <v>87881.178</v>
      </c>
      <c r="AN141" s="119">
        <f t="shared" si="267"/>
        <v>0</v>
      </c>
      <c r="AO141" s="123">
        <f t="shared" si="244"/>
        <v>0</v>
      </c>
      <c r="AP141" s="119">
        <f t="shared" si="268"/>
        <v>119291.08099999999</v>
      </c>
      <c r="AQ141" s="119">
        <f t="shared" si="268"/>
        <v>0</v>
      </c>
      <c r="AR141" s="123">
        <f t="shared" si="269"/>
        <v>0</v>
      </c>
      <c r="AS141" s="109"/>
      <c r="AT141" s="109"/>
      <c r="AU141" s="135">
        <f t="shared" si="245"/>
        <v>210779.473</v>
      </c>
      <c r="AV141" s="135">
        <f t="shared" si="246"/>
        <v>202324.06340000001</v>
      </c>
      <c r="AW141" s="136">
        <f t="shared" ref="AW141:AW142" si="274">(AV141)/(AU141)*100%</f>
        <v>0.95988504250601303</v>
      </c>
      <c r="AX141" s="137">
        <f t="shared" si="270"/>
        <v>210779.473</v>
      </c>
      <c r="AY141" s="137">
        <f t="shared" si="271"/>
        <v>416769.46199999994</v>
      </c>
      <c r="AZ141" s="137">
        <f t="shared" si="272"/>
        <v>210911.978</v>
      </c>
      <c r="BA141" s="137">
        <f t="shared" si="273"/>
        <v>302806.859</v>
      </c>
    </row>
    <row r="142" spans="1:53" s="108" customFormat="1" ht="18.75">
      <c r="A142" s="307"/>
      <c r="B142" s="308"/>
      <c r="C142" s="110" t="s">
        <v>44</v>
      </c>
      <c r="D142" s="311"/>
      <c r="E142" s="105" t="s">
        <v>44</v>
      </c>
      <c r="F142" s="119">
        <f t="shared" si="249"/>
        <v>255836.75448</v>
      </c>
      <c r="G142" s="119">
        <f t="shared" si="249"/>
        <v>55313.257919999989</v>
      </c>
      <c r="H142" s="123">
        <f t="shared" ref="H142" si="275">G142/F142</f>
        <v>0.21620528306195386</v>
      </c>
      <c r="I142" s="119">
        <f t="shared" si="251"/>
        <v>8638.4619999999995</v>
      </c>
      <c r="J142" s="119">
        <f t="shared" si="251"/>
        <v>7874.3070399999997</v>
      </c>
      <c r="K142" s="123">
        <f t="shared" si="238"/>
        <v>0.91154039225964067</v>
      </c>
      <c r="L142" s="119">
        <f t="shared" si="252"/>
        <v>24318.16</v>
      </c>
      <c r="M142" s="119">
        <f t="shared" si="252"/>
        <v>23420.212950000001</v>
      </c>
      <c r="N142" s="123">
        <f t="shared" si="239"/>
        <v>0.96307504145050449</v>
      </c>
      <c r="O142" s="119">
        <f t="shared" si="253"/>
        <v>26208.231000000007</v>
      </c>
      <c r="P142" s="119">
        <f t="shared" si="253"/>
        <v>24018.737930000007</v>
      </c>
      <c r="Q142" s="123">
        <f t="shared" si="254"/>
        <v>0.91645780785433406</v>
      </c>
      <c r="R142" s="119">
        <f t="shared" si="255"/>
        <v>25923.7</v>
      </c>
      <c r="S142" s="119">
        <f t="shared" si="255"/>
        <v>0</v>
      </c>
      <c r="T142" s="123">
        <f t="shared" si="256"/>
        <v>0</v>
      </c>
      <c r="U142" s="119">
        <f t="shared" si="257"/>
        <v>21647.084999999999</v>
      </c>
      <c r="V142" s="119">
        <f t="shared" si="257"/>
        <v>0</v>
      </c>
      <c r="W142" s="123">
        <f t="shared" si="258"/>
        <v>0</v>
      </c>
      <c r="X142" s="119">
        <f t="shared" si="259"/>
        <v>21109.326160000004</v>
      </c>
      <c r="Y142" s="119">
        <f t="shared" si="259"/>
        <v>0</v>
      </c>
      <c r="Z142" s="123">
        <f t="shared" si="260"/>
        <v>0</v>
      </c>
      <c r="AA142" s="119">
        <f t="shared" si="261"/>
        <v>24192.198</v>
      </c>
      <c r="AB142" s="119">
        <f t="shared" si="261"/>
        <v>0</v>
      </c>
      <c r="AC142" s="123">
        <f t="shared" si="262"/>
        <v>0</v>
      </c>
      <c r="AD142" s="119">
        <f t="shared" si="263"/>
        <v>15379.315000000001</v>
      </c>
      <c r="AE142" s="119">
        <f t="shared" si="263"/>
        <v>0</v>
      </c>
      <c r="AF142" s="123">
        <f t="shared" si="264"/>
        <v>0</v>
      </c>
      <c r="AG142" s="119">
        <f t="shared" si="265"/>
        <v>15285.692999999999</v>
      </c>
      <c r="AH142" s="119">
        <f t="shared" si="265"/>
        <v>0</v>
      </c>
      <c r="AI142" s="123">
        <f t="shared" si="242"/>
        <v>0</v>
      </c>
      <c r="AJ142" s="119">
        <f t="shared" si="266"/>
        <v>22542.060149999998</v>
      </c>
      <c r="AK142" s="119">
        <f t="shared" si="266"/>
        <v>0</v>
      </c>
      <c r="AL142" s="123">
        <f t="shared" si="243"/>
        <v>0</v>
      </c>
      <c r="AM142" s="119">
        <f t="shared" si="267"/>
        <v>19417.947</v>
      </c>
      <c r="AN142" s="119">
        <f t="shared" si="267"/>
        <v>0</v>
      </c>
      <c r="AO142" s="123">
        <f t="shared" si="244"/>
        <v>0</v>
      </c>
      <c r="AP142" s="119">
        <f t="shared" si="268"/>
        <v>31174.57717</v>
      </c>
      <c r="AQ142" s="119">
        <f t="shared" si="268"/>
        <v>0</v>
      </c>
      <c r="AR142" s="123">
        <f t="shared" si="269"/>
        <v>0</v>
      </c>
      <c r="AS142" s="109"/>
      <c r="AT142" s="109"/>
      <c r="AU142" s="135">
        <f t="shared" si="245"/>
        <v>59164.85300000001</v>
      </c>
      <c r="AV142" s="135">
        <f t="shared" si="246"/>
        <v>55313.257920000004</v>
      </c>
      <c r="AW142" s="136">
        <f t="shared" si="274"/>
        <v>0.93490062284106401</v>
      </c>
      <c r="AX142" s="137">
        <f t="shared" si="270"/>
        <v>59164.85300000001</v>
      </c>
      <c r="AY142" s="137">
        <f t="shared" si="271"/>
        <v>68680.11116</v>
      </c>
      <c r="AZ142" s="137">
        <f t="shared" si="272"/>
        <v>54857.205999999998</v>
      </c>
      <c r="BA142" s="137">
        <f t="shared" si="273"/>
        <v>73134.584319999994</v>
      </c>
    </row>
    <row r="143" spans="1:53" s="108" customFormat="1" ht="15">
      <c r="A143" s="155"/>
      <c r="B143" s="155"/>
      <c r="C143" s="156"/>
      <c r="D143" s="155"/>
      <c r="E143" s="184"/>
      <c r="F143" s="157"/>
      <c r="G143" s="157"/>
      <c r="H143" s="158"/>
      <c r="I143" s="157"/>
      <c r="J143" s="157"/>
      <c r="K143" s="158"/>
      <c r="L143" s="157"/>
      <c r="M143" s="157"/>
      <c r="N143" s="158"/>
      <c r="O143" s="157"/>
      <c r="P143" s="157"/>
      <c r="Q143" s="158"/>
      <c r="R143" s="157"/>
      <c r="S143" s="157"/>
      <c r="T143" s="158"/>
      <c r="U143" s="157"/>
      <c r="V143" s="157"/>
      <c r="W143" s="158"/>
      <c r="X143" s="157"/>
      <c r="Y143" s="157"/>
      <c r="Z143" s="158"/>
      <c r="AA143" s="157"/>
      <c r="AB143" s="157"/>
      <c r="AC143" s="158"/>
      <c r="AD143" s="157"/>
      <c r="AE143" s="157"/>
      <c r="AF143" s="158"/>
      <c r="AG143" s="157"/>
      <c r="AH143" s="157"/>
      <c r="AI143" s="158"/>
      <c r="AJ143" s="157"/>
      <c r="AK143" s="157"/>
      <c r="AL143" s="158"/>
      <c r="AM143" s="157"/>
      <c r="AN143" s="157"/>
      <c r="AO143" s="158"/>
      <c r="AP143" s="157"/>
      <c r="AQ143" s="157"/>
      <c r="AR143" s="158"/>
      <c r="AS143" s="159"/>
      <c r="AT143" s="159"/>
      <c r="AU143" s="159"/>
      <c r="AV143" s="159"/>
      <c r="AW143" s="160"/>
      <c r="AX143" s="104"/>
      <c r="AY143" s="104"/>
      <c r="AZ143" s="104"/>
      <c r="BA143" s="104"/>
    </row>
    <row r="144" spans="1:53" s="166" customFormat="1" ht="68.25" hidden="1" customHeight="1">
      <c r="A144" s="161"/>
      <c r="B144" s="162" t="s">
        <v>404</v>
      </c>
      <c r="C144" s="162"/>
      <c r="D144" s="162"/>
      <c r="E144" s="163"/>
      <c r="F144" s="164" t="s">
        <v>405</v>
      </c>
      <c r="G144" s="165"/>
      <c r="H144" s="161"/>
      <c r="J144" s="167"/>
      <c r="K144" s="167"/>
      <c r="L144" s="167"/>
      <c r="M144" s="167"/>
      <c r="N144" s="167"/>
      <c r="O144" s="162"/>
      <c r="P144" s="162"/>
      <c r="Q144" s="168"/>
      <c r="R144" s="162"/>
      <c r="S144" s="98"/>
      <c r="T144" s="98"/>
      <c r="U144" s="169"/>
      <c r="V144" s="169"/>
      <c r="W144" s="169"/>
      <c r="X144" s="168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02"/>
      <c r="AU144" s="102"/>
      <c r="AV144" s="102"/>
      <c r="AW144" s="102"/>
    </row>
    <row r="145" spans="1:49" s="166" customFormat="1" ht="86.25" customHeight="1">
      <c r="A145" s="161"/>
      <c r="B145" s="162" t="s">
        <v>406</v>
      </c>
      <c r="C145" s="162"/>
      <c r="D145" s="162"/>
      <c r="E145" s="163"/>
      <c r="F145" s="170" t="s">
        <v>415</v>
      </c>
      <c r="G145" s="171"/>
      <c r="H145" s="172"/>
      <c r="J145" s="167"/>
      <c r="K145" s="167"/>
      <c r="L145" s="167"/>
      <c r="M145" s="167"/>
      <c r="N145" s="167"/>
      <c r="O145" s="162"/>
      <c r="P145" s="162"/>
      <c r="R145" s="162"/>
      <c r="S145" s="98"/>
      <c r="T145" s="98"/>
      <c r="U145" s="169"/>
      <c r="V145" s="169"/>
      <c r="W145" s="169"/>
      <c r="X145" s="169"/>
      <c r="Y145" s="169"/>
      <c r="Z145" s="169"/>
      <c r="AA145" s="168" t="s">
        <v>442</v>
      </c>
      <c r="AB145" s="169"/>
      <c r="AC145" s="169"/>
      <c r="AD145" s="169"/>
      <c r="AE145" s="169"/>
      <c r="AF145" s="169"/>
      <c r="AG145" s="169"/>
      <c r="AH145" s="169"/>
      <c r="AI145" s="169"/>
      <c r="AJ145" s="172"/>
      <c r="AK145" s="172"/>
      <c r="AL145" s="172"/>
      <c r="AM145" s="172"/>
      <c r="AN145" s="172"/>
      <c r="AO145" s="172"/>
      <c r="AP145" s="172"/>
      <c r="AQ145" s="173"/>
      <c r="AR145" s="173"/>
      <c r="AS145" s="173"/>
      <c r="AT145" s="102"/>
      <c r="AU145" s="102"/>
      <c r="AV145" s="102"/>
      <c r="AW145" s="102"/>
    </row>
    <row r="146" spans="1:49" ht="80.25" customHeight="1">
      <c r="A146" s="161"/>
      <c r="B146" s="162" t="s">
        <v>407</v>
      </c>
      <c r="C146" s="162"/>
      <c r="D146" s="162"/>
      <c r="E146" s="163"/>
      <c r="F146" s="164" t="s">
        <v>408</v>
      </c>
      <c r="G146" s="164"/>
      <c r="H146" s="162"/>
      <c r="I146" s="166"/>
      <c r="J146" s="167"/>
      <c r="K146" s="167"/>
      <c r="L146" s="167"/>
      <c r="M146" s="167"/>
      <c r="N146" s="167"/>
      <c r="O146" s="162"/>
      <c r="P146" s="162"/>
      <c r="R146" s="162"/>
      <c r="S146" s="98"/>
      <c r="T146" s="98"/>
      <c r="U146" s="169"/>
      <c r="V146" s="169"/>
      <c r="W146" s="169"/>
      <c r="X146" s="170"/>
      <c r="Y146" s="169"/>
      <c r="Z146" s="169"/>
      <c r="AA146" s="170" t="s">
        <v>409</v>
      </c>
      <c r="AB146" s="169"/>
      <c r="AC146" s="169"/>
      <c r="AD146" s="169"/>
      <c r="AE146" s="169"/>
      <c r="AF146" s="169"/>
      <c r="AG146" s="169"/>
      <c r="AH146" s="169"/>
      <c r="AI146" s="169"/>
      <c r="AJ146" s="98">
        <f>AJ145+AM145+AP145</f>
        <v>0</v>
      </c>
      <c r="AK146" s="98"/>
      <c r="AL146" s="98"/>
      <c r="AM146" s="169"/>
      <c r="AN146" s="169"/>
      <c r="AO146" s="169"/>
      <c r="AP146" s="173"/>
      <c r="AQ146" s="173"/>
      <c r="AR146" s="173"/>
      <c r="AS146" s="173"/>
      <c r="AT146" s="102"/>
      <c r="AU146" s="102"/>
      <c r="AV146" s="102"/>
      <c r="AW146" s="102"/>
    </row>
    <row r="147" spans="1:49" ht="45" hidden="1" customHeight="1">
      <c r="A147" s="111"/>
      <c r="B147" s="98" t="s">
        <v>410</v>
      </c>
      <c r="C147" s="98"/>
      <c r="D147" s="98"/>
      <c r="E147" s="174"/>
      <c r="F147" s="175" t="s">
        <v>411</v>
      </c>
      <c r="G147" s="176"/>
      <c r="H147" s="98"/>
      <c r="I147" s="97"/>
      <c r="J147" s="173"/>
      <c r="K147" s="173"/>
      <c r="L147" s="173"/>
      <c r="M147" s="173"/>
      <c r="N147" s="173"/>
      <c r="O147" s="98"/>
      <c r="P147" s="98"/>
      <c r="Q147" s="170" t="s">
        <v>409</v>
      </c>
      <c r="R147" s="98"/>
      <c r="S147" s="98"/>
      <c r="T147" s="98"/>
      <c r="U147" s="169"/>
      <c r="V147" s="169"/>
      <c r="W147" s="169"/>
      <c r="X147" s="169"/>
      <c r="Y147" s="169"/>
      <c r="Z147" s="169"/>
      <c r="AB147" s="169"/>
      <c r="AC147" s="169"/>
      <c r="AD147" s="169"/>
      <c r="AE147" s="169"/>
      <c r="AF147" s="169"/>
      <c r="AG147" s="169"/>
      <c r="AH147" s="169"/>
      <c r="AI147" s="169"/>
      <c r="AJ147" s="98"/>
      <c r="AK147" s="98"/>
      <c r="AL147" s="98"/>
      <c r="AM147" s="169"/>
      <c r="AN147" s="169"/>
      <c r="AO147" s="169"/>
      <c r="AP147" s="173"/>
      <c r="AQ147" s="173"/>
      <c r="AR147" s="173"/>
      <c r="AS147" s="173"/>
      <c r="AT147" s="102"/>
      <c r="AU147" s="102"/>
      <c r="AV147" s="102"/>
      <c r="AW147" s="102"/>
    </row>
    <row r="148" spans="1:49" ht="15.75">
      <c r="A148" s="111"/>
      <c r="B148" s="177"/>
      <c r="C148" s="177"/>
      <c r="D148" s="177"/>
      <c r="E148" s="178"/>
      <c r="F148" s="175"/>
      <c r="G148" s="175"/>
      <c r="H148" s="98"/>
      <c r="I148" s="98"/>
      <c r="J148" s="98"/>
      <c r="K148" s="98"/>
      <c r="L148" s="98"/>
      <c r="M148" s="98"/>
      <c r="N148" s="98"/>
      <c r="O148" s="98"/>
      <c r="P148" s="98"/>
      <c r="Q148" s="170"/>
      <c r="R148" s="98"/>
      <c r="S148" s="98"/>
      <c r="T148" s="98"/>
      <c r="U148" s="169"/>
      <c r="V148" s="169"/>
      <c r="W148" s="169"/>
      <c r="X148" s="170"/>
      <c r="Y148" s="169"/>
      <c r="Z148" s="169"/>
      <c r="AA148" s="170"/>
      <c r="AB148" s="169"/>
      <c r="AC148" s="169"/>
      <c r="AD148" s="169"/>
      <c r="AE148" s="169"/>
      <c r="AF148" s="169"/>
      <c r="AG148" s="169"/>
      <c r="AH148" s="169"/>
      <c r="AI148" s="169"/>
      <c r="AJ148" s="98"/>
      <c r="AK148" s="98"/>
      <c r="AL148" s="98"/>
      <c r="AM148" s="169"/>
      <c r="AN148" s="169"/>
      <c r="AO148" s="169"/>
      <c r="AP148" s="173"/>
      <c r="AQ148" s="173"/>
      <c r="AR148" s="173"/>
      <c r="AS148" s="173"/>
      <c r="AT148" s="102"/>
      <c r="AU148" s="102"/>
      <c r="AV148" s="102"/>
      <c r="AW148" s="102"/>
    </row>
    <row r="149" spans="1:49" ht="14.25" customHeight="1">
      <c r="A149" s="295" t="s">
        <v>412</v>
      </c>
      <c r="B149" s="295"/>
      <c r="C149" s="184"/>
      <c r="D149" s="184"/>
      <c r="E149" s="178"/>
      <c r="F149" s="179"/>
      <c r="G149" s="179"/>
      <c r="H149" s="112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169"/>
      <c r="V149" s="169"/>
      <c r="W149" s="169"/>
      <c r="X149" s="169"/>
      <c r="Y149" s="169"/>
      <c r="Z149" s="169"/>
      <c r="AA149" s="170" t="s">
        <v>443</v>
      </c>
      <c r="AB149" s="169"/>
      <c r="AC149" s="169"/>
      <c r="AD149" s="169"/>
      <c r="AE149" s="169"/>
      <c r="AF149" s="169"/>
      <c r="AG149" s="169"/>
      <c r="AH149" s="169"/>
      <c r="AI149" s="169"/>
      <c r="AJ149" s="98"/>
      <c r="AK149" s="98"/>
      <c r="AL149" s="98"/>
      <c r="AM149" s="169"/>
      <c r="AN149" s="169"/>
      <c r="AO149" s="169"/>
      <c r="AP149" s="173"/>
      <c r="AQ149" s="173"/>
      <c r="AR149" s="173"/>
      <c r="AS149" s="173"/>
      <c r="AT149" s="102"/>
      <c r="AU149" s="102"/>
      <c r="AV149" s="102"/>
      <c r="AW149" s="102"/>
    </row>
    <row r="150" spans="1:49" ht="15">
      <c r="A150" s="295" t="s">
        <v>413</v>
      </c>
      <c r="B150" s="295"/>
      <c r="C150" s="295"/>
      <c r="D150" s="295"/>
      <c r="E150" s="295"/>
      <c r="F150" s="295"/>
      <c r="G150" s="295"/>
      <c r="H150" s="295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98"/>
      <c r="AK150" s="98"/>
      <c r="AL150" s="98"/>
      <c r="AM150" s="169"/>
      <c r="AN150" s="169"/>
      <c r="AO150" s="169"/>
      <c r="AP150" s="173"/>
      <c r="AQ150" s="173"/>
      <c r="AR150" s="173"/>
      <c r="AS150" s="173"/>
      <c r="AT150" s="102"/>
      <c r="AU150" s="102"/>
      <c r="AV150" s="102"/>
      <c r="AW150" s="102"/>
    </row>
    <row r="151" spans="1:49" ht="15">
      <c r="G151" s="182"/>
    </row>
    <row r="152" spans="1:49">
      <c r="B152" s="181">
        <v>1</v>
      </c>
      <c r="F152" s="180">
        <f>F8+F11+F14+F17+F20+F23+F26+F29+F32+F35+F38+F48+F51+F96+F99+F127+F137</f>
        <v>1308311.53648</v>
      </c>
      <c r="G152" s="183">
        <f>G8+G11+G14+G17+G20+G23+G26+G29+G32+G35+G38+G48+G51+G96+G99+G127+G137</f>
        <v>249851.88011999999</v>
      </c>
    </row>
    <row r="153" spans="1:49">
      <c r="B153" s="181">
        <v>2</v>
      </c>
      <c r="F153" s="180">
        <f>F56+F59+F62+F65+F68</f>
        <v>550</v>
      </c>
      <c r="G153" s="183">
        <f>G56+G59+G62+G65+G68</f>
        <v>249.49</v>
      </c>
    </row>
    <row r="154" spans="1:49">
      <c r="B154" s="181">
        <v>3</v>
      </c>
      <c r="F154" s="180">
        <f>F73+F76+F79+F82+F85+F88+F91+F132</f>
        <v>68996.390000000014</v>
      </c>
      <c r="G154" s="183">
        <f>G73+G76+G79+G82+G85+G88+G91+G132</f>
        <v>7135.9511999999995</v>
      </c>
    </row>
    <row r="155" spans="1:49">
      <c r="B155" s="181">
        <v>4</v>
      </c>
      <c r="F155" s="180">
        <f>F104+F107+F110+F113+F116+F119+F122</f>
        <v>19246.600000000002</v>
      </c>
      <c r="G155" s="183">
        <f>G104+G107+G110+G113+G116+G119+G122</f>
        <v>400</v>
      </c>
    </row>
    <row r="156" spans="1:49">
      <c r="F156" s="180">
        <f>SUM(F152:F155)</f>
        <v>1397104.52648</v>
      </c>
      <c r="G156" s="183">
        <f>SUM(G152:G155)</f>
        <v>257637.32131999999</v>
      </c>
    </row>
    <row r="157" spans="1:49" ht="15">
      <c r="G157" s="182"/>
    </row>
  </sheetData>
  <mergeCells count="245">
    <mergeCell ref="A149:B149"/>
    <mergeCell ref="A150:H150"/>
    <mergeCell ref="B135:AT135"/>
    <mergeCell ref="B136:AT136"/>
    <mergeCell ref="A137:A139"/>
    <mergeCell ref="B137:B139"/>
    <mergeCell ref="C137:C139"/>
    <mergeCell ref="D137:D139"/>
    <mergeCell ref="AS132:AS134"/>
    <mergeCell ref="AT132:AT134"/>
    <mergeCell ref="AS137:AS139"/>
    <mergeCell ref="AT137:AT139"/>
    <mergeCell ref="A132:A134"/>
    <mergeCell ref="B132:B134"/>
    <mergeCell ref="C132:C134"/>
    <mergeCell ref="D132:D134"/>
    <mergeCell ref="A140:B142"/>
    <mergeCell ref="D140:D142"/>
    <mergeCell ref="A127:A129"/>
    <mergeCell ref="B127:B129"/>
    <mergeCell ref="C127:C129"/>
    <mergeCell ref="D127:D129"/>
    <mergeCell ref="B130:AT130"/>
    <mergeCell ref="B131:AT131"/>
    <mergeCell ref="A122:A124"/>
    <mergeCell ref="B122:B124"/>
    <mergeCell ref="C122:C124"/>
    <mergeCell ref="D122:D124"/>
    <mergeCell ref="B125:AT125"/>
    <mergeCell ref="B126:AT126"/>
    <mergeCell ref="AT127:AT129"/>
    <mergeCell ref="AS127:AS129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9:A101"/>
    <mergeCell ref="B99:B101"/>
    <mergeCell ref="C99:C101"/>
    <mergeCell ref="D99:D101"/>
    <mergeCell ref="B102:AT102"/>
    <mergeCell ref="B103:AT103"/>
    <mergeCell ref="B94:AT94"/>
    <mergeCell ref="B95:AT95"/>
    <mergeCell ref="A96:A98"/>
    <mergeCell ref="B96:B98"/>
    <mergeCell ref="C96:C98"/>
    <mergeCell ref="D96:D98"/>
    <mergeCell ref="A88:A90"/>
    <mergeCell ref="B88:B90"/>
    <mergeCell ref="C88:C90"/>
    <mergeCell ref="D88:D90"/>
    <mergeCell ref="A91:A93"/>
    <mergeCell ref="B91:B93"/>
    <mergeCell ref="C91:C93"/>
    <mergeCell ref="D91:D93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B71:AT71"/>
    <mergeCell ref="B72:AT72"/>
    <mergeCell ref="A73:A75"/>
    <mergeCell ref="B73:B75"/>
    <mergeCell ref="C73:C75"/>
    <mergeCell ref="D73:D75"/>
    <mergeCell ref="A65:A67"/>
    <mergeCell ref="B65:B67"/>
    <mergeCell ref="C65:C67"/>
    <mergeCell ref="D65:D67"/>
    <mergeCell ref="A68:A70"/>
    <mergeCell ref="B68:B70"/>
    <mergeCell ref="C68:C70"/>
    <mergeCell ref="D68:D70"/>
    <mergeCell ref="A59:A61"/>
    <mergeCell ref="B59:B61"/>
    <mergeCell ref="C59:C61"/>
    <mergeCell ref="D59:D61"/>
    <mergeCell ref="A62:A64"/>
    <mergeCell ref="B62:B64"/>
    <mergeCell ref="C62:C64"/>
    <mergeCell ref="D62:D64"/>
    <mergeCell ref="B54:AT54"/>
    <mergeCell ref="B55:AT55"/>
    <mergeCell ref="A56:A58"/>
    <mergeCell ref="B56:B58"/>
    <mergeCell ref="C56:C58"/>
    <mergeCell ref="D56:D58"/>
    <mergeCell ref="B47:AT47"/>
    <mergeCell ref="A48:A50"/>
    <mergeCell ref="B48:B50"/>
    <mergeCell ref="C48:C50"/>
    <mergeCell ref="D48:D50"/>
    <mergeCell ref="A51:A53"/>
    <mergeCell ref="B51:B53"/>
    <mergeCell ref="C51:C53"/>
    <mergeCell ref="D51:D53"/>
    <mergeCell ref="AO43:AO45"/>
    <mergeCell ref="AP43:AP45"/>
    <mergeCell ref="AT43:AT45"/>
    <mergeCell ref="B46:AT46"/>
    <mergeCell ref="AG43:AG45"/>
    <mergeCell ref="AH43:AH45"/>
    <mergeCell ref="AI43:AI45"/>
    <mergeCell ref="AJ43:AJ45"/>
    <mergeCell ref="AK43:AK45"/>
    <mergeCell ref="AL43:AL45"/>
    <mergeCell ref="AA43:AA45"/>
    <mergeCell ref="AB43:AB45"/>
    <mergeCell ref="AC43:AC45"/>
    <mergeCell ref="AD43:AD45"/>
    <mergeCell ref="AE43:AE45"/>
    <mergeCell ref="AF43:AF45"/>
    <mergeCell ref="U43:U45"/>
    <mergeCell ref="V43:V45"/>
    <mergeCell ref="W43:W45"/>
    <mergeCell ref="X43:X45"/>
    <mergeCell ref="Y43:Y45"/>
    <mergeCell ref="Z43:Z45"/>
    <mergeCell ref="B41:AT41"/>
    <mergeCell ref="B42:AT42"/>
    <mergeCell ref="A43:A45"/>
    <mergeCell ref="B43:B45"/>
    <mergeCell ref="C43:C45"/>
    <mergeCell ref="D43:D45"/>
    <mergeCell ref="E43:E45"/>
    <mergeCell ref="F43:F45"/>
    <mergeCell ref="G43:G45"/>
    <mergeCell ref="H43:H45"/>
    <mergeCell ref="O43:O45"/>
    <mergeCell ref="P43:P45"/>
    <mergeCell ref="Q43:Q45"/>
    <mergeCell ref="R43:R45"/>
    <mergeCell ref="S43:S45"/>
    <mergeCell ref="T43:T45"/>
    <mergeCell ref="I43:I45"/>
    <mergeCell ref="J43:J45"/>
    <mergeCell ref="K43:K45"/>
    <mergeCell ref="L43:L45"/>
    <mergeCell ref="M43:M45"/>
    <mergeCell ref="N43:N45"/>
    <mergeCell ref="AM43:AM45"/>
    <mergeCell ref="AN43:AN45"/>
    <mergeCell ref="A35:A37"/>
    <mergeCell ref="B35:B37"/>
    <mergeCell ref="C35:C37"/>
    <mergeCell ref="D35:D37"/>
    <mergeCell ref="A38:A40"/>
    <mergeCell ref="B38:B40"/>
    <mergeCell ref="C38:C40"/>
    <mergeCell ref="D38:D40"/>
    <mergeCell ref="A29:A31"/>
    <mergeCell ref="B29:B31"/>
    <mergeCell ref="C29:C31"/>
    <mergeCell ref="D29:D31"/>
    <mergeCell ref="A32:A34"/>
    <mergeCell ref="B32:B34"/>
    <mergeCell ref="C32:C34"/>
    <mergeCell ref="D32:D34"/>
    <mergeCell ref="A23:A25"/>
    <mergeCell ref="B23:B25"/>
    <mergeCell ref="C23:C25"/>
    <mergeCell ref="D23:D25"/>
    <mergeCell ref="A26:A28"/>
    <mergeCell ref="B26:B28"/>
    <mergeCell ref="C26:C28"/>
    <mergeCell ref="D26:D28"/>
    <mergeCell ref="A17:A19"/>
    <mergeCell ref="B17:B19"/>
    <mergeCell ref="C17:C19"/>
    <mergeCell ref="D17:D19"/>
    <mergeCell ref="A20:A22"/>
    <mergeCell ref="B20:B22"/>
    <mergeCell ref="C20:C22"/>
    <mergeCell ref="D20:D22"/>
    <mergeCell ref="A11:A13"/>
    <mergeCell ref="B11:B13"/>
    <mergeCell ref="C11:C13"/>
    <mergeCell ref="D11:D13"/>
    <mergeCell ref="A14:A16"/>
    <mergeCell ref="B14:B16"/>
    <mergeCell ref="C14:C16"/>
    <mergeCell ref="D14:D16"/>
    <mergeCell ref="B5:AT5"/>
    <mergeCell ref="B6:AT6"/>
    <mergeCell ref="B7:AT7"/>
    <mergeCell ref="A8:A10"/>
    <mergeCell ref="B8:B10"/>
    <mergeCell ref="C8:C10"/>
    <mergeCell ref="D8:D10"/>
    <mergeCell ref="AT8:AT10"/>
    <mergeCell ref="AG3:AI3"/>
    <mergeCell ref="AJ3:AL3"/>
    <mergeCell ref="AM3:AO3"/>
    <mergeCell ref="AP3:AR3"/>
    <mergeCell ref="AS3:AS4"/>
    <mergeCell ref="AT3:AT4"/>
    <mergeCell ref="O3:Q3"/>
    <mergeCell ref="R3:T3"/>
    <mergeCell ref="U3:W3"/>
    <mergeCell ref="X3:Z3"/>
    <mergeCell ref="AA3:AC3"/>
    <mergeCell ref="AD3:AF3"/>
    <mergeCell ref="A1:Z1"/>
    <mergeCell ref="A2:Z2"/>
    <mergeCell ref="A3:A4"/>
    <mergeCell ref="B3:B4"/>
    <mergeCell ref="C3:C4"/>
    <mergeCell ref="D3:D4"/>
    <mergeCell ref="E3:E4"/>
    <mergeCell ref="F3:H3"/>
    <mergeCell ref="I3:K3"/>
    <mergeCell ref="L3:N3"/>
  </mergeCells>
  <conditionalFormatting sqref="F140:G143 I143:AV143 F135:G138 I135:J138 K135:K136 L135:M138 O140:AT142 N135:N136 I140:J142 L140:M142 O135:P138 R135:AT138 Q135:Q136">
    <cfRule type="cellIs" dxfId="1" priority="67" stopIfTrue="1" operator="notEqual">
      <formula>#REF!</formula>
    </cfRule>
  </conditionalFormatting>
  <conditionalFormatting sqref="AS137:AS138">
    <cfRule type="cellIs" dxfId="0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2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1 квартал</vt:lpstr>
      <vt:lpstr>'Выполнение работ'!Заголовки_для_печати</vt:lpstr>
      <vt:lpstr>'1 квартал'!Область_печати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2018-04-09T10:51:19Z</cp:lastPrinted>
  <dcterms:created xsi:type="dcterms:W3CDTF">2011-05-17T05:04:33Z</dcterms:created>
  <dcterms:modified xsi:type="dcterms:W3CDTF">2018-04-11T05:55:29Z</dcterms:modified>
</cp:coreProperties>
</file>