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 пояснительная" sheetId="4" r:id="rId1"/>
  </sheets>
  <calcPr calcId="125725"/>
</workbook>
</file>

<file path=xl/calcChain.xml><?xml version="1.0" encoding="utf-8"?>
<calcChain xmlns="http://schemas.openxmlformats.org/spreadsheetml/2006/main">
  <c r="F251" i="4"/>
  <c r="D246" l="1"/>
  <c r="E256"/>
  <c r="F256" s="1"/>
  <c r="D256"/>
  <c r="C256"/>
  <c r="C254"/>
  <c r="F255"/>
  <c r="F252"/>
  <c r="F250"/>
  <c r="E246"/>
  <c r="C246"/>
  <c r="F247"/>
  <c r="E239"/>
  <c r="D239"/>
  <c r="C239"/>
  <c r="G237"/>
  <c r="G236"/>
  <c r="E234"/>
  <c r="E224" s="1"/>
  <c r="D234"/>
  <c r="D224" s="1"/>
  <c r="C234"/>
  <c r="C224" s="1"/>
  <c r="D141"/>
  <c r="F173"/>
  <c r="F172"/>
  <c r="F178"/>
  <c r="F179"/>
  <c r="F170"/>
  <c r="F169"/>
  <c r="E160"/>
  <c r="C160"/>
  <c r="D160"/>
  <c r="C161"/>
  <c r="G224" l="1"/>
  <c r="F224"/>
  <c r="D315" l="1"/>
  <c r="E315"/>
  <c r="G317"/>
  <c r="F321"/>
  <c r="C218" l="1"/>
  <c r="F217"/>
  <c r="E216"/>
  <c r="D216"/>
  <c r="C216"/>
  <c r="C281"/>
  <c r="G281" s="1"/>
  <c r="F281"/>
  <c r="E279"/>
  <c r="D279"/>
  <c r="C279"/>
  <c r="C278" l="1"/>
  <c r="F278"/>
  <c r="E277"/>
  <c r="D277"/>
  <c r="D270"/>
  <c r="E270"/>
  <c r="C270"/>
  <c r="G272"/>
  <c r="F272"/>
  <c r="D263"/>
  <c r="E263"/>
  <c r="C263"/>
  <c r="G265"/>
  <c r="F268"/>
  <c r="C207"/>
  <c r="E210"/>
  <c r="D210"/>
  <c r="C210"/>
  <c r="F211"/>
  <c r="F192"/>
  <c r="F191" s="1"/>
  <c r="F195" s="1"/>
  <c r="F193"/>
  <c r="F265" l="1"/>
  <c r="F163" l="1"/>
  <c r="F164"/>
  <c r="E141"/>
  <c r="C141"/>
  <c r="F127" l="1"/>
  <c r="F126" s="1"/>
  <c r="E126"/>
  <c r="D126"/>
  <c r="F121"/>
  <c r="F111"/>
  <c r="E110"/>
  <c r="D110"/>
  <c r="C111"/>
  <c r="C110"/>
  <c r="F112"/>
  <c r="C95"/>
  <c r="F80" l="1"/>
  <c r="C72"/>
  <c r="F70"/>
  <c r="F63"/>
  <c r="F62"/>
  <c r="D75"/>
  <c r="E75"/>
  <c r="F51"/>
  <c r="F50" s="1"/>
  <c r="E51"/>
  <c r="E50" s="1"/>
  <c r="D51"/>
  <c r="D50" s="1"/>
  <c r="C51"/>
  <c r="C50" s="1"/>
  <c r="G52" l="1"/>
  <c r="G51"/>
  <c r="D36"/>
  <c r="E36"/>
  <c r="C36"/>
  <c r="G39"/>
  <c r="F39"/>
  <c r="D34"/>
  <c r="E34"/>
  <c r="C34"/>
  <c r="F37"/>
  <c r="F31"/>
  <c r="G34" l="1"/>
  <c r="G50"/>
  <c r="G321" l="1"/>
  <c r="F280" l="1"/>
  <c r="E213"/>
  <c r="D213"/>
  <c r="D212" s="1"/>
  <c r="C213"/>
  <c r="E204"/>
  <c r="E203" s="1"/>
  <c r="G207"/>
  <c r="D158"/>
  <c r="E200"/>
  <c r="D200"/>
  <c r="C200"/>
  <c r="E253"/>
  <c r="E249" s="1"/>
  <c r="D253"/>
  <c r="G255"/>
  <c r="G254"/>
  <c r="F254"/>
  <c r="G252"/>
  <c r="G251"/>
  <c r="G250"/>
  <c r="C253"/>
  <c r="G248"/>
  <c r="F248"/>
  <c r="G247"/>
  <c r="E243"/>
  <c r="E240" s="1"/>
  <c r="G245"/>
  <c r="F245"/>
  <c r="G244"/>
  <c r="F244"/>
  <c r="G242"/>
  <c r="F242"/>
  <c r="G241"/>
  <c r="F241"/>
  <c r="C243"/>
  <c r="D243"/>
  <c r="D240" s="1"/>
  <c r="E238"/>
  <c r="D238"/>
  <c r="C238"/>
  <c r="G239"/>
  <c r="F239"/>
  <c r="G235"/>
  <c r="F235"/>
  <c r="G234"/>
  <c r="G233"/>
  <c r="F233"/>
  <c r="G232"/>
  <c r="F232"/>
  <c r="G227"/>
  <c r="F227"/>
  <c r="E220"/>
  <c r="E219" s="1"/>
  <c r="D220"/>
  <c r="D219" s="1"/>
  <c r="C220"/>
  <c r="C219" s="1"/>
  <c r="G222"/>
  <c r="F222"/>
  <c r="G218"/>
  <c r="F218"/>
  <c r="G217"/>
  <c r="G215"/>
  <c r="F215"/>
  <c r="G214"/>
  <c r="F214"/>
  <c r="C316"/>
  <c r="C315" s="1"/>
  <c r="G320"/>
  <c r="G319"/>
  <c r="G318"/>
  <c r="F316"/>
  <c r="E307"/>
  <c r="D307"/>
  <c r="D306" s="1"/>
  <c r="C307"/>
  <c r="C306" s="1"/>
  <c r="G311"/>
  <c r="F311"/>
  <c r="G310"/>
  <c r="F310"/>
  <c r="G309"/>
  <c r="F309"/>
  <c r="G308"/>
  <c r="F308"/>
  <c r="E313"/>
  <c r="E312" s="1"/>
  <c r="D313"/>
  <c r="D312" s="1"/>
  <c r="C313"/>
  <c r="C312" s="1"/>
  <c r="G314"/>
  <c r="F314"/>
  <c r="E302"/>
  <c r="E301" s="1"/>
  <c r="D302"/>
  <c r="D301" s="1"/>
  <c r="C302"/>
  <c r="C301" s="1"/>
  <c r="G305"/>
  <c r="E285"/>
  <c r="D285"/>
  <c r="C285"/>
  <c r="G286"/>
  <c r="F286"/>
  <c r="E283"/>
  <c r="E282" s="1"/>
  <c r="D283"/>
  <c r="D282" s="1"/>
  <c r="C283"/>
  <c r="C282" s="1"/>
  <c r="G284"/>
  <c r="E276"/>
  <c r="E274" s="1"/>
  <c r="D276"/>
  <c r="D274" s="1"/>
  <c r="G279"/>
  <c r="F279"/>
  <c r="G278"/>
  <c r="F277"/>
  <c r="C277"/>
  <c r="G275"/>
  <c r="F275"/>
  <c r="G273"/>
  <c r="F273"/>
  <c r="G271"/>
  <c r="F271"/>
  <c r="G269"/>
  <c r="E293"/>
  <c r="E292" s="1"/>
  <c r="D293"/>
  <c r="D292" s="1"/>
  <c r="C293"/>
  <c r="C292" s="1"/>
  <c r="G296"/>
  <c r="F296"/>
  <c r="G294"/>
  <c r="F294"/>
  <c r="G333"/>
  <c r="F333"/>
  <c r="E332"/>
  <c r="D332"/>
  <c r="C332"/>
  <c r="E329"/>
  <c r="D329"/>
  <c r="D328" s="1"/>
  <c r="D327" s="1"/>
  <c r="C330"/>
  <c r="E339"/>
  <c r="D339"/>
  <c r="C339"/>
  <c r="G340"/>
  <c r="F340"/>
  <c r="E347"/>
  <c r="D347"/>
  <c r="G348"/>
  <c r="C347"/>
  <c r="C346" s="1"/>
  <c r="E192"/>
  <c r="E191" s="1"/>
  <c r="E195" s="1"/>
  <c r="D192"/>
  <c r="D191" s="1"/>
  <c r="C192"/>
  <c r="C191" s="1"/>
  <c r="C195" s="1"/>
  <c r="E14" s="1"/>
  <c r="G194"/>
  <c r="G193"/>
  <c r="E150"/>
  <c r="D150"/>
  <c r="E158"/>
  <c r="C150"/>
  <c r="E171"/>
  <c r="D171"/>
  <c r="C171"/>
  <c r="E177"/>
  <c r="D177"/>
  <c r="C177"/>
  <c r="E182"/>
  <c r="D182"/>
  <c r="D181" s="1"/>
  <c r="C182"/>
  <c r="C181" s="1"/>
  <c r="G185"/>
  <c r="G184"/>
  <c r="G183"/>
  <c r="F183"/>
  <c r="G180"/>
  <c r="F176"/>
  <c r="G176"/>
  <c r="G175"/>
  <c r="G174"/>
  <c r="G173"/>
  <c r="D165"/>
  <c r="C165"/>
  <c r="G170"/>
  <c r="G169"/>
  <c r="G168"/>
  <c r="G161"/>
  <c r="F161"/>
  <c r="E162"/>
  <c r="D162"/>
  <c r="C162"/>
  <c r="G164"/>
  <c r="G163"/>
  <c r="E154"/>
  <c r="E153" s="1"/>
  <c r="D154"/>
  <c r="D153" s="1"/>
  <c r="G152"/>
  <c r="C156"/>
  <c r="C154" s="1"/>
  <c r="C153" s="1"/>
  <c r="E149" l="1"/>
  <c r="G238"/>
  <c r="C204"/>
  <c r="C203" s="1"/>
  <c r="D262"/>
  <c r="D287" s="1"/>
  <c r="F16" s="1"/>
  <c r="G216"/>
  <c r="F240"/>
  <c r="F207"/>
  <c r="C276"/>
  <c r="F216"/>
  <c r="G280"/>
  <c r="G282"/>
  <c r="D322"/>
  <c r="F18" s="1"/>
  <c r="E212"/>
  <c r="G213"/>
  <c r="F276"/>
  <c r="F270"/>
  <c r="F312"/>
  <c r="F313"/>
  <c r="G316"/>
  <c r="D204"/>
  <c r="D203" s="1"/>
  <c r="F213"/>
  <c r="E223"/>
  <c r="F253"/>
  <c r="C249"/>
  <c r="G249" s="1"/>
  <c r="G253"/>
  <c r="G256"/>
  <c r="F234"/>
  <c r="D249"/>
  <c r="D223" s="1"/>
  <c r="G243"/>
  <c r="C240"/>
  <c r="G240" s="1"/>
  <c r="F243"/>
  <c r="F246"/>
  <c r="G246"/>
  <c r="G285"/>
  <c r="C212"/>
  <c r="F238"/>
  <c r="G270"/>
  <c r="F315"/>
  <c r="G312"/>
  <c r="G313"/>
  <c r="C322"/>
  <c r="E18" s="1"/>
  <c r="F285"/>
  <c r="G315"/>
  <c r="F307"/>
  <c r="G307"/>
  <c r="E306"/>
  <c r="E322" s="1"/>
  <c r="H18" s="1"/>
  <c r="G277"/>
  <c r="G283"/>
  <c r="F293"/>
  <c r="G293"/>
  <c r="D334"/>
  <c r="C329"/>
  <c r="C328" s="1"/>
  <c r="C327" s="1"/>
  <c r="C334" s="1"/>
  <c r="F329"/>
  <c r="E328"/>
  <c r="E327" s="1"/>
  <c r="E334" s="1"/>
  <c r="F160"/>
  <c r="H14"/>
  <c r="G195"/>
  <c r="G347"/>
  <c r="G192"/>
  <c r="D195"/>
  <c r="F14" s="1"/>
  <c r="G191"/>
  <c r="D149"/>
  <c r="G182"/>
  <c r="G177"/>
  <c r="G160"/>
  <c r="F182"/>
  <c r="E181"/>
  <c r="D157"/>
  <c r="G162"/>
  <c r="E157"/>
  <c r="C158"/>
  <c r="C157" s="1"/>
  <c r="F154"/>
  <c r="G154"/>
  <c r="E102"/>
  <c r="E101" s="1"/>
  <c r="D102"/>
  <c r="D101" s="1"/>
  <c r="C102"/>
  <c r="C101" s="1"/>
  <c r="C112"/>
  <c r="G112" s="1"/>
  <c r="G139"/>
  <c r="F139"/>
  <c r="G138"/>
  <c r="F138"/>
  <c r="G137"/>
  <c r="F137"/>
  <c r="E135"/>
  <c r="C135"/>
  <c r="C134" s="1"/>
  <c r="G142"/>
  <c r="F142"/>
  <c r="G140"/>
  <c r="F140"/>
  <c r="G136"/>
  <c r="F136"/>
  <c r="G133"/>
  <c r="F133"/>
  <c r="G132"/>
  <c r="F132"/>
  <c r="E130"/>
  <c r="E129" s="1"/>
  <c r="D130"/>
  <c r="D129" s="1"/>
  <c r="D128" s="1"/>
  <c r="C130"/>
  <c r="G131"/>
  <c r="F131"/>
  <c r="C127"/>
  <c r="G127" s="1"/>
  <c r="E124"/>
  <c r="D124"/>
  <c r="C124"/>
  <c r="E118"/>
  <c r="D118"/>
  <c r="C118"/>
  <c r="G123"/>
  <c r="G122"/>
  <c r="G116"/>
  <c r="F116"/>
  <c r="E114"/>
  <c r="D114"/>
  <c r="D113" s="1"/>
  <c r="C115"/>
  <c r="C114" s="1"/>
  <c r="C113" s="1"/>
  <c r="G108"/>
  <c r="C107"/>
  <c r="E96"/>
  <c r="D96"/>
  <c r="C96"/>
  <c r="E98"/>
  <c r="D98"/>
  <c r="C98"/>
  <c r="G99"/>
  <c r="E93"/>
  <c r="D93"/>
  <c r="C94"/>
  <c r="G94" s="1"/>
  <c r="F94"/>
  <c r="E79"/>
  <c r="E77" s="1"/>
  <c r="D79"/>
  <c r="C79"/>
  <c r="C77" s="1"/>
  <c r="E83"/>
  <c r="E82" s="1"/>
  <c r="D83"/>
  <c r="D82" s="1"/>
  <c r="C83"/>
  <c r="C82" s="1"/>
  <c r="G86"/>
  <c r="F86"/>
  <c r="G85"/>
  <c r="F85"/>
  <c r="G84"/>
  <c r="G81"/>
  <c r="G80"/>
  <c r="G78"/>
  <c r="F78"/>
  <c r="D74"/>
  <c r="C75"/>
  <c r="C74" s="1"/>
  <c r="C73" s="1"/>
  <c r="G72"/>
  <c r="G70"/>
  <c r="E71"/>
  <c r="D71"/>
  <c r="C71"/>
  <c r="E69"/>
  <c r="D69"/>
  <c r="C69"/>
  <c r="E66"/>
  <c r="E61" s="1"/>
  <c r="D66"/>
  <c r="D61" s="1"/>
  <c r="C66"/>
  <c r="C61" s="1"/>
  <c r="G67"/>
  <c r="G65"/>
  <c r="G64"/>
  <c r="G63"/>
  <c r="G62"/>
  <c r="E47"/>
  <c r="D47"/>
  <c r="C47"/>
  <c r="G49"/>
  <c r="F49"/>
  <c r="G48"/>
  <c r="F48"/>
  <c r="G38"/>
  <c r="G37"/>
  <c r="E43"/>
  <c r="E42" s="1"/>
  <c r="D43"/>
  <c r="D42" s="1"/>
  <c r="C43"/>
  <c r="C42" s="1"/>
  <c r="G46"/>
  <c r="G45"/>
  <c r="G44"/>
  <c r="F44"/>
  <c r="G41"/>
  <c r="F41"/>
  <c r="E40"/>
  <c r="D40"/>
  <c r="C40"/>
  <c r="E29"/>
  <c r="D29"/>
  <c r="C29"/>
  <c r="C28" s="1"/>
  <c r="C26"/>
  <c r="C274" l="1"/>
  <c r="C262" s="1"/>
  <c r="C287" s="1"/>
  <c r="E16" s="1"/>
  <c r="G276"/>
  <c r="G130"/>
  <c r="E257"/>
  <c r="F223"/>
  <c r="D257"/>
  <c r="F249"/>
  <c r="C223"/>
  <c r="G223" s="1"/>
  <c r="G306"/>
  <c r="F306"/>
  <c r="G274"/>
  <c r="F274"/>
  <c r="E262"/>
  <c r="E287" s="1"/>
  <c r="H16" s="1"/>
  <c r="G329"/>
  <c r="D186"/>
  <c r="F13" s="1"/>
  <c r="F181"/>
  <c r="G181"/>
  <c r="E117"/>
  <c r="F130"/>
  <c r="G141"/>
  <c r="F141"/>
  <c r="F40"/>
  <c r="F47"/>
  <c r="C60"/>
  <c r="E60"/>
  <c r="C109"/>
  <c r="C106" s="1"/>
  <c r="C105" s="1"/>
  <c r="D117"/>
  <c r="E134"/>
  <c r="G134" s="1"/>
  <c r="D135"/>
  <c r="D134" s="1"/>
  <c r="G135"/>
  <c r="E128"/>
  <c r="F128" s="1"/>
  <c r="F129"/>
  <c r="G98"/>
  <c r="C126"/>
  <c r="C129"/>
  <c r="C128" s="1"/>
  <c r="G114"/>
  <c r="E113"/>
  <c r="F114"/>
  <c r="G107"/>
  <c r="F115"/>
  <c r="D60"/>
  <c r="G79"/>
  <c r="F98"/>
  <c r="G115"/>
  <c r="G75"/>
  <c r="G83"/>
  <c r="C93"/>
  <c r="C92" s="1"/>
  <c r="E92"/>
  <c r="F93"/>
  <c r="D92"/>
  <c r="G82"/>
  <c r="F82"/>
  <c r="C76"/>
  <c r="G69"/>
  <c r="G71"/>
  <c r="F75"/>
  <c r="G77"/>
  <c r="E76"/>
  <c r="E74"/>
  <c r="D73"/>
  <c r="F83"/>
  <c r="D77"/>
  <c r="D76" s="1"/>
  <c r="G47"/>
  <c r="C25"/>
  <c r="G40"/>
  <c r="G42"/>
  <c r="F42"/>
  <c r="G43"/>
  <c r="G36"/>
  <c r="D33"/>
  <c r="D32" s="1"/>
  <c r="F43"/>
  <c r="C33"/>
  <c r="C32" s="1"/>
  <c r="E33"/>
  <c r="E32" s="1"/>
  <c r="C53" l="1"/>
  <c r="E10" s="1"/>
  <c r="F117"/>
  <c r="C117"/>
  <c r="C143" s="1"/>
  <c r="E12" s="1"/>
  <c r="G126"/>
  <c r="C87"/>
  <c r="C257"/>
  <c r="G128"/>
  <c r="F134"/>
  <c r="F135"/>
  <c r="G129"/>
  <c r="F92"/>
  <c r="G92"/>
  <c r="D87"/>
  <c r="G93"/>
  <c r="G74"/>
  <c r="E73"/>
  <c r="F76"/>
  <c r="G76"/>
  <c r="F74"/>
  <c r="F77"/>
  <c r="G117" l="1"/>
  <c r="F73"/>
  <c r="G73"/>
  <c r="E87"/>
  <c r="G226" l="1"/>
  <c r="F226"/>
  <c r="G179"/>
  <c r="F102"/>
  <c r="G102"/>
  <c r="E165" l="1"/>
  <c r="E186" s="1"/>
  <c r="H13" s="1"/>
  <c r="G159"/>
  <c r="F159"/>
  <c r="G158"/>
  <c r="F158"/>
  <c r="F156"/>
  <c r="G155"/>
  <c r="F155"/>
  <c r="C149"/>
  <c r="C186" s="1"/>
  <c r="E13" s="1"/>
  <c r="G304"/>
  <c r="F304"/>
  <c r="E28"/>
  <c r="D28"/>
  <c r="E26"/>
  <c r="D26"/>
  <c r="G31"/>
  <c r="G125"/>
  <c r="F125"/>
  <c r="G124"/>
  <c r="F124"/>
  <c r="G121"/>
  <c r="F118"/>
  <c r="G118"/>
  <c r="D109"/>
  <c r="D106" s="1"/>
  <c r="D105" s="1"/>
  <c r="D143" s="1"/>
  <c r="F12" s="1"/>
  <c r="F100"/>
  <c r="F97"/>
  <c r="G211"/>
  <c r="G203"/>
  <c r="F203"/>
  <c r="G221"/>
  <c r="F221"/>
  <c r="G230"/>
  <c r="F230"/>
  <c r="G229"/>
  <c r="F229"/>
  <c r="G268"/>
  <c r="G263"/>
  <c r="F263"/>
  <c r="G266"/>
  <c r="F266"/>
  <c r="D25" l="1"/>
  <c r="D53" s="1"/>
  <c r="F10" s="1"/>
  <c r="E25"/>
  <c r="E53" s="1"/>
  <c r="F149"/>
  <c r="G149"/>
  <c r="F165"/>
  <c r="G165"/>
  <c r="E109"/>
  <c r="E106" s="1"/>
  <c r="G111"/>
  <c r="G30"/>
  <c r="F166"/>
  <c r="F171"/>
  <c r="G171"/>
  <c r="F28"/>
  <c r="F26"/>
  <c r="G26"/>
  <c r="G28"/>
  <c r="E15"/>
  <c r="F228"/>
  <c r="H10" l="1"/>
  <c r="I10" s="1"/>
  <c r="G53"/>
  <c r="F53"/>
  <c r="F106"/>
  <c r="E105"/>
  <c r="E143" s="1"/>
  <c r="H12" s="1"/>
  <c r="G106"/>
  <c r="H19"/>
  <c r="F19"/>
  <c r="E19"/>
  <c r="F332"/>
  <c r="G332"/>
  <c r="G66"/>
  <c r="G68"/>
  <c r="F68"/>
  <c r="G60"/>
  <c r="F60"/>
  <c r="F61"/>
  <c r="G27"/>
  <c r="F27"/>
  <c r="G29"/>
  <c r="F29"/>
  <c r="I18"/>
  <c r="J18"/>
  <c r="F105" l="1"/>
  <c r="G105"/>
  <c r="H11"/>
  <c r="J19"/>
  <c r="I19"/>
  <c r="F11"/>
  <c r="E11"/>
  <c r="F66"/>
  <c r="J11" l="1"/>
  <c r="I11"/>
  <c r="F34"/>
  <c r="G32"/>
  <c r="G33"/>
  <c r="F33"/>
  <c r="F15"/>
  <c r="F25"/>
  <c r="D349"/>
  <c r="F21" s="1"/>
  <c r="D341"/>
  <c r="F20" s="1"/>
  <c r="F339"/>
  <c r="F331"/>
  <c r="F328"/>
  <c r="F301"/>
  <c r="F295"/>
  <c r="F267"/>
  <c r="F264"/>
  <c r="F231"/>
  <c r="F220"/>
  <c r="F212"/>
  <c r="F206"/>
  <c r="F205"/>
  <c r="F204"/>
  <c r="F202"/>
  <c r="F153"/>
  <c r="F150"/>
  <c r="F120"/>
  <c r="F110"/>
  <c r="F103"/>
  <c r="F95"/>
  <c r="F151" l="1"/>
  <c r="F32"/>
  <c r="D297"/>
  <c r="F17" s="1"/>
  <c r="G228"/>
  <c r="C297"/>
  <c r="E17" s="1"/>
  <c r="G295"/>
  <c r="F101"/>
  <c r="F9" l="1"/>
  <c r="J10"/>
  <c r="F96"/>
  <c r="F225"/>
  <c r="G225"/>
  <c r="G178"/>
  <c r="G97"/>
  <c r="G212" l="1"/>
  <c r="F330"/>
  <c r="F303" l="1"/>
  <c r="G301"/>
  <c r="G303" l="1"/>
  <c r="F302" l="1"/>
  <c r="G302"/>
  <c r="F322" l="1"/>
  <c r="G322"/>
  <c r="G346" l="1"/>
  <c r="E349"/>
  <c r="C349"/>
  <c r="E21" s="1"/>
  <c r="E341"/>
  <c r="H20" s="1"/>
  <c r="C341"/>
  <c r="E20" s="1"/>
  <c r="G339"/>
  <c r="G331"/>
  <c r="G328"/>
  <c r="G267"/>
  <c r="G264"/>
  <c r="F262"/>
  <c r="F219"/>
  <c r="G231"/>
  <c r="G209"/>
  <c r="G205"/>
  <c r="G220"/>
  <c r="G206"/>
  <c r="G204"/>
  <c r="G166"/>
  <c r="G150"/>
  <c r="G156"/>
  <c r="G153"/>
  <c r="G120"/>
  <c r="F119"/>
  <c r="F113"/>
  <c r="G110"/>
  <c r="G103"/>
  <c r="G100"/>
  <c r="G96"/>
  <c r="G95"/>
  <c r="G35"/>
  <c r="G25"/>
  <c r="F157" l="1"/>
  <c r="I16"/>
  <c r="H15"/>
  <c r="I20"/>
  <c r="J20"/>
  <c r="H21"/>
  <c r="F341"/>
  <c r="G113"/>
  <c r="F210"/>
  <c r="G330"/>
  <c r="G349"/>
  <c r="G341"/>
  <c r="F327"/>
  <c r="F287"/>
  <c r="G262"/>
  <c r="F201"/>
  <c r="G208"/>
  <c r="G157"/>
  <c r="G202"/>
  <c r="G219"/>
  <c r="G172"/>
  <c r="G119"/>
  <c r="G61"/>
  <c r="J16" l="1"/>
  <c r="E9"/>
  <c r="I12"/>
  <c r="J13"/>
  <c r="I13"/>
  <c r="F104"/>
  <c r="G104"/>
  <c r="J15"/>
  <c r="I15"/>
  <c r="J21"/>
  <c r="G109"/>
  <c r="F109"/>
  <c r="G327"/>
  <c r="G287"/>
  <c r="G210"/>
  <c r="G201"/>
  <c r="G151"/>
  <c r="G101"/>
  <c r="J12" l="1"/>
  <c r="F200"/>
  <c r="F334"/>
  <c r="F143"/>
  <c r="F87"/>
  <c r="G186"/>
  <c r="G167"/>
  <c r="G334"/>
  <c r="G200"/>
  <c r="G143"/>
  <c r="G87"/>
  <c r="F257" l="1"/>
  <c r="F186"/>
  <c r="G257"/>
  <c r="F292" l="1"/>
  <c r="E297" l="1"/>
  <c r="G292"/>
  <c r="H17" l="1"/>
  <c r="H9" s="1"/>
  <c r="G297"/>
  <c r="F297"/>
  <c r="I9" l="1"/>
  <c r="J9"/>
  <c r="I17"/>
  <c r="J17"/>
  <c r="L9" l="1"/>
  <c r="K9"/>
</calcChain>
</file>

<file path=xl/sharedStrings.xml><?xml version="1.0" encoding="utf-8"?>
<sst xmlns="http://schemas.openxmlformats.org/spreadsheetml/2006/main" count="489" uniqueCount="351">
  <si>
    <t>Наименование раздела</t>
  </si>
  <si>
    <t>Всего:</t>
  </si>
  <si>
    <t>Наименование программы</t>
  </si>
  <si>
    <t>Наименование</t>
  </si>
  <si>
    <t>2013г</t>
  </si>
  <si>
    <t>2014г</t>
  </si>
  <si>
    <t>тыс.рублей</t>
  </si>
  <si>
    <t>Расходы – всего, тыс.рублей:</t>
  </si>
  <si>
    <t>Исполнение по расходам:</t>
  </si>
  <si>
    <t>% к плану отчетного периода</t>
  </si>
  <si>
    <t>% исполнения к годовым плановым назначениям</t>
  </si>
  <si>
    <t>% исполнения к плану отчетного периода</t>
  </si>
  <si>
    <t>% от годового плана</t>
  </si>
  <si>
    <t>Структура расходов бюджета городского округа город Урай:</t>
  </si>
  <si>
    <t xml:space="preserve">1. Муниципальная программа "Создание условий для эффективного и ответственного управления муниципальными финансами, повышения устойчивости местного бюджета городского округа г.Урай. Управление муниципальными финансами в городском округе г.Урай" на период до 2020 года </t>
  </si>
  <si>
    <t xml:space="preserve">        Расходы бюджета городского округа в 2016 году в полном объеме сформированы в «программном формате». В отчетном периоде 2016 года осуществлялась реализация 19 муниципальных программ.
</t>
  </si>
  <si>
    <t>Утверждено на 2016 год (уточненный план)</t>
  </si>
  <si>
    <t>Утверждено на отчетный период 2016 года</t>
  </si>
  <si>
    <t>1. Муниципальная программа "Создание условий для эффективного и ответственного управления муниципальными финансами, повышения устойчивости местного бюджета городского округа г.Урай. Управление муниципальными финансами в городском округе г.Урай" на период до 2020 года"</t>
  </si>
  <si>
    <t>Подпрограмма 1 "Организация бюджетного процесса в муниципальном образовании":</t>
  </si>
  <si>
    <t>Подпрограмма 2 "Обеспечение сбалансированности и устойчивости местного бюджета":</t>
  </si>
  <si>
    <t>Прочие мероприятия органов местного самоуправления, в том числе:</t>
  </si>
  <si>
    <t>резервный фонд администрации города Урай</t>
  </si>
  <si>
    <t xml:space="preserve"> изготовление информационных листов с целью повышения собираемости налогов</t>
  </si>
  <si>
    <t>2. Муниципальная программа "Совершенствование и развитие муниципального управления в городе Урай" на 2015-2017 год</t>
  </si>
  <si>
    <t>Подпрограмма 1 "Создание условий для совершенствования системы муниципального управления":</t>
  </si>
  <si>
    <t>выплаты почетным гражданам города Урай</t>
  </si>
  <si>
    <t>проведение муниципальных выборов</t>
  </si>
  <si>
    <t>Подпрограмма 3 "Развитие муниципальной службы и резерва управленческих кадров"</t>
  </si>
  <si>
    <t>Мероприятия  в рамках подпрограммы</t>
  </si>
  <si>
    <t>Подпрограмма 4 "Управление и распоряжение муниципальным имуществом муниципального образования город Урай"</t>
  </si>
  <si>
    <t>Мероприятия  в рамках подпрограммы, в том числе:</t>
  </si>
  <si>
    <t>организация обеспечения формирования состава и структуры муниципального имущества (содержание имущества казны за исключением объектов муниципального жилого фонда)</t>
  </si>
  <si>
    <t>организация обеспечения сохранности муниципального имущества (страхование муниципального имущества)</t>
  </si>
  <si>
    <t xml:space="preserve"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</si>
  <si>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кадастровые работы</t>
  </si>
  <si>
    <t>3. Муниципальная программа "Профилактика правонарушений на территории города Урай" на 2015-2017 год</t>
  </si>
  <si>
    <t xml:space="preserve">Субвенции на осуществление полномочий по созданию и обеспечению деятельности административных комиссий </t>
  </si>
  <si>
    <t xml:space="preserve">Субвенции на осуществление полномочий по образованию и организации деятельности комиссий по делам несовершеннолетних и защите их прав </t>
  </si>
  <si>
    <t>1. Муниципальная программа "Профилактика правонарушений на территории города Урай" на 2015-2017 годы</t>
  </si>
  <si>
    <t>Уточненный план на 2016 год</t>
  </si>
  <si>
    <t>Подпрограмма 1 "Профилактика правонарушений":</t>
  </si>
  <si>
    <t xml:space="preserve">Субсидии для создания условий для деятельности народных дружин </t>
  </si>
  <si>
    <t xml:space="preserve"> Софинансирование (30%) из средств местного бюджета субсидии для создания условий для деятельности народных дружин </t>
  </si>
  <si>
    <t xml:space="preserve">Софинансирование (20%) из средств местного бюджета cсубсидии на 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</t>
  </si>
  <si>
    <t xml:space="preserve"> проведение  профилактических мероприятий  для несовершеннолетних и молодежи, с семьями, находящимися в социально опасном положении, организация дополнительных временных рабочих мест для несовершеннолетних подростков, находящихся в конфликте с законом</t>
  </si>
  <si>
    <t>аренда каналов системы видеонаблюдения</t>
  </si>
  <si>
    <t>2. Муниципальная программа "Совершенствование и развитие муниципального управления в городе Урай" на 2015-2017 годы</t>
  </si>
  <si>
    <t>Подпрограмма 2 "Профилактика незаконного оборота и потребления наркотических средств и психотропных веществ":</t>
  </si>
  <si>
    <t>Подпрограмма 3 "Профилактика терроризма и экстремизма":</t>
  </si>
  <si>
    <t>3. Муниципальная программа "Защита населения и территории городского округа города Урай от чрезвычайных ситуаций, совершенствование гражданской обороны" на 2013-2018 годы</t>
  </si>
  <si>
    <t>Подпрограмма 1 "Мероприятия в области защиты населения и территории от чрезвычайных ситуаций и гражданской обороны на территории города Урай":</t>
  </si>
  <si>
    <t>Расходы на обеспечение деятельности (оказание услуг) муниципальных учреждений (МКУ "Единая дежурно-диспетчерская служба")</t>
  </si>
  <si>
    <t>создание муниципальной системы оповещения</t>
  </si>
  <si>
    <t>Подпрограмма 2 "Мероприятия в сфере укрепления пожарной безопасности в городе Урай":</t>
  </si>
  <si>
    <t>устройство и содержание минерализованных полос</t>
  </si>
  <si>
    <t>обслуживание систем пожарной автоматики в зданиях и помещениях администрации города</t>
  </si>
  <si>
    <t>проведение мероприятий, направленных на повышение знаний и навыков в области пожарной безопасности у населения города, мероприятия по ведению агитационной пропаганды на противопожарную тематику</t>
  </si>
  <si>
    <t>1. Муниципальная программа "Развитие малого и среднего предпринимательства, потребительского рынка и сельскохозяйственных товаропроизводителей города Урай" на 2016-2020 годы"</t>
  </si>
  <si>
    <t>Подпрограмма 1 "Развитие малого и среднего предпринимательства":</t>
  </si>
  <si>
    <t>Подпрограмма 2 "Развитие потребительского рынка":</t>
  </si>
  <si>
    <t>Подпрограмма 3 "Развитие сельскохозяйственных товаропроизводителей":</t>
  </si>
  <si>
    <t xml:space="preserve">Субвенции на поддержку животноводства, переработки и реализации продукции животноводства </t>
  </si>
  <si>
    <t>Субсидии на реализацию мероприятий по развитию малого и среднего предпринимательства</t>
  </si>
  <si>
    <t>2. Муниципальная программа "Информационное общество - Урай" на 2016-2018 годы</t>
  </si>
  <si>
    <t>Мероприятия муниципальной программы, в том числе:</t>
  </si>
  <si>
    <t>проведение информационно-рекламных мероприятий (услуги ТРК "Спектр")</t>
  </si>
  <si>
    <t>3. Муниципальная программа "Развитие транспортной системы города Урай" на 2016-2020 годы</t>
  </si>
  <si>
    <t>Подпрограмма 1 "Дорожное хозяйство":</t>
  </si>
  <si>
    <t xml:space="preserve">Субсидии на строительство (реконструкцию), капитальный ремонт и ремонт автомобильных дорог общего пользования местного значения (реконструкция автомобильной дороги по ул. Нефтяников, ремонт автомобильных дорог по ул. Югорская, Весенняя, Звонкая, Звездная, Школьная) </t>
  </si>
  <si>
    <t>Софинансирование (5%) субсидии на строительство (реконструкцию), капитальный ремонт и ремонт автомобильных дорог общего пользования местного значения</t>
  </si>
  <si>
    <t xml:space="preserve">Мероприятия  в рамках подпрограммы, в том числе: </t>
  </si>
  <si>
    <t>регистрация улиц</t>
  </si>
  <si>
    <t>реконструкция автомобильной дороги по ул. Нефтяников</t>
  </si>
  <si>
    <t>Подпрограмма 2 "Транспорт":</t>
  </si>
  <si>
    <t>организация транспортного обслуживания населения и юридических лиц при переправлении через грузовую и пассажирскую переправы, организованные через реку Конда в летний и зимний периоды</t>
  </si>
  <si>
    <t>организация транспортного обслуживания населения на городских и дачных (сезонных) автобусных маршрутах</t>
  </si>
  <si>
    <t>4. Муниципальная программа "Обеспечение градостроительной деятельности на территории города Урай" на  2015-2017 годы</t>
  </si>
  <si>
    <t>Подпрограмма 1 "Обеспечение территории города Урай документами градорегулирования":</t>
  </si>
  <si>
    <t>Подпрограмма 2 "Управление земельными ресурсами":</t>
  </si>
  <si>
    <t xml:space="preserve">Субсидии для реализации полномочий в области строительства, градостроительной деятельности и жилищных отношений </t>
  </si>
  <si>
    <t>Подпрограмма 3 "Развитие информационной системы обеспечения градостроительной деятельности":</t>
  </si>
  <si>
    <t>5. Муниципальная программа "Развитие жилищно-коммунального комплекса и повышение энергетической эффективности в городе Урай на 2016-2018 годы"</t>
  </si>
  <si>
    <t>Подпрограмма 1 "Создание условий для обеспечения содержания объектов жилищно-коммунального комплекса и объектов благоустройства города Урай":</t>
  </si>
  <si>
    <t xml:space="preserve"> содержание автомобильных дорог</t>
  </si>
  <si>
    <t xml:space="preserve">Иные межбюджетные трансферты на реализацию мероприятий по содействию трудоустройству граждан </t>
  </si>
  <si>
    <t xml:space="preserve">Софинансирование из средств местного бюджета мероприятий по содействию трудоустройству граждан, компенсационные выплаты в рамках данных мероприятий </t>
  </si>
  <si>
    <t xml:space="preserve">Субвенции на осуществление отдельных государственных полномочий в сфере трудовых отношений и государственного управления охраной труда </t>
  </si>
  <si>
    <t>6. Муниципальная программа "Совершенствование и развитие муниципального управления в городе Урай" на 2015-2017 годы</t>
  </si>
  <si>
    <t xml:space="preserve"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 </t>
  </si>
  <si>
    <t xml:space="preserve">Субсидии на предоставление государственных услуг в многофункциональных центрах предоставления государственных и муниципальных услуг </t>
  </si>
  <si>
    <t xml:space="preserve">Субсидии на развитие многофункциональных центров предоставления государственных и муниципальных услуг </t>
  </si>
  <si>
    <t xml:space="preserve">Софинансирование из средств местного бюджета субсидии на развитие многофункциональных центров предоставления государственных и муниципальных услуг </t>
  </si>
  <si>
    <t>Расходы на обеспечение деятельности (оказание услуг) муниципальных учреждений (МКУ "Управление материально-технического обеспечения г.Урай")</t>
  </si>
  <si>
    <t>оказание услуг по управлению многоквартирными домами в период простоя</t>
  </si>
  <si>
    <t>услуги по выполнению кадастровых работ и оценке рыночной стоимости муниципальных жилых помещений</t>
  </si>
  <si>
    <t>2. Муниципальная программа "Развитие жилищно-коммунального комплекса и повышение энергетической эффективности в городе Урай на 2016-2018 годы"</t>
  </si>
  <si>
    <t>Подпрограмма 1 "Создание условий для обеспечения содержания объектов жилищно-коммунального комплекса и объектов благоустройства города Урай"</t>
  </si>
  <si>
    <t>Подпрограмма 2 "Создание условий для развития энергосбережения и повышения энергетической эффективности в городе Урай":</t>
  </si>
  <si>
    <t xml:space="preserve">Субвенции на возмещение недополученных доходов организациям, осуществляющим реализацию сжиженного газа по социально ориентированным розничным ценам </t>
  </si>
  <si>
    <t>Капитальный ремонт и оплата взносов на капитальный ремонт за муниципальное имущество в многоквартирных жилых домах</t>
  </si>
  <si>
    <t>3. Муниципальная программа "Капитальный ремонт и реконструкция систем коммунальной инфраструктуры города Урай на 2014-2020 годы"</t>
  </si>
  <si>
    <t>Софинансирование (5%) из средств местного бюджета субсидии на  реконструкцию, расширение, модернизацию, строительство и капитальный ремонт объектов коммунального комплекса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</si>
  <si>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(99%)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</si>
  <si>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(1%)</t>
  </si>
  <si>
    <t>4. Муниципальная программа "Проектирование и строительство инженерных сетей коммунальной инфраструктуры в городе Урай" на 2014-2020 годы</t>
  </si>
  <si>
    <t>Софинансирование (20%) из средств местного бюджета субсидии на проектирование и строительство объектов инженерной инфраструктуры территорий, предназначенных для жилищного строительства</t>
  </si>
  <si>
    <t xml:space="preserve">Субвенции на реализацию полномочий, указанных в п.3.1, 3.2 ст.2 Закона ХМАО – Югры от 31 марта 2009 года № 36-оз "О наделении органов местного самоуправления муниципальных образований ХМАО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</t>
  </si>
  <si>
    <t>5. Муниципальная программа "Улучшение жилищных условий граждан, проживающих на территории муниципального образования город Урай" на 2016-2018 годы</t>
  </si>
  <si>
    <t>Софинансирование (11%) субсидии для реализации полномочий в области строительства, градостроительной деятельности и жилищных отношений</t>
  </si>
  <si>
    <t>Подпрограмма 4 "Благоустройство и озеленение города Урай":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</si>
  <si>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(благоустройство территории в районе ж/д №11-18 мкр.3) (99%)</t>
  </si>
  <si>
    <t xml:space="preserve">Софинансирование (1%)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</t>
  </si>
  <si>
    <t>Остатки средств местного бюджета по обязательствам 2015 года освоены в полном объеме  - 105,0 т.р. (оценка объектов оценки)</t>
  </si>
  <si>
    <t>6. Муниципальная программа "Обеспечение градостроительной деятельности на территории города Урай" на  2015-2017 годы</t>
  </si>
  <si>
    <t>1. Муниципальная программа "Охрана окружающей среды в границах города Урай" на 2012-2016 годы:</t>
  </si>
  <si>
    <t>лесоустроительные работы</t>
  </si>
  <si>
    <t>санитарная очистка и ликвидация несанкционированных свалок на территории города</t>
  </si>
  <si>
    <t>Обслуживание муниципального долга</t>
  </si>
  <si>
    <t>1. Муниципальная программа "Информационное общество - Урай" на 2016-2018 годы</t>
  </si>
  <si>
    <t>1. Муниципальная программа "Развитие физической культуры, спорта и туризма в городе Урай"на 2016-2018 годы</t>
  </si>
  <si>
    <t>Подпрограмма 1 "Развитие физической культуры и спорта в городе Урай":</t>
  </si>
  <si>
    <t>проведение городских физкультурных и спортивно-массовых мероприятий</t>
  </si>
  <si>
    <t>2. Муниципальная программа "Поддержка социально ориентированных некоммерческих  организаций в городе Урай" на 2015 - 2017 годы</t>
  </si>
  <si>
    <t xml:space="preserve">Субсидии на строительство и реконструкцию объектов здравоохранения </t>
  </si>
  <si>
    <t xml:space="preserve">Софинансирование из средств местного бюджета субсидии на строительство и реконструкцию объектов здравоохранения </t>
  </si>
  <si>
    <t>1. Муниципальная программа "Модернизация здравоохранения муниципального образования городской округ город Урай" на 2013-2017 годы</t>
  </si>
  <si>
    <t>Подпрограмма 1 "Укрепление материально-технической базы медицинских учреждений":</t>
  </si>
  <si>
    <t>1. Муниципальная программа "Культура города Урай" на 2012-2016 годы</t>
  </si>
  <si>
    <t>Подпрограмма 1 "Библиотечное дело":</t>
  </si>
  <si>
    <t xml:space="preserve">Субсидии на модернизацию общедоступных муниципальных библиотек </t>
  </si>
  <si>
    <t xml:space="preserve">Софинансирование (15%) из средств местного бюджета субсидии на модернизацию общедоступных муниципальных библиотек </t>
  </si>
  <si>
    <t xml:space="preserve">Иные межбюджетные трансферты на комплектование книжных фондов библиотек муниципальных образований </t>
  </si>
  <si>
    <t>Подпрограмма 2 "Музейное дело":</t>
  </si>
  <si>
    <t xml:space="preserve"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округа-Югры </t>
  </si>
  <si>
    <t>мероприятия, направленные на поддержку театрального, хореографического, вокального и хорового искусства, повышение квалификации специалистов, проведение международного фестиваля коренных малочисленных народов мира,общегородских мероприятий</t>
  </si>
  <si>
    <t xml:space="preserve">приобретение нежилого здания с земельным участком по адресу г.Урай мкр.2-39/1 в муниципальную собственность, выполнение ПИР, кадастровые работы </t>
  </si>
  <si>
    <t>капитальный ремонт ДК "Нефтяник"</t>
  </si>
  <si>
    <t>Подпрограмма 5 "Народное творчество и традиционная культура. Развитие культурно-досуговой деятельности":</t>
  </si>
  <si>
    <t>3. Муниципальная программа "Поддержка социально ориентированных некоммерческих  организаций в городе Урай" на 2015 - 2017 годы</t>
  </si>
  <si>
    <t>Иные межбюджетные трансферты ОБ на финансирование наказов депутатам Думы ХМАО-Югры</t>
  </si>
  <si>
    <t>1. Муниципальная программа "Поддержка социально ориентированных некоммерческих  организаций в городе Урай" на 2015 - 2017 годы</t>
  </si>
  <si>
    <t xml:space="preserve">Мероприятия муниципальной программы, в том числе: </t>
  </si>
  <si>
    <t xml:space="preserve">субсидии на осуществление деятельности по оказанию услуг организации общегородских массовых мероприятий для ветеранов (пенсионеров) войны, труда и лиц пожилого возраста </t>
  </si>
  <si>
    <t>субсидии на осуществление деятельности по оказанию услуг организации общегородских массовых мероприятий для лиц с ограниченными возможностями и инвалидов</t>
  </si>
  <si>
    <t>субсидии на осуществление деятельности социально ориентированным некоммерческим организациям в области профилактики социально опасных форм поведения граждан</t>
  </si>
  <si>
    <t>3. Муниципальная программа "Развитие образования города Урай" на 2014-2018 годы</t>
  </si>
  <si>
    <t xml:space="preserve">Подпрограмма 1 "Модернизация образования"      </t>
  </si>
  <si>
    <t xml:space="preserve">Субвенции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 </t>
  </si>
  <si>
    <t>Муниципальная пенсия</t>
  </si>
  <si>
    <t xml:space="preserve"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</t>
  </si>
  <si>
    <t xml:space="preserve">Субвенции на осуществление деятельности по опеке и попечительству </t>
  </si>
  <si>
    <t>4. Муниципальная программа "Улучшение жилищных условий граждан, проживающих на территории муниципального образования город Урай" на 2016-2018 годы</t>
  </si>
  <si>
    <t xml:space="preserve">Cубсидии на мероприятия подпрограммы "Обеспечение жильем молодых семей" федеральной целевой программы "Жилище" на 2015-2020 годы </t>
  </si>
  <si>
    <t>Софинансирование (5%) субсидии  на мероприятия подпрограммы "Обеспечение жильем молодых семей" федеральной целевой программы "Жилище" на 2015-2020 годы</t>
  </si>
  <si>
    <t xml:space="preserve"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</si>
  <si>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 xml:space="preserve"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 </t>
  </si>
  <si>
    <t>1. Муниципальная программа "Молодежь города Урай" на 2016-2020 годы</t>
  </si>
  <si>
    <t>Подпрограмма 4 "Художественное образование":</t>
  </si>
  <si>
    <t xml:space="preserve">Субсидии на обновление материально-технической базы муниципальных детских школ искусств (по видам искусств) в сфере культуры </t>
  </si>
  <si>
    <t xml:space="preserve">Софинансирование (15%) из средств местного бюджета субсидии на обновление материально-технической базы муниципальных детских школ искусств (по видам искусств) в сфере культуры </t>
  </si>
  <si>
    <t>2. Муниципальная программа "Культура города Урай" на 2012-2016 годы</t>
  </si>
  <si>
    <t>1. Муниципальная программа "Совершенствование и развитие муниципального управления в городе Урай" на 2015-2017 годы</t>
  </si>
  <si>
    <t>Иные межбюджетные трансферты в рамках наказов избирателей депутатам Думы Ханты-Мансийского автономного округа - Югры</t>
  </si>
  <si>
    <t>3. Муниципальная программа "Развитие физической культуры, спорта и туризма в городе Урай"на 2016-2018 годы</t>
  </si>
  <si>
    <t>Субсидии на повышение оплаты труда работников муниципальных учреждений дополнительного образования детей в целях реализации указов Президента РФ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</t>
  </si>
  <si>
    <t>4. Муниципальная программа "Поддержка социально ориентированных некоммерческих  организаций в городе Урай" на 2015 - 2017 годы</t>
  </si>
  <si>
    <t>субсидия для осуществления деятельности социально ориентированным некоммерческим организациям в области содействия духовного развития личности</t>
  </si>
  <si>
    <t>субсидия на осуществление деятельности социально ориентированным некоммерческим организациям в области молодежной политики</t>
  </si>
  <si>
    <t>5. Муниципальная программа "Развитие образования города Урай" на 2014-2018 годы</t>
  </si>
  <si>
    <t xml:space="preserve">Подпрограмма 1 "Модернизация образования":      </t>
  </si>
  <si>
    <t xml:space="preserve">Субвенции на реализацию дошкольными образовательными организациями основных общеобразовательных программ дошкольного образования </t>
  </si>
  <si>
    <t xml:space="preserve">Субвенции на реализацию основных общеобразовательных программ </t>
  </si>
  <si>
    <t>Субвенции на информационное обеспечение общеобразовательных организаций в части доступа к образовательным ресурсам сети "Интернет"</t>
  </si>
  <si>
    <t xml:space="preserve">Подпрограмма 2 "Развитие кадрового потенциала":   </t>
  </si>
  <si>
    <t>Подпрограмма 3 "Обеспечение условий для реализации образовательных программ": </t>
  </si>
  <si>
    <t xml:space="preserve">Субсидии на дополнительное финансовое обеспечение мероприятий по организации питания обучающихся </t>
  </si>
  <si>
    <t>предоставление питания детям льготных категорий, определенных на муниципальном уровне (детям, оказавшимся в трудной жизненной ситуации, кадеты, больные сахарным диабетом)</t>
  </si>
  <si>
    <t>обеспечение безопасности и комфортных условий образовательного процесса в образовательных организациях</t>
  </si>
  <si>
    <t>обеспечение комфортных условий для детей (транспортные услуги, услуги по предоставлению метеоинформации, информатизация системы образования)</t>
  </si>
  <si>
    <t xml:space="preserve">Иные межбюджетные трансферты  на организацию и проведение единого государственного экзамена </t>
  </si>
  <si>
    <t>Подпрограмма 4 "Организация каникулярного отдыха детей и подростков": </t>
  </si>
  <si>
    <t>Субсидии на оплату стоимости питания детей школьного возраста в оздоровительных лагерях с дневным пребыванием детей</t>
  </si>
  <si>
    <t xml:space="preserve">Софинансирование (20%) из средств местного бюджета субсидии на оплату стоимости питания детей школьного возраста в оздоровительных лагерях с дневным пребыванием детей </t>
  </si>
  <si>
    <t xml:space="preserve">Субвенции на организацию отдыха и оздоровления детей  </t>
  </si>
  <si>
    <t>организация выездного отдыха детей</t>
  </si>
  <si>
    <t>организация работы лагерей с дневным пребыванием детей</t>
  </si>
  <si>
    <t>приобретение оборудования, инвентаря, палаточный лагерь, развитие поискового отряда, аккарицидная обработка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</si>
  <si>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РФ на государственную регистрацию актов гражданского состояния</t>
  </si>
  <si>
    <t>Остатки средств окружного и местного бюджетов по обязательствам 2015 года освоены в полном объеме (выполнение работ по капитальному ремонту внутренних помещений и фасада МАУ "МФЦ")</t>
  </si>
  <si>
    <t>Остатки средств местного бюджета по обязательствам 2015 года, предусмотренные на выполнение кадастровых работ для ввода в эксплуатацию объектов (инженерные сети мкр.1А, по ул.Механиков, по ул.Ленина-Толстого-Островского), освоены в полном объеме - 217,3 т.р.</t>
  </si>
  <si>
    <t>обязательства 2015 года (объекты "Лыжная база в г.Урай", "Крытый каток")</t>
  </si>
  <si>
    <t>Целевой показатель средней заработной платы работникам муниципальных образовательных организаций дополнительного образования детей установлен "дорожной картой" на 2016 год в сумме 47 366,4 рублей. По итогам 1 квартала 2016 года, показатель достижения целевого значения по средней заработной плате данной категории составил 90,1%, или 42 669,9 рублей</t>
  </si>
  <si>
    <t xml:space="preserve">Субсидии на повышение оплаты труда работников муниципальных учреждений культуры в целях реализации указов Президента РФ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</t>
  </si>
  <si>
    <t>Средства предусмотрены на финансовое обеспечение непредвиденных расходов, необходимость в которых может возникнуть после принятия бюджета городского округа город Урай на соответствующий финансовый год (п.2.1 постановления Главы города Урай от 23.06.2008 №1974 (ред. от 08.12.2015) «Об утверждении Положения о резервном фонде администрации города Урай»). В отчетном периоде потребность в данных средствах отсутствовала</t>
  </si>
  <si>
    <t>Расходы исполнены в пределах плановых назначений отчетного периода с учетом поступления целевых средств из бюджета автономного округа</t>
  </si>
  <si>
    <t>Остатки средств местного бюджета предусмотрены на выполнение кадастровых работ, приобретение оборудования для биатлонного центра. Оплата работ производится по "факту" на основании актов выполненных работ</t>
  </si>
  <si>
    <t xml:space="preserve">Средства предусмотрены на обслуживание муниципального долга на случай привлечения кредитов на покрытие дефицита и кассового разрыва, возникающего при исполнении бюджета. В отчетном периоде кредитные средства не привлекались </t>
  </si>
  <si>
    <t>прочие мероприятия</t>
  </si>
  <si>
    <t xml:space="preserve">Неисполнение отчетного периода обусловлено отсутствием объема выполненных работ в рамках реализации мероприятий по содержанию дорожного хозяйства </t>
  </si>
  <si>
    <t>Неосвоение средств отчетного периода в связи с уточнением перечня объектов (объемов работ)</t>
  </si>
  <si>
    <t>Оплата произведена по фактически выставленным счетам за оплату услуг</t>
  </si>
  <si>
    <t xml:space="preserve">Оказание финансовой помощи на приобретение школьной мебели для МБОУДОД "Детская школа искусств №1" </t>
  </si>
  <si>
    <t xml:space="preserve">Произведена оплата в рамках оказанной финансовой помощи на организацию экскурсионных поездок детей на этнокультурное стойбище -100,0 тыс.руб.. Так же предусмотрены средства на приобретение игрового оборудования для МБДОУ "Детский сад №14" - 200,0 тыс.руб.,  приобретение игрового оборудования, игрушек для МБДОУ "Детский сад №6 "Дюймовочка" - 100,0 тыс.руб. </t>
  </si>
  <si>
    <t>Предоставление субсидии: "Объединенная Федерация дзюдо и самбо г.Урай","Федерация плавания города Урая", "Федерация легкой атлетики и северного многоборья г.Урая", "Федерация бокса города Урай".</t>
  </si>
  <si>
    <t>Причины неисполнения от плановых назначений отчетного периода</t>
  </si>
  <si>
    <t>Заработная плата за первую половину месяца начисляется и выплачивается в объеме фиксированной части и компенсационных выплат, стимулирующая часть (премия за месяц) начисляется и выплачивается по итогам работы за месяц. Данные изменения повлияли на неосвоение в полном объеме плановых назначений отчетного периода</t>
  </si>
  <si>
    <t>развитие и сопровождение функциональных возможностей информационных порталов и официального сайта г.Урай, техническое сопровождение СЭД «Кодекс-Документооборот), участие в семинарах, конференциях</t>
  </si>
  <si>
    <t>Оплата работ производится по "факту" на основании актов выполненных работ, в том числе в полном объеме освоены остатки средств местного бюджета по обязательствам 2015 года в сумме 327,8 т.р. (ремонт муниципальной квартиры по адресу мкр.Г-56-21)</t>
  </si>
  <si>
    <t>Заработная плата за первую половину месяца начисляется и выплачивается в объеме фиксированной части и компенсационных выплат, стимулирующая часть (премия за месяц) начисляется и выплачивается по итогам работы за месяц. Данные изменения повлияли на неосвоение в полном объеме плановых назначений отчетного периода. Остатки средств местного бюджета по обязательствам 2015 года освоены в полном объеме в сумме 114,1 т.р. (расходы на содержание, согласно заключенных договоров)</t>
  </si>
  <si>
    <t xml:space="preserve">Мероприятия муниципальной программы (реконструкция нежилого здания детской поликлиники под жилой дом со встроенными помещениями) </t>
  </si>
  <si>
    <t>Оплата работ производится по "факту" на основании актов выполненных работ. Работы по благоустройству территории в районе ж/д №11-18 мкр.3, территории в районе ж/д №25,26,26а мкр.2 выполнены, оплата производится по мере поступления средств из ПАО НК "ЛУКОЙЛ"</t>
  </si>
  <si>
    <t>Оплата ремонтных, благоустроительных работ дошкольных и общеобразовательных учреждений произведена по "факту" на основании актов выполненных работ</t>
  </si>
  <si>
    <t xml:space="preserve">Осовены средства местного бюджета по обязательствам 2015 года </t>
  </si>
  <si>
    <t>Мероприятия  в рамках подпрограммы (объект "Больница восстановительного лечения в г.Урай. II очередь. Первый пусковой комплекс")</t>
  </si>
  <si>
    <t>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 (администрирование)</t>
  </si>
  <si>
    <t>Расходы исполнены в пределах целевых средств, поступивших в отчетном периоде из бюджета автономного округа, из расчета посещаемости детьми дошкольных учреждений</t>
  </si>
  <si>
    <t xml:space="preserve">Оплата произведена за фактически выполненный объем оказанных учреждением услуг. В отчетном периоде 2016 года оказано услуг по приему, выдаче документов и оказанию консультаций - 11 008, в том числе федеральных - 5 533, региональных - 4 492, муниципальных - 294, Госпортал - 693, услуги полного цикла - 6 </t>
  </si>
  <si>
    <t>В рамках муниципальной программы предусмотрены остатки средств окружного и местного бюджетов для финансового обеспечения принятых обязательств 2015 года по данному объекту. В отчетном периоде 2016 года произведена оплата за выполненные строительно-монтажные работы (СМР), кадастровые работы, работы по установке пожарной сигнализации, комплектованию объекта оборудованием и хоз.инвентарем</t>
  </si>
  <si>
    <t xml:space="preserve">Мероприятия  в рамках подпрограммы </t>
  </si>
  <si>
    <t>Исполнено на 01.07.2016 года</t>
  </si>
  <si>
    <t>Утверждено на 01.07.2016 года</t>
  </si>
  <si>
    <r>
      <t xml:space="preserve">        </t>
    </r>
    <r>
      <rPr>
        <b/>
        <sz val="12"/>
        <rFont val="Times New Roman"/>
        <family val="1"/>
        <charset val="204"/>
      </rPr>
      <t>По итогам 1 полугодия 2016 года</t>
    </r>
    <r>
      <rPr>
        <sz val="12"/>
        <rFont val="Times New Roman"/>
        <family val="1"/>
        <charset val="204"/>
      </rPr>
      <t xml:space="preserve"> расходы бюджета городского округа город Урай при годовых плановых назначениях в сумме 3 169 337,9 тыс.рублей исполнены в сумме 1 478 120,9 тыс.рублей, или 46,6% от годового плана и 96,0% от плановых назначений отчетного периода.</t>
    </r>
  </si>
  <si>
    <t>В отчетном периоде заключен договор на оказание полиграфических услуг с оплатой в 2 этапа (апрель, октябрь 2016 года).</t>
  </si>
  <si>
    <t>Причины неисполнения (ниже 50% от годовых плановых назначений)</t>
  </si>
  <si>
    <r>
      <t xml:space="preserve">Раздел 1300  «Обслуживание государственного и муниципального долга». </t>
    </r>
    <r>
      <rPr>
        <sz val="12"/>
        <rFont val="Times New Roman"/>
        <family val="1"/>
        <charset val="204"/>
      </rPr>
      <t>При годовых плановых назначениях в сумме 4 877,8 тыс.рублей, кассовое исполнение в отчетном периоде отсутствует.</t>
    </r>
  </si>
  <si>
    <r>
      <rPr>
        <sz val="10"/>
        <rFont val="Times New Roman"/>
        <family val="1"/>
        <charset val="204"/>
      </rPr>
      <t xml:space="preserve">Расходы на обеспечение функций органов местного самоуправления </t>
    </r>
    <r>
      <rPr>
        <i/>
        <sz val="10"/>
        <rFont val="Times New Roman"/>
        <family val="1"/>
        <charset val="204"/>
      </rPr>
      <t>(обеспечение деятельности Комитета по финансам г.Урай)</t>
    </r>
  </si>
  <si>
    <r>
      <t xml:space="preserve">Раздел 0100 «Общегосударственные вопросы». </t>
    </r>
    <r>
      <rPr>
        <sz val="12"/>
        <rFont val="Times New Roman"/>
        <family val="1"/>
        <charset val="204"/>
      </rPr>
      <t>При годовых плановых назначениях в сумме 269 097,5 тыс.рублей, исполнение составило                     139 131,2 тыс.рублей, или 51,7% от годового плана и 95,0% от плановых назначений отчетного периода.</t>
    </r>
  </si>
  <si>
    <t xml:space="preserve">Средства предусмотрены на повышение профессионального уровня муниципальных служащих органов местного самоуправления.    В I полугодии 2016 года обучено 3  муниципальных служащих администрации города Урай. </t>
  </si>
  <si>
    <t xml:space="preserve">   В  I полугодии  2016 года заключен муниципальный контракт с  ОАО  «Страховое общество газовой промышленности». Срок оплаты по контракту июль 2016 года.</t>
  </si>
  <si>
    <t>В отчетном периоде из городского бюджета профинансированы работы и услуги по содержанию имущества казны (содержание  нежилых помещений, находящихся в муниципальной собственности, которые расположены в многоквартирных жилых  домах, оплата за обработку лицевых счетов ООО «ПиП», кадастровые работы, работы по оценке объектов).</t>
  </si>
  <si>
    <r>
      <rPr>
        <sz val="10"/>
        <rFont val="Times New Roman"/>
        <family val="1"/>
        <charset val="204"/>
      </rPr>
      <t xml:space="preserve">Расходы на обеспечение функций органов местного самоуправления </t>
    </r>
    <r>
      <rPr>
        <i/>
        <sz val="10"/>
        <rFont val="Times New Roman"/>
        <family val="1"/>
        <charset val="204"/>
      </rPr>
      <t>(обеспечение деятельности администрации города, Думы города,  Контрольно-счетной палаты г.Урай)</t>
    </r>
  </si>
  <si>
    <t>обеспечение исполнения обязательств согласно исполнительных документов</t>
  </si>
  <si>
    <t xml:space="preserve">Произведена оплата согласно исполнительного листа ФС №010793424 от 25.01.16г.  Дело А75-9204/2015 от 04.12.15. </t>
  </si>
  <si>
    <t>4. Муниципальная программа "Развитие малого и среднего предпринимательства, потребительского рынка и сельскохозяйственных товаропроизводителей города Урай" на 2016-2020 годы"</t>
  </si>
  <si>
    <t>Подпрограмма 3 "Развитие сельскохозяйственных товаропроизводителей"</t>
  </si>
  <si>
    <r>
      <t xml:space="preserve">        Расходы на содержание органов местного самоуправления предусмотрены в пределах норматива формирования расходов согласно постановлению Правительства Ханты-Мансийского автономного округа - Югры от 06.08.2010 №191-п «О нормативах формирования расходов на содержание органов местного самоуправления Ханты-Мансийского автономного округа - Югры» (с изменениями от 31.07.2015 №246-п). На 2016 год для муниципального образования норматив определен в сумме 292 077,5 тыс.рублей. При годовых плановых назначениях в сумме 274 827,2 тыс.рублей исполнение за отчетный период 2016 года составило 147 187,9 тыс.рублей, или 53,5% от годового плана и </t>
    </r>
    <r>
      <rPr>
        <sz val="12"/>
        <color theme="1"/>
        <rFont val="Times New Roman"/>
        <family val="1"/>
        <charset val="204"/>
      </rPr>
      <t>96,0%</t>
    </r>
    <r>
      <rPr>
        <sz val="12"/>
        <rFont val="Times New Roman"/>
        <family val="1"/>
        <charset val="204"/>
      </rPr>
      <t xml:space="preserve"> от плановых назначений отчетного периода. </t>
    </r>
  </si>
  <si>
    <r>
      <t xml:space="preserve">Раздел 0300 «Национальная безопасность и правоохранительная деятельность». </t>
    </r>
    <r>
      <rPr>
        <sz val="12"/>
        <color theme="1"/>
        <rFont val="Times New Roman"/>
        <family val="1"/>
        <charset val="204"/>
      </rPr>
      <t>При годовых плановых назначениях в сумме                                   39 095,7 тыс.рублей, исполнение составило 13 248,5 тыс.рублей, или 33,9% от годового плана и 90,8% от плановых назначений отчетного периода.</t>
    </r>
  </si>
  <si>
    <t xml:space="preserve">Обеспечена бесперебойная работа систем видеонаблюдения в течение  I полугодия 2016 года.
 Осуществляется информирование населения о системах, необходимости соблюдения правил дорожного движения (в том числе санкциях за их нарушение)
</t>
  </si>
  <si>
    <r>
      <rPr>
        <sz val="10"/>
        <color theme="1"/>
        <rFont val="Times New Roman"/>
        <family val="1"/>
        <charset val="204"/>
      </rPr>
      <t>Мероприятия  в рамках подпрограммы</t>
    </r>
    <r>
      <rPr>
        <i/>
        <sz val="10"/>
        <color theme="1"/>
        <rFont val="Times New Roman"/>
        <family val="1"/>
        <charset val="204"/>
      </rPr>
      <t xml:space="preserve"> (организация деятельности молодёжного волонтёрского движения в целях пропаганды ценности жизни и здоровья, проведение проф.мероприятий)</t>
    </r>
  </si>
  <si>
    <t>создание, восполнение резерва средств индивидуальной защиты, смотров-конкурсов санитарных дружин, постов, корректировка плана ликвидации аварийного розлива нефти</t>
  </si>
  <si>
    <t>Проведен ежегодный смотр – конкурс санитарных дружин, санитарных постов</t>
  </si>
  <si>
    <r>
      <t xml:space="preserve">Раздел 0400 «Национальная экономика». </t>
    </r>
    <r>
      <rPr>
        <sz val="12"/>
        <color theme="1"/>
        <rFont val="Times New Roman"/>
        <family val="1"/>
        <charset val="204"/>
      </rPr>
      <t>При годовых плановых назначениях в сумме 258 146,5 тыс.рублей, исполнение составило 104 777,8 тыс.рублей, или 40,6% от годового плана и 94,6% от плановых назначений отчетного периода.</t>
    </r>
  </si>
  <si>
    <t>В первом полугодии  текущего года предоставлены субсидии 21 сельскохозяйственным товаропроизводителям, в том числе 3 главам крестьянских (фермерских) хозяйств в сумме 507,3 тыс.руб., ОАО «Агроника» в сумме 15 886,1 тыс.руб. и 17 гражданам, ведущим личное подсобное хозяйство на сумму 335,4 тыс.руб.</t>
  </si>
  <si>
    <t>Выпуск и освещение официальной информации на выполнение полномочий органами местного самоуправления, за отчетный период выпущено 68 номеров газеты "Знамя". Заработная плата за первую половину месяца начисляется и выплачивается в объеме фиксированной части и компенсационных выплат, стимулирующая часть (премия за месяц) начисляется и выплачивается по итогам работы за месяц. Данные изменения повлияли на неосвоение в полном объеме плановых назначений отчетного периода</t>
  </si>
  <si>
    <r>
      <t xml:space="preserve">Раздел 1200  «Средства массовой информации». </t>
    </r>
    <r>
      <rPr>
        <sz val="12"/>
        <color theme="1"/>
        <rFont val="Times New Roman"/>
        <family val="1"/>
        <charset val="204"/>
      </rPr>
      <t xml:space="preserve">При годовых плановых назначениях в сумме 13 246,3 тыс.рублей исполнение составило                              5 993,4 тыс.рублей, или 45,2% от годового плана и 93,6% от плановых назначений отчетного периода. </t>
    </r>
  </si>
  <si>
    <r>
      <t xml:space="preserve">Расходы на обеспечение деятельности (оказание услуг) муниципальных учреждений </t>
    </r>
    <r>
      <rPr>
        <i/>
        <sz val="11"/>
        <color theme="1"/>
        <rFont val="Times New Roman"/>
        <family val="1"/>
        <charset val="204"/>
      </rPr>
      <t>(МБУ "Газета "Знамя")</t>
    </r>
  </si>
  <si>
    <r>
      <t xml:space="preserve">Мероприятия муниципальной программы </t>
    </r>
    <r>
      <rPr>
        <i/>
        <sz val="11"/>
        <color theme="1"/>
        <rFont val="Times New Roman"/>
        <family val="1"/>
        <charset val="204"/>
      </rPr>
      <t>(субсидии социально ориентированным некоммерческим организациям в сфере физической культуры и спорта)</t>
    </r>
  </si>
  <si>
    <r>
      <t xml:space="preserve">Раздел 1100  «Физическая культура и спорт». </t>
    </r>
    <r>
      <rPr>
        <sz val="12"/>
        <color theme="1"/>
        <rFont val="Times New Roman"/>
        <family val="1"/>
        <charset val="204"/>
      </rPr>
      <t xml:space="preserve">При годовых плановых назначениях в сумме 6 306,9 тыс.рублей, исполнение составило                                     1 428,9 тыс.рублей, или 22,7% от годового плана и 93,6% от плановых назначений отчетного периода. </t>
    </r>
  </si>
  <si>
    <r>
      <t xml:space="preserve">Раздел 0900 «Здравоохранение». </t>
    </r>
    <r>
      <rPr>
        <sz val="12"/>
        <color theme="1"/>
        <rFont val="Times New Roman"/>
        <family val="1"/>
        <charset val="204"/>
      </rPr>
      <t xml:space="preserve">При годовых плановых назначениях в сумме 11 627,0 тыс.рублей,  исполнение составило 8 872,4 тыс.рублей, или 76,3% от годового плана и 93,1% от плановых назначений отчетного периода. </t>
    </r>
  </si>
  <si>
    <t>Заключен муниципальный контракт на выполнение работ по проведению лесоустройства, в части таксации и проектирования мероприятий по охране, защите и воспроизводству городских лесов. Выполнение данных мероприятий запланировано на IV квартал 2016 года</t>
  </si>
  <si>
    <r>
      <t xml:space="preserve">Мероприятия  в рамках подпрограммы                                           </t>
    </r>
    <r>
      <rPr>
        <i/>
        <sz val="10"/>
        <color theme="1"/>
        <rFont val="Times New Roman"/>
        <family val="1"/>
        <charset val="204"/>
      </rPr>
      <t>(развитие молодежного предпринимательства, проведение мероприятий, финансовая поддержка по приобретению оборудования, предоставление грантовой поддержки социальному предпринимательству, возмещение затрат семейному бизнесу)</t>
    </r>
  </si>
  <si>
    <t>14.06.2016 были проведены единые торги по изготовлению и закупке полиграфической продукции на противопожарную тематику и изготовление баннера. Поставка товара произведена 28.06.2016г. Согласно условиям контракта оплата в течении 10 банковских дней после поставки товара.</t>
  </si>
  <si>
    <r>
      <rPr>
        <sz val="10"/>
        <color theme="1"/>
        <rFont val="Times New Roman"/>
        <family val="1"/>
        <charset val="204"/>
      </rPr>
      <t xml:space="preserve">Мероприятия  в рамках подпрограммы </t>
    </r>
    <r>
      <rPr>
        <i/>
        <sz val="10"/>
        <color theme="1"/>
        <rFont val="Times New Roman"/>
        <family val="1"/>
        <charset val="204"/>
      </rPr>
      <t>(организация выставочно-ярмарочных мероприятий, проведение конкурсов в сфере потребительского рынка)</t>
    </r>
  </si>
  <si>
    <r>
      <rPr>
        <sz val="10"/>
        <color theme="1"/>
        <rFont val="Times New Roman"/>
        <family val="1"/>
        <charset val="204"/>
      </rPr>
      <t xml:space="preserve">Мероприятия  в рамках подпрограммы </t>
    </r>
    <r>
      <rPr>
        <i/>
        <sz val="10"/>
        <color theme="1"/>
        <rFont val="Times New Roman"/>
        <family val="1"/>
        <charset val="204"/>
      </rPr>
      <t xml:space="preserve">(предоставление субсидий в целях возмещения затрат на приобретение, доставку и монтаж оборудования для переработки и фасовки сельхозпродукции, на строительство, модернизацию животноводческих помещений, приобретение сельхозтехники, сельхозоборудования) </t>
    </r>
  </si>
  <si>
    <t xml:space="preserve"> Произведена оплата по обязательствам 2015 года в рамках муниципального контракта №67 от 23.11.2015 ООО "Нефтедорстрой" содержание автодороги до 15.01.2016 г..в сумме 67,4 тыс.руб. а так же оплата за период январь-май.</t>
  </si>
  <si>
    <r>
      <t xml:space="preserve">Расходы на обеспечение деятельности (оказание услуг) муниципальных учреждений </t>
    </r>
    <r>
      <rPr>
        <i/>
        <sz val="10"/>
        <color theme="1"/>
        <rFont val="Times New Roman"/>
        <family val="1"/>
        <charset val="204"/>
      </rPr>
      <t>(МКУ "Управление градостроительства землепользования и природопользования г.Урай")</t>
    </r>
  </si>
  <si>
    <r>
      <t xml:space="preserve">Расходы на обеспечение деятельности (оказание услуг) муниципальных учреждений </t>
    </r>
    <r>
      <rPr>
        <i/>
        <sz val="10"/>
        <color theme="1"/>
        <rFont val="Times New Roman"/>
        <family val="1"/>
        <charset val="204"/>
      </rPr>
      <t>(МКУ "Управление капитального строительства администрации г.Урай")</t>
    </r>
  </si>
  <si>
    <r>
      <rPr>
        <sz val="10"/>
        <color theme="1"/>
        <rFont val="Times New Roman"/>
        <family val="1"/>
        <charset val="204"/>
      </rPr>
      <t xml:space="preserve">Мероприятия  в рамках подпрограммы </t>
    </r>
    <r>
      <rPr>
        <i/>
        <sz val="10"/>
        <color theme="1"/>
        <rFont val="Times New Roman"/>
        <family val="1"/>
        <charset val="204"/>
      </rPr>
      <t>(разработка документов территориального планирования, правил землепользования и застройки, проекты планировки и межевания, градостроительные планы земельных участков)</t>
    </r>
  </si>
  <si>
    <t>Произведена оплата выполненных кадастровых работ, услуг по оценке</t>
  </si>
  <si>
    <r>
      <rPr>
        <sz val="10"/>
        <color theme="1"/>
        <rFont val="Times New Roman"/>
        <family val="1"/>
        <charset val="204"/>
      </rPr>
      <t>Мероприятия  в рамках подпрограммы</t>
    </r>
    <r>
      <rPr>
        <i/>
        <sz val="10"/>
        <color theme="1"/>
        <rFont val="Times New Roman"/>
        <family val="1"/>
        <charset val="204"/>
      </rPr>
      <t xml:space="preserve"> (межевание земельных участков под МКД, под ИЖС, территории водозабора)</t>
    </r>
  </si>
  <si>
    <r>
      <rPr>
        <sz val="10"/>
        <color theme="1"/>
        <rFont val="Times New Roman"/>
        <family val="1"/>
        <charset val="204"/>
      </rPr>
      <t xml:space="preserve">Мероприятия  в рамках подпрограммы </t>
    </r>
    <r>
      <rPr>
        <i/>
        <sz val="10"/>
        <color theme="1"/>
        <rFont val="Times New Roman"/>
        <family val="1"/>
        <charset val="204"/>
      </rPr>
      <t>(программное сопровождение информационной системы)</t>
    </r>
  </si>
  <si>
    <r>
      <rPr>
        <sz val="10"/>
        <color theme="1"/>
        <rFont val="Times New Roman"/>
        <family val="1"/>
        <charset val="204"/>
      </rPr>
      <t xml:space="preserve">Расходы на обеспечение деятельности (оказание услуг) муниципальных учреждений </t>
    </r>
    <r>
      <rPr>
        <i/>
        <sz val="10"/>
        <color theme="1"/>
        <rFont val="Times New Roman"/>
        <family val="1"/>
        <charset val="204"/>
      </rPr>
      <t>(МАУ "Многофункциональный центр предоставления государственных и муниципальных услуг")</t>
    </r>
  </si>
  <si>
    <r>
      <t xml:space="preserve">Раздел 0500 «Жилищно-коммунальное хозяйство». </t>
    </r>
    <r>
      <rPr>
        <sz val="12"/>
        <color theme="1"/>
        <rFont val="Times New Roman"/>
        <family val="1"/>
        <charset val="204"/>
      </rPr>
      <t xml:space="preserve">При годовых плановых назначениях в сумме 482 921,4 тыс.рублей,  исполнение составило 166 993,9 тыс.рублей, или 34,6% от годового плана и 86,2% от плановых назначений отчетного периода. </t>
    </r>
  </si>
  <si>
    <r>
      <t xml:space="preserve">Расходы на обеспечение деятельности (оказание услуг) муниципальных учреждений </t>
    </r>
    <r>
      <rPr>
        <i/>
        <sz val="10"/>
        <color theme="1"/>
        <rFont val="Times New Roman"/>
        <family val="1"/>
        <charset val="204"/>
      </rPr>
      <t>(МКУ "Управление жилищно-коммунального хозяйства г.Урай")</t>
    </r>
  </si>
  <si>
    <r>
      <t xml:space="preserve">Мероприятия  в рамках подпрограммы </t>
    </r>
    <r>
      <rPr>
        <i/>
        <sz val="10"/>
        <color theme="1"/>
        <rFont val="Times New Roman"/>
        <family val="1"/>
        <charset val="204"/>
      </rPr>
      <t>(замена ламп уличного освещения на энергосберегающие)</t>
    </r>
  </si>
  <si>
    <t>Оплата производится за фактически предоставленный объем газа населению</t>
  </si>
  <si>
    <r>
      <t xml:space="preserve">Раздел 0600 «Охрана окружающей среды». </t>
    </r>
    <r>
      <rPr>
        <sz val="12"/>
        <color theme="1"/>
        <rFont val="Times New Roman"/>
        <family val="1"/>
        <charset val="204"/>
      </rPr>
      <t xml:space="preserve">При годовых плановых назначениях в сумме 4 447,1 тыс.рублей исполнение составило 250,0 тыс.рублей, или 5,6% от годового плана и 99,2% от плановых назначений отчетного периода. </t>
    </r>
  </si>
  <si>
    <r>
      <t xml:space="preserve">Раздел 0700 «Образование». </t>
    </r>
    <r>
      <rPr>
        <sz val="12"/>
        <color theme="1"/>
        <rFont val="Times New Roman"/>
        <family val="1"/>
        <charset val="204"/>
      </rPr>
      <t xml:space="preserve">При годовых плановых назначениях в сумме 1 565 218,5 тыс.рублей, исполнение составило 722 194,1 тыс.рублей, или 46,1% от годового плана и 98,3% от плановых назначений отчетного периода. </t>
    </r>
  </si>
  <si>
    <r>
      <t xml:space="preserve">Расходы на обеспечение деятельности (оказание услуг) муниципальных учреждений </t>
    </r>
    <r>
      <rPr>
        <i/>
        <sz val="10"/>
        <color theme="1"/>
        <rFont val="Times New Roman"/>
        <family val="1"/>
        <charset val="204"/>
      </rPr>
      <t>(МБУ "Молодежный центр")</t>
    </r>
  </si>
  <si>
    <r>
      <t>Мероприятия муниципальной программы</t>
    </r>
    <r>
      <rPr>
        <i/>
        <sz val="10"/>
        <color theme="1"/>
        <rFont val="Times New Roman"/>
        <family val="1"/>
        <charset val="204"/>
      </rPr>
      <t xml:space="preserve"> (заработная плата подростков, участие молодежи в городских и окружных мероприятиях, развитие сети подростковых клубов по месту жительства)</t>
    </r>
  </si>
  <si>
    <r>
      <t xml:space="preserve">Мероприятия  в рамках подпрограммы </t>
    </r>
    <r>
      <rPr>
        <i/>
        <sz val="10"/>
        <color theme="1"/>
        <rFont val="Times New Roman"/>
        <family val="1"/>
        <charset val="204"/>
      </rPr>
      <t>(поддержка талантливых детей и молодежи, укрепление материально технической базы учреждений)</t>
    </r>
  </si>
  <si>
    <r>
      <rPr>
        <sz val="10"/>
        <color theme="1"/>
        <rFont val="Times New Roman"/>
        <family val="1"/>
        <charset val="204"/>
      </rPr>
      <t>Расходы на обеспечение деятельности (оказание услуг) муниципальных учреждений</t>
    </r>
    <r>
      <rPr>
        <i/>
        <sz val="10"/>
        <color theme="1"/>
        <rFont val="Times New Roman"/>
        <family val="1"/>
        <charset val="204"/>
      </rPr>
      <t xml:space="preserve"> (МБОУ ДОД "ДШИ №1")</t>
    </r>
  </si>
  <si>
    <r>
      <rPr>
        <sz val="10"/>
        <color theme="1"/>
        <rFont val="Times New Roman"/>
        <family val="1"/>
        <charset val="204"/>
      </rPr>
      <t>Расходы на обеспечение деятельности (оказание услуг) муниципальных учреждений</t>
    </r>
    <r>
      <rPr>
        <i/>
        <sz val="10"/>
        <color theme="1"/>
        <rFont val="Times New Roman"/>
        <family val="1"/>
        <charset val="204"/>
      </rPr>
      <t xml:space="preserve"> (МБОУ ДОД "ДШИ №2")</t>
    </r>
  </si>
  <si>
    <r>
      <t xml:space="preserve">Раздел 0800 «Культура и  кинематография». </t>
    </r>
    <r>
      <rPr>
        <sz val="12"/>
        <color theme="1"/>
        <rFont val="Times New Roman"/>
        <family val="1"/>
        <charset val="204"/>
      </rPr>
      <t xml:space="preserve">При годовых плановых назначениях в сумме 306 754,5 тыс.рублей, исполнение составило 224 811,0 тыс.рублей, или 73,3% от годового плана и 99,1% от плановых назначений отчетного периода. </t>
    </r>
  </si>
  <si>
    <t xml:space="preserve">оказание финансовой помощи на проведение мероприятия "Фронтовой привал", посвященного празднованию Дня Победы в Великой Отечественной войне 1941-1945 годов, проведение спортивного фестиваля, приобретение компьютерной техники, сценических костюмов </t>
  </si>
  <si>
    <r>
      <t xml:space="preserve">Расходы на обеспечение деятельности (оказание услуг) муниципальных учреждений </t>
    </r>
    <r>
      <rPr>
        <i/>
        <sz val="10"/>
        <color theme="1"/>
        <rFont val="Times New Roman"/>
        <family val="1"/>
        <charset val="204"/>
      </rPr>
      <t>(библиотеки)</t>
    </r>
  </si>
  <si>
    <r>
      <t xml:space="preserve">Мероприятия в рамках подпрограммы </t>
    </r>
    <r>
      <rPr>
        <i/>
        <sz val="10"/>
        <color theme="1"/>
        <rFont val="Times New Roman"/>
        <family val="1"/>
        <charset val="204"/>
      </rPr>
      <t>(проведение мероприятий на базе библиотек, повышение квалификации специалистов)</t>
    </r>
  </si>
  <si>
    <r>
      <t xml:space="preserve">Мероприятия в рамках подпрограммы </t>
    </r>
    <r>
      <rPr>
        <i/>
        <sz val="10"/>
        <color theme="1"/>
        <rFont val="Times New Roman"/>
        <family val="1"/>
        <charset val="204"/>
      </rPr>
      <t>(выставочная деятельность, повышение квалификации специалистов)</t>
    </r>
  </si>
  <si>
    <r>
      <t xml:space="preserve">Расходы на обеспечение деятельности (оказание услуг) муниципальных учреждений </t>
    </r>
    <r>
      <rPr>
        <i/>
        <sz val="10"/>
        <color theme="1"/>
        <rFont val="Times New Roman"/>
        <family val="1"/>
        <charset val="204"/>
      </rPr>
      <t>(музей)</t>
    </r>
  </si>
  <si>
    <r>
      <t>Расходы на обеспечение деятельности (оказание услуг) муниципальных учреждений</t>
    </r>
    <r>
      <rPr>
        <i/>
        <sz val="10"/>
        <color theme="1"/>
        <rFont val="Times New Roman"/>
        <family val="1"/>
        <charset val="204"/>
      </rPr>
      <t xml:space="preserve"> (МАУ "Культура")</t>
    </r>
  </si>
  <si>
    <r>
      <t>Мероприятия в рамках подпрограммы, в том числе:</t>
    </r>
    <r>
      <rPr>
        <i/>
        <sz val="10"/>
        <color theme="1"/>
        <rFont val="Times New Roman"/>
        <family val="1"/>
        <charset val="204"/>
      </rPr>
      <t xml:space="preserve"> </t>
    </r>
  </si>
  <si>
    <t>оказание финансовой помощи строительство беседки для творческой лаборатории А.С.Тарханова, обстройство творческой лаборатории и приобретение музейных экспонатов</t>
  </si>
  <si>
    <r>
      <t xml:space="preserve">Раздел 1000 «Социальная политика». </t>
    </r>
    <r>
      <rPr>
        <sz val="12"/>
        <color theme="1"/>
        <rFont val="Times New Roman"/>
        <family val="1"/>
        <charset val="204"/>
      </rPr>
      <t xml:space="preserve">При годовых плановых назначениях в сумме 207 598,7 тыс.рублей,  исполнение составило                                                         90 419,7 тыс.рублей, или 43,6% от годового плана и 94,1% от плановых назначений отчетного периода. </t>
    </r>
  </si>
  <si>
    <t>Мероприятия  в рамках подпрограммы, в том числе аккарицидная обработка территории</t>
  </si>
  <si>
    <r>
      <t xml:space="preserve">Расходы на обеспечение деятельности (оказание услуг) муниципальных учреждений </t>
    </r>
    <r>
      <rPr>
        <i/>
        <sz val="10"/>
        <color theme="1"/>
        <rFont val="Times New Roman"/>
        <family val="1"/>
        <charset val="204"/>
      </rPr>
      <t>(МБОУ ДОД "ДЮСШ "Звезды Югры")</t>
    </r>
  </si>
  <si>
    <t>Оказание финансовой помощи для участия в чемпионате мира по зимнему плаванию, приобретение оргтехники, спортивного инвентаря, спортивной экипировки, электрических ламп, проведение турнира по боксу</t>
  </si>
  <si>
    <r>
      <t xml:space="preserve">Расходы на обеспечение деятельности (оказание услуг) муниципальных учреждений </t>
    </r>
    <r>
      <rPr>
        <i/>
        <sz val="10"/>
        <color theme="1"/>
        <rFont val="Times New Roman"/>
        <family val="1"/>
        <charset val="204"/>
      </rPr>
      <t>(МБОУ ДОД "ДЮСШ "Старт")</t>
    </r>
  </si>
  <si>
    <t xml:space="preserve">   По состоянию на 01.07.2016 года пенсия за выслугу лет лицам, замещающим муниципальные должности и должности муниципальной службы в городе Урай выплачивается 34 человекам.</t>
  </si>
  <si>
    <t xml:space="preserve">В отчетном периоде произведена ежемесячная выплата вознаграждения приемным родителям за воспитание ребенка -644 человека. Расходы исполнены в пределах плановых назначений отчетного периода с учетом поступления целевых средств из бюджета автономного округа </t>
  </si>
  <si>
    <t>Обеспечены 6 льготоносителя жилыми помещениями специализированного фонда суммарной площадью 0,2 тыс.кв.м.</t>
  </si>
  <si>
    <t xml:space="preserve">Произведена оплата по обязательствам 2015 года в сумме 26 100,0 т.р. освоены в полном объеме (выплата выкупной стоимости за жилье), а так же часть по обязательствам 2016 года. Выплаты произведены за 21 изъятое жилое помещение. </t>
  </si>
  <si>
    <r>
      <t xml:space="preserve">Мероприятия муниципальной программы </t>
    </r>
    <r>
      <rPr>
        <i/>
        <sz val="10"/>
        <color theme="1"/>
        <rFont val="Times New Roman"/>
        <family val="1"/>
        <charset val="204"/>
      </rPr>
      <t>(выплата возмещений за жилые помещения в рамках соглашений, заключенных с собственниками изымаемых жилых помещений)</t>
    </r>
  </si>
  <si>
    <t>Cубсидии на мероприятия подпрограммы "Обеспечение жильем молодых семей" федеральной целевой программы "Жилище" на 2015-2020 годы (федеральный бюджет)</t>
  </si>
  <si>
    <t>В 1 полугодии в эфире ТРК «Спектр» было сюжетов о деятельности органов местного самоуправления – 329, публикаций в газете «Знамя» - 231.</t>
  </si>
  <si>
    <t xml:space="preserve">В декабре 2015 года был заключен договор на 1полугодие на оказание услуг по сопровождению системы электронного делопроизводства «Кодекс:Документооборот», оплата за июнь месяц будет осуществлена в июле и 29.06.2016 заключен договор на 2 полугодие на оказание услуг по сопровождению системы электронного делопроизводства «Кодекс:Документооборот». </t>
  </si>
  <si>
    <t>зимнее содержание объекта "Реконструкция объездной автомобильной дороги г.Урай. Искусственные сооружения. Наружные инженерные сети") (за период январь- октябрь)</t>
  </si>
  <si>
    <t xml:space="preserve">   В 2015 году заключены договоры: 
-  от 11.12.2015 №41 «О совместной деятельности по организации стажировки выпускников профессиональных образовательных организаций и образовательных организаций высшего образования в возрасте до 25 лет на 1 человека (трудоустроен 1 человек);                                                                                                                      - от 14.12.2015 № 42 «О совместной деятельности по организации временного трудоустройства граждан» в рамках мероприятий программы «Организация проведения оплачиваемых общественных работ для незанятых трудовой деятельностью и безработных граждан» на 131 человека (трудоустроены 78 человек);
- от 14.12.2015 №43 «О совместной деятельности по организации временного трудоустройства незанятых трудовой деятельностью и безработных граждан испытывающих трудности в поиске работы» на 10 человек (трудоустроены 7 человек);
- от 14.12.2015 №44 «О совместной деятельности по организации временного трудоустройства граждан пенсионного возраста» на 3  человека (трудоустроены 2 человека);                                                                                                 - от 13.01.2016 №1 «О совместной деятельности по организации временного трудоустройства несовершеннолетних граждан в возрасте от 14 до 18 лет" на 469  человек (трудоустроены 187 человек). 
</t>
  </si>
  <si>
    <r>
      <rPr>
        <b/>
        <sz val="12"/>
        <color theme="1"/>
        <rFont val="Times New Roman"/>
        <family val="1"/>
        <charset val="204"/>
      </rPr>
      <t>Муниципальный дорожный фонд</t>
    </r>
    <r>
      <rPr>
        <sz val="12"/>
        <color theme="1"/>
        <rFont val="Times New Roman"/>
        <family val="1"/>
        <charset val="204"/>
      </rPr>
      <t xml:space="preserve"> на 2016 год утвержден в сумме 90 198,4 тыс.рублей, исполнение отчетного периода составило 30 557,3 тыс.рублей, или 33,9% от годового плана и 100% от плановых назначений отчетного периода. </t>
    </r>
  </si>
  <si>
    <t>Целевой показатель средней заработной платы работникам муниципальных образовательных организаций дополнительного образования детей установлен "дорожной картой" на 2016 год в сумме 47 366,4 рублей. По итогам I полугодия 2016 года, показатель достижения целевого значения по средней заработной плате данной категории составил 108,0%, или 51 155,8 рублей</t>
  </si>
  <si>
    <t>Целевой показатель средней заработной платы работникам муниципальных образовательных организаций дополнительного образования детей установлен "дорожной картой" на 2016 год в сумме 47 366,4 рублей. По итогам 1 полугодия 2016 года, показатель достижения целевого значения по средней заработной плате данной категории составил 108,0%, или 51 155,8 рублей</t>
  </si>
  <si>
    <t>Данное мероприятие выполнено за счет окружного бюджета, средства будут перенаправлены на другое приоритетное направление</t>
  </si>
  <si>
    <t>Целевой показатель средней заработной платы работникам муниципальных учреждений культуры установлен "дорожной картой" на 2016 год в сумме 39 540,8 рублей. По итогам 1 полугодия 2016 года, показатель достижения целевого значения по средней заработной плате данной категории составил 103,0%, или 40 707,3 рублей</t>
  </si>
  <si>
    <t xml:space="preserve">Заработная плата за первую половину месяца начисляется и выплачивается в объеме фиксированной части и компенсационных выплат, стимулирующая часть (премия за месяц) начисляется и выплачивается по итогам работы за месяц. Данные изменения, а также  перенос работниками срока проведения отпуска повлияли на неосвоение в полном объеме плановых назначений отчетного периода </t>
  </si>
  <si>
    <t xml:space="preserve">Заработная плата за первую половину месяца начисляется и выплачивается в объеме фиксированной части и компенсационных выплат, стимулирующая часть (премия за месяц) начисляется и выплачивается по итогам работы за месяц. Данные изменения, а также  перенос работников льготных отпусков на III квартал повлияли на неосвоение в полном объеме плановых назначений отчетного периода </t>
  </si>
  <si>
    <r>
      <t xml:space="preserve">Мероприятия в рамках подпрограммы </t>
    </r>
    <r>
      <rPr>
        <i/>
        <sz val="10"/>
        <color theme="1"/>
        <rFont val="Times New Roman"/>
        <family val="1"/>
        <charset val="204"/>
      </rPr>
      <t xml:space="preserve">(организация содержания мест массового отдыха населения, объектов благоустройства, электроснабжения уличного освещения, сноса ветхого и аварийного жилья, ритуальных услуг и содержание мест захоронения) </t>
    </r>
  </si>
  <si>
    <r>
      <t xml:space="preserve">Субсидии на реконструкцию, расширение, модернизацию, строительство и капитальный ремонт объектов коммунального комплекса </t>
    </r>
    <r>
      <rPr>
        <i/>
        <sz val="10"/>
        <color theme="1"/>
        <rFont val="Times New Roman"/>
        <family val="1"/>
        <charset val="204"/>
      </rPr>
      <t xml:space="preserve">(подготовка объектов ЖКХ к осенне-зимнему периоду) </t>
    </r>
    <r>
      <rPr>
        <sz val="10"/>
        <color theme="1"/>
        <rFont val="Times New Roman"/>
        <family val="1"/>
        <charset val="204"/>
      </rPr>
      <t xml:space="preserve"> </t>
    </r>
  </si>
  <si>
    <t xml:space="preserve">Капитальный ремонт тепломагистрали  «Котельная Промбаза – улица Толстого». Участок теплотрассы Ø530 от ПНС-400 до ТКН-3 возле Поликлиники. - 0,65 км </t>
  </si>
  <si>
    <r>
      <t xml:space="preserve">Мероприятия муниципальной программы </t>
    </r>
    <r>
      <rPr>
        <i/>
        <sz val="10"/>
        <color theme="1"/>
        <rFont val="Times New Roman"/>
        <family val="1"/>
        <charset val="204"/>
      </rPr>
      <t>(капитальный ремонт объектов коммунальной инфраструктуры города)</t>
    </r>
  </si>
  <si>
    <r>
      <t xml:space="preserve">Мероприятия  в рамках подпрограммы </t>
    </r>
    <r>
      <rPr>
        <i/>
        <sz val="10"/>
        <color theme="1"/>
        <rFont val="Times New Roman"/>
        <family val="1"/>
        <charset val="204"/>
      </rPr>
      <t xml:space="preserve">(работы и мероприятия по строительству, капитальному ремонту и организации благоустройства и озеленения территории города) </t>
    </r>
  </si>
  <si>
    <r>
      <t xml:space="preserve">Субсидии для реализации полномочий в области строительства, градостроительной деятельности и жилищных отношений </t>
    </r>
    <r>
      <rPr>
        <i/>
        <sz val="10"/>
        <color theme="1"/>
        <rFont val="Times New Roman"/>
        <family val="1"/>
        <charset val="204"/>
      </rPr>
      <t>(приобретение жилья)</t>
    </r>
  </si>
  <si>
    <r>
      <t xml:space="preserve">Субсидии на проектирование и строительство объектов инженерной инфраструктуры территорий, предназначенных для жилищного строительства </t>
    </r>
    <r>
      <rPr>
        <i/>
        <sz val="10"/>
        <color theme="1"/>
        <rFont val="Times New Roman"/>
        <family val="1"/>
        <charset val="204"/>
      </rPr>
      <t>(строительство объекта "Инженерные сети мкр.1А")</t>
    </r>
  </si>
  <si>
    <r>
      <t xml:space="preserve"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(99%) </t>
    </r>
    <r>
      <rPr>
        <i/>
        <sz val="10"/>
        <color theme="1"/>
        <rFont val="Times New Roman"/>
        <family val="1"/>
        <charset val="204"/>
      </rPr>
      <t>(изыскания и разработка ПСД на инженерные сети и автомобильные дороги (территории в р-не ул.Брусничная, мкр.Солнечный, мкр.Южный (в р-не Орбита), ул.Спокойная, ул.Южная)</t>
    </r>
  </si>
  <si>
    <r>
      <t>Мероприятия муниципальной программы</t>
    </r>
    <r>
      <rPr>
        <i/>
        <sz val="10"/>
        <color theme="1"/>
        <rFont val="Times New Roman"/>
        <family val="1"/>
        <charset val="204"/>
      </rPr>
      <t xml:space="preserve"> (инженерные сети, изыскания и разработка ПСД на инженерные сети, работы по проектированию дренажной системы, работы по водопонижению в мкр.Юго-Восточный, внутриквартальные сети, сети освещения)</t>
    </r>
  </si>
  <si>
    <t>В связи с нарушением срока передачи квартир застройщиком (строительная компания "НОЙ") начислена неустойка по 4 муниципальным контрактам. Окончательный расчет по данным контрактам будет произведен после решения суда по признанию неустойки действительной.</t>
  </si>
  <si>
    <t>Оплата взносов на капитальный ремонт в отчетном периоде произведена за январь-май 2016 года. Не освоены средства, предусмотренные на предоставление муниципальной поддержки на проведение капитального ремонта МКД (согласно Закону ХМАО-Югры от 29.10.2015 №111-оз из Программы исключены 12 многоквартирных домов в деревянном исполнении по причине высокой степени износа, соответственно, не подлежащих ремонту, а также освобождены от платежей за кап.ремонт 5 многоквартирных домов, которые введены после 31.12.2013 года)</t>
  </si>
  <si>
    <r>
      <t xml:space="preserve">Расходы на обеспечение деятельности (оказание услуг) муниципальных учреждений </t>
    </r>
    <r>
      <rPr>
        <i/>
        <sz val="10"/>
        <color theme="1"/>
        <rFont val="Times New Roman"/>
        <family val="1"/>
        <charset val="204"/>
      </rPr>
      <t>(детские дошкольные учреждения)</t>
    </r>
  </si>
  <si>
    <t>Целевой показатель средней заработной платы педагогическим работникам муниципальных дошкольных образовательных организаций установлен "дорожной картой" на 2016 год в сумме 48 240,0 рублей. По итогам 1 полугодия 2016 года, показатель достижения целевого значения по средней заработной плате данной категории составил 98,0%, или 47 291,0 рублей</t>
  </si>
  <si>
    <r>
      <t xml:space="preserve">Расходы на обеспечение деятельности (оказание услуг) муниципальных учреждений </t>
    </r>
    <r>
      <rPr>
        <i/>
        <sz val="10"/>
        <color theme="1"/>
        <rFont val="Times New Roman"/>
        <family val="1"/>
        <charset val="204"/>
      </rPr>
      <t>(МБОУ ДОД "ЦДО")</t>
    </r>
  </si>
  <si>
    <r>
      <t xml:space="preserve">Расходы на обеспечение деятельности (оказание услуг) муниципальных учреждений </t>
    </r>
    <r>
      <rPr>
        <i/>
        <sz val="10"/>
        <color theme="1"/>
        <rFont val="Times New Roman"/>
        <family val="1"/>
        <charset val="204"/>
      </rPr>
      <t>(школы)</t>
    </r>
  </si>
  <si>
    <t>Целевой показатель средней заработной платы педагогическим работникам муниципальных общеобразовательных организаций установлен "дорожной картой" на 2016 год в сумме 57 820,8 рублей. По итогам 1 полугодия 2016 года, показатель достижения целевого значения по средней заработной плате данной категории составил 99,9%, или 57 749,0 рублей</t>
  </si>
  <si>
    <r>
      <t xml:space="preserve">Расходы на обеспечение деятельности (оказание услуг) муниципальных учреждений </t>
    </r>
    <r>
      <rPr>
        <i/>
        <sz val="10"/>
        <color theme="1"/>
        <rFont val="Times New Roman"/>
        <family val="1"/>
        <charset val="204"/>
      </rPr>
      <t>(МАУ "Городской методический центр")</t>
    </r>
  </si>
  <si>
    <r>
      <t xml:space="preserve">Расходы на обеспечение функций органов местного самоуправления </t>
    </r>
    <r>
      <rPr>
        <i/>
        <sz val="10"/>
        <color theme="1"/>
        <rFont val="Times New Roman"/>
        <family val="1"/>
        <charset val="204"/>
      </rPr>
      <t>(обеспечение деятельности Управления образования администрации г.Урай)</t>
    </r>
  </si>
  <si>
    <r>
  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  </r>
    <r>
      <rPr>
        <i/>
        <sz val="10"/>
        <color theme="1"/>
        <rFont val="Times New Roman"/>
        <family val="1"/>
        <charset val="204"/>
      </rPr>
      <t xml:space="preserve"> (администрирование)</t>
    </r>
  </si>
  <si>
    <t xml:space="preserve">В отчетном периоде произведены расходы в рамках реализации мероприятий: участие учащихся школ в региональном этапе всероссийской олимпиады, участие в международной олимпиаде, проведение семинаров и тренинга для педагогов города, обеспечение деятельности и содержания закрытого детского автогородка. </t>
  </si>
  <si>
    <t>Иные межбюджетные трансферты на реализацию проекта, признанного победителем конкурсного отбора образовательных организаций, имеющих статус региональных инновационных площадок</t>
  </si>
  <si>
    <t>Иные межбюджетные трансферты на реализацию мероприятий по поддержке российского казачества</t>
  </si>
  <si>
    <r>
      <t xml:space="preserve">Мероприятия  в рамках подпрограммы </t>
    </r>
    <r>
      <rPr>
        <i/>
        <sz val="10"/>
        <color theme="1"/>
        <rFont val="Times New Roman"/>
        <family val="1"/>
        <charset val="204"/>
      </rPr>
      <t xml:space="preserve">(повышение квалификации педагогических работников и руководителей образовательных организаций)  </t>
    </r>
  </si>
  <si>
    <r>
      <t xml:space="preserve"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</t>
    </r>
    <r>
      <rPr>
        <i/>
        <sz val="10"/>
        <color theme="1"/>
        <rFont val="Times New Roman"/>
        <family val="1"/>
        <charset val="204"/>
      </rPr>
      <t>(питание льготных категорий обучающихся общеобразовательных организаций, определенных на региональном уровне)</t>
    </r>
  </si>
  <si>
    <r>
      <rPr>
        <b/>
        <sz val="12"/>
        <color theme="1"/>
        <rFont val="Times New Roman"/>
        <family val="1"/>
        <charset val="204"/>
      </rPr>
      <t xml:space="preserve">01.00 </t>
    </r>
    <r>
      <rPr>
        <sz val="12"/>
        <color theme="1"/>
        <rFont val="Times New Roman"/>
        <family val="1"/>
        <charset val="204"/>
      </rPr>
      <t xml:space="preserve"> Общегосударственные вопросы</t>
    </r>
  </si>
  <si>
    <r>
      <rPr>
        <b/>
        <sz val="12"/>
        <color theme="1"/>
        <rFont val="Times New Roman"/>
        <family val="1"/>
        <charset val="204"/>
      </rPr>
      <t xml:space="preserve">03.00 </t>
    </r>
    <r>
      <rPr>
        <sz val="12"/>
        <color theme="1"/>
        <rFont val="Times New Roman"/>
        <family val="1"/>
        <charset val="204"/>
      </rPr>
      <t xml:space="preserve"> Национальная безопасность и правоохранительная деятельность</t>
    </r>
  </si>
  <si>
    <r>
      <rPr>
        <b/>
        <sz val="12"/>
        <color theme="1"/>
        <rFont val="Times New Roman"/>
        <family val="1"/>
        <charset val="204"/>
      </rPr>
      <t>04.00</t>
    </r>
    <r>
      <rPr>
        <sz val="12"/>
        <color theme="1"/>
        <rFont val="Times New Roman"/>
        <family val="1"/>
        <charset val="204"/>
      </rPr>
      <t xml:space="preserve">  Национальная экономика</t>
    </r>
  </si>
  <si>
    <r>
      <rPr>
        <b/>
        <sz val="12"/>
        <color theme="1"/>
        <rFont val="Times New Roman"/>
        <family val="1"/>
        <charset val="204"/>
      </rPr>
      <t xml:space="preserve">05.00 </t>
    </r>
    <r>
      <rPr>
        <sz val="12"/>
        <color theme="1"/>
        <rFont val="Times New Roman"/>
        <family val="1"/>
        <charset val="204"/>
      </rPr>
      <t xml:space="preserve"> Жилищно-коммунальное хозяйство</t>
    </r>
  </si>
  <si>
    <r>
      <rPr>
        <b/>
        <sz val="12"/>
        <color theme="1"/>
        <rFont val="Times New Roman"/>
        <family val="1"/>
        <charset val="204"/>
      </rPr>
      <t>06.00</t>
    </r>
    <r>
      <rPr>
        <sz val="12"/>
        <color theme="1"/>
        <rFont val="Times New Roman"/>
        <family val="1"/>
        <charset val="204"/>
      </rPr>
      <t xml:space="preserve">  Охрана окружающей среды</t>
    </r>
  </si>
  <si>
    <r>
      <rPr>
        <b/>
        <sz val="12"/>
        <color theme="1"/>
        <rFont val="Times New Roman"/>
        <family val="1"/>
        <charset val="204"/>
      </rPr>
      <t>07.00</t>
    </r>
    <r>
      <rPr>
        <sz val="12"/>
        <color theme="1"/>
        <rFont val="Times New Roman"/>
        <family val="1"/>
        <charset val="204"/>
      </rPr>
      <t xml:space="preserve">  Образование</t>
    </r>
  </si>
  <si>
    <r>
      <rPr>
        <b/>
        <sz val="12"/>
        <color theme="1"/>
        <rFont val="Times New Roman"/>
        <family val="1"/>
        <charset val="204"/>
      </rPr>
      <t>08.00</t>
    </r>
    <r>
      <rPr>
        <sz val="12"/>
        <color theme="1"/>
        <rFont val="Times New Roman"/>
        <family val="1"/>
        <charset val="204"/>
      </rPr>
      <t xml:space="preserve">  Культура, кинематография </t>
    </r>
  </si>
  <si>
    <r>
      <rPr>
        <b/>
        <sz val="12"/>
        <color theme="1"/>
        <rFont val="Times New Roman"/>
        <family val="1"/>
        <charset val="204"/>
      </rPr>
      <t xml:space="preserve">09.00 </t>
    </r>
    <r>
      <rPr>
        <sz val="12"/>
        <color theme="1"/>
        <rFont val="Times New Roman"/>
        <family val="1"/>
        <charset val="204"/>
      </rPr>
      <t xml:space="preserve"> Здравоохранение</t>
    </r>
  </si>
  <si>
    <r>
      <rPr>
        <b/>
        <sz val="12"/>
        <color theme="1"/>
        <rFont val="Times New Roman"/>
        <family val="1"/>
        <charset val="204"/>
      </rPr>
      <t xml:space="preserve">10.00 </t>
    </r>
    <r>
      <rPr>
        <sz val="12"/>
        <color theme="1"/>
        <rFont val="Times New Roman"/>
        <family val="1"/>
        <charset val="204"/>
      </rPr>
      <t xml:space="preserve"> Социальная политика</t>
    </r>
  </si>
  <si>
    <r>
      <rPr>
        <b/>
        <sz val="12"/>
        <color theme="1"/>
        <rFont val="Times New Roman"/>
        <family val="1"/>
        <charset val="204"/>
      </rPr>
      <t xml:space="preserve">11.00 </t>
    </r>
    <r>
      <rPr>
        <sz val="12"/>
        <color theme="1"/>
        <rFont val="Times New Roman"/>
        <family val="1"/>
        <charset val="204"/>
      </rPr>
      <t xml:space="preserve"> Физическая культура и спорт</t>
    </r>
  </si>
  <si>
    <r>
      <rPr>
        <b/>
        <sz val="12"/>
        <color theme="1"/>
        <rFont val="Times New Roman"/>
        <family val="1"/>
        <charset val="204"/>
      </rPr>
      <t xml:space="preserve">12.00 </t>
    </r>
    <r>
      <rPr>
        <sz val="12"/>
        <color theme="1"/>
        <rFont val="Times New Roman"/>
        <family val="1"/>
        <charset val="204"/>
      </rPr>
      <t xml:space="preserve"> Средства массовой информации</t>
    </r>
  </si>
  <si>
    <r>
      <rPr>
        <b/>
        <sz val="12"/>
        <color theme="1"/>
        <rFont val="Times New Roman"/>
        <family val="1"/>
        <charset val="204"/>
      </rPr>
      <t xml:space="preserve">13.00 </t>
    </r>
    <r>
      <rPr>
        <sz val="12"/>
        <color theme="1"/>
        <rFont val="Times New Roman"/>
        <family val="1"/>
        <charset val="204"/>
      </rPr>
      <t xml:space="preserve"> Обслуживание государственного и муниципального долга</t>
    </r>
  </si>
  <si>
    <t>Субвенции на проведение сельскохозяйственной переписи в 2016 году</t>
  </si>
  <si>
    <t xml:space="preserve">Cсубсидии на 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</t>
  </si>
  <si>
    <r>
      <rPr>
        <sz val="10"/>
        <color theme="1"/>
        <rFont val="Times New Roman"/>
        <family val="1"/>
        <charset val="204"/>
      </rPr>
      <t>Мероприятия  в рамках подпрограммы</t>
    </r>
    <r>
      <rPr>
        <i/>
        <sz val="10"/>
        <color theme="1"/>
        <rFont val="Times New Roman"/>
        <family val="1"/>
        <charset val="204"/>
      </rPr>
      <t xml:space="preserve"> (организация и проведение ежегодных конкурсов, круглых столов, встреч, фестивалей, приобретение инженерно-технических средств обеспечения безопасности и антитеррористической защищенности для избирательных участков, расположенных на территории города Урай (стационарные металодетекторы арочного типа, барьеры безопасности, подавители радиочастот и мобильных волн и т.д.) и др. )</t>
    </r>
  </si>
  <si>
    <t xml:space="preserve">В полном объеме освоены остатки средств окружного и местного бюджета по обязательствам 2015 года. Неосвоение средств обусловлено отсутствием порядка предоставления финансовой поддержки в форме субсидий субъектам малого и среднего предпринимательства </t>
  </si>
  <si>
    <t>Заключен муниципальный контракт от 25.01.2016 №0187300001915000502/15/16 на оказание услуг ИП Кляпетура О.А. по устроительству ежедневных ярмарок на территории города Урай с участием граждан. Оплата производится в месяце следующем после проведения ярмарок</t>
  </si>
  <si>
    <t xml:space="preserve">Неосвоение средств обусловлено отсутствием порядка предоставления финансовой поддержки в форме субсидий субъектам малого и среднего предпринимательства </t>
  </si>
  <si>
    <t>Произведена оплата по обязательствам 2015 года в рамках исполнения договора №139 от 30.11.2015 с ООО "Констант Гео" выполнение кадастровых работ.</t>
  </si>
  <si>
    <t xml:space="preserve">Софинансирование из средств местного бюджета cсубсидии для реализации полномочий в области строительства, градостроительной деятельности и жилищных отношений </t>
  </si>
  <si>
    <t xml:space="preserve">Заработная плата за первую половину месяца начисляется и выплачивается в объеме фиксированной части и компенсационных выплат, стимулирующая часть (премия за месяц) начисляется и выплачивается по итогам работы за месяц. Данные изменения, а также  перенос срока проведения торгов на приобретение автомобильных шин, оплата за коммунальные услуги по фактическим объемам, экономия в части командировочных расходов, расходов по ремонту автотранспорта повлияли на неосвоение в полном объеме плановых назначений отчетного периода </t>
  </si>
  <si>
    <t>Председатель комитета по финансам                                                                     И.В.Хусаинова</t>
  </si>
</sst>
</file>

<file path=xl/styles.xml><?xml version="1.0" encoding="utf-8"?>
<styleSheet xmlns="http://schemas.openxmlformats.org/spreadsheetml/2006/main">
  <numFmts count="10">
    <numFmt numFmtId="164" formatCode="_-* #,##0.00_р_._-;\-* #,##0.00_р_._-;_-* &quot;-&quot;??_р_._-;_-@_-"/>
    <numFmt numFmtId="165" formatCode="_-* #,##0.0_р_._-;\-* #,##0.0_р_._-;_-* &quot;-&quot;??_р_._-;_-@_-"/>
    <numFmt numFmtId="166" formatCode="0.0"/>
    <numFmt numFmtId="167" formatCode="_-* #,##0.0_р_._-;\-* #,##0.0_р_._-;_-* &quot;-&quot;?_р_._-;_-@_-"/>
    <numFmt numFmtId="168" formatCode="_(* #,##0.0_);_(* \(#,##0.0\);_(* &quot;-&quot;??_);_(@_)"/>
    <numFmt numFmtId="169" formatCode="000000"/>
    <numFmt numFmtId="170" formatCode="_-* #,##0.0\ _₽_-;\-* #,##0.0\ _₽_-;_-* &quot;-&quot;?\ _₽_-;_-@_-"/>
    <numFmt numFmtId="171" formatCode="#,##0.0_ ;\-#,##0.0\ "/>
    <numFmt numFmtId="172" formatCode="0.0%"/>
    <numFmt numFmtId="173" formatCode="#,##0.0"/>
  </numFmts>
  <fonts count="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.5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2" fillId="0" borderId="0"/>
  </cellStyleXfs>
  <cellXfs count="574">
    <xf numFmtId="0" fontId="0" fillId="0" borderId="0" xfId="0"/>
    <xf numFmtId="0" fontId="4" fillId="0" borderId="0" xfId="0" applyFont="1" applyAlignment="1">
      <alignment wrapText="1"/>
    </xf>
    <xf numFmtId="0" fontId="5" fillId="0" borderId="0" xfId="0" applyFont="1"/>
    <xf numFmtId="0" fontId="3" fillId="0" borderId="0" xfId="0" applyFont="1" applyAlignment="1"/>
    <xf numFmtId="0" fontId="5" fillId="0" borderId="0" xfId="0" applyFont="1" applyFill="1" applyAlignment="1">
      <alignment wrapText="1"/>
    </xf>
    <xf numFmtId="0" fontId="5" fillId="0" borderId="0" xfId="0" applyFont="1" applyFill="1" applyAlignment="1"/>
    <xf numFmtId="164" fontId="10" fillId="0" borderId="0" xfId="1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164" fontId="10" fillId="0" borderId="0" xfId="0" applyNumberFormat="1" applyFont="1"/>
    <xf numFmtId="0" fontId="4" fillId="0" borderId="0" xfId="0" applyFont="1" applyAlignme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9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0" fontId="9" fillId="0" borderId="0" xfId="0" applyFont="1" applyFill="1" applyAlignment="1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1" fillId="0" borderId="0" xfId="0" applyFont="1"/>
    <xf numFmtId="0" fontId="6" fillId="0" borderId="0" xfId="0" applyFont="1"/>
    <xf numFmtId="0" fontId="6" fillId="0" borderId="0" xfId="0" applyFont="1" applyAlignment="1"/>
    <xf numFmtId="0" fontId="6" fillId="0" borderId="0" xfId="0" applyFont="1" applyFill="1"/>
    <xf numFmtId="0" fontId="6" fillId="0" borderId="0" xfId="0" applyFont="1" applyAlignment="1">
      <alignment horizontal="center"/>
    </xf>
    <xf numFmtId="0" fontId="2" fillId="0" borderId="0" xfId="0" applyFont="1"/>
    <xf numFmtId="0" fontId="7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3" fillId="0" borderId="0" xfId="0" applyFont="1"/>
    <xf numFmtId="0" fontId="13" fillId="0" borderId="0" xfId="0" applyFont="1" applyFill="1" applyAlignment="1">
      <alignment wrapText="1"/>
    </xf>
    <xf numFmtId="0" fontId="7" fillId="0" borderId="0" xfId="0" applyFont="1" applyFill="1"/>
    <xf numFmtId="0" fontId="2" fillId="0" borderId="0" xfId="0" applyFont="1" applyFill="1"/>
    <xf numFmtId="0" fontId="7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164" fontId="6" fillId="0" borderId="0" xfId="1" applyFont="1" applyFill="1" applyBorder="1" applyAlignment="1">
      <alignment horizontal="center" wrapText="1"/>
    </xf>
    <xf numFmtId="164" fontId="10" fillId="0" borderId="0" xfId="1" applyFont="1" applyFill="1" applyBorder="1" applyAlignment="1">
      <alignment horizontal="center" wrapText="1"/>
    </xf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0" xfId="0" applyFont="1" applyFill="1"/>
    <xf numFmtId="0" fontId="8" fillId="0" borderId="0" xfId="0" applyFont="1" applyFill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0" fontId="2" fillId="0" borderId="0" xfId="0" applyNumberFormat="1" applyFont="1"/>
    <xf numFmtId="0" fontId="22" fillId="0" borderId="0" xfId="0" applyFont="1" applyFill="1" applyAlignment="1">
      <alignment horizontal="right" vertical="center"/>
    </xf>
    <xf numFmtId="0" fontId="22" fillId="0" borderId="0" xfId="0" applyFont="1" applyFill="1" applyAlignment="1">
      <alignment horizontal="center"/>
    </xf>
    <xf numFmtId="0" fontId="22" fillId="0" borderId="0" xfId="0" applyFont="1" applyFill="1" applyAlignment="1">
      <alignment horizontal="right"/>
    </xf>
    <xf numFmtId="165" fontId="22" fillId="0" borderId="0" xfId="0" applyNumberFormat="1" applyFont="1" applyFill="1" applyAlignment="1">
      <alignment horizontal="left" wrapText="1"/>
    </xf>
    <xf numFmtId="164" fontId="22" fillId="0" borderId="0" xfId="0" applyNumberFormat="1" applyFont="1" applyFill="1" applyAlignment="1">
      <alignment horizontal="left" wrapText="1"/>
    </xf>
    <xf numFmtId="0" fontId="21" fillId="0" borderId="4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center" wrapText="1"/>
    </xf>
    <xf numFmtId="0" fontId="21" fillId="0" borderId="4" xfId="0" applyFont="1" applyBorder="1" applyAlignment="1">
      <alignment horizontal="left" wrapText="1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3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wrapText="1"/>
    </xf>
    <xf numFmtId="0" fontId="23" fillId="0" borderId="0" xfId="0" applyFont="1" applyFill="1" applyBorder="1" applyAlignment="1">
      <alignment horizontal="left" wrapText="1"/>
    </xf>
    <xf numFmtId="165" fontId="23" fillId="0" borderId="0" xfId="1" applyNumberFormat="1" applyFont="1" applyFill="1" applyBorder="1" applyAlignment="1">
      <alignment horizont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left" wrapText="1"/>
    </xf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vertical="top" wrapText="1"/>
    </xf>
    <xf numFmtId="165" fontId="23" fillId="0" borderId="0" xfId="1" applyNumberFormat="1" applyFont="1" applyFill="1" applyBorder="1" applyAlignment="1">
      <alignment horizontal="center" vertical="top" wrapText="1"/>
    </xf>
    <xf numFmtId="165" fontId="23" fillId="0" borderId="0" xfId="1" applyNumberFormat="1" applyFont="1" applyFill="1" applyBorder="1" applyAlignment="1">
      <alignment horizontal="right" wrapText="1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165" fontId="23" fillId="0" borderId="0" xfId="1" applyNumberFormat="1" applyFont="1" applyFill="1" applyBorder="1" applyAlignment="1">
      <alignment horizontal="left" wrapText="1"/>
    </xf>
    <xf numFmtId="166" fontId="23" fillId="0" borderId="0" xfId="0" applyNumberFormat="1" applyFont="1" applyFill="1" applyBorder="1" applyAlignment="1">
      <alignment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28" fillId="0" borderId="0" xfId="0" applyFont="1"/>
    <xf numFmtId="0" fontId="29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left" wrapText="1"/>
    </xf>
    <xf numFmtId="0" fontId="28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2" fillId="4" borderId="1" xfId="0" applyFont="1" applyFill="1" applyBorder="1" applyAlignment="1">
      <alignment vertical="center" wrapText="1"/>
    </xf>
    <xf numFmtId="165" fontId="32" fillId="4" borderId="1" xfId="1" applyNumberFormat="1" applyFont="1" applyFill="1" applyBorder="1" applyAlignment="1">
      <alignment horizontal="center" vertical="top" wrapText="1"/>
    </xf>
    <xf numFmtId="166" fontId="32" fillId="4" borderId="5" xfId="1" applyNumberFormat="1" applyFont="1" applyFill="1" applyBorder="1" applyAlignment="1">
      <alignment horizontal="center" vertical="top" wrapText="1"/>
    </xf>
    <xf numFmtId="166" fontId="32" fillId="4" borderId="1" xfId="1" applyNumberFormat="1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vertical="center" wrapText="1"/>
    </xf>
    <xf numFmtId="165" fontId="28" fillId="0" borderId="1" xfId="1" applyNumberFormat="1" applyFont="1" applyFill="1" applyBorder="1" applyAlignment="1">
      <alignment horizontal="center" vertical="top" wrapText="1"/>
    </xf>
    <xf numFmtId="166" fontId="28" fillId="0" borderId="1" xfId="1" applyNumberFormat="1" applyFont="1" applyFill="1" applyBorder="1" applyAlignment="1">
      <alignment horizontal="center" vertical="top" wrapText="1"/>
    </xf>
    <xf numFmtId="166" fontId="28" fillId="0" borderId="1" xfId="1" applyNumberFormat="1" applyFont="1" applyBorder="1" applyAlignment="1">
      <alignment horizontal="center" vertical="top" wrapText="1"/>
    </xf>
    <xf numFmtId="166" fontId="28" fillId="0" borderId="5" xfId="1" applyNumberFormat="1" applyFont="1" applyFill="1" applyBorder="1" applyAlignment="1">
      <alignment horizontal="center" vertical="top" wrapText="1"/>
    </xf>
    <xf numFmtId="0" fontId="32" fillId="3" borderId="1" xfId="0" applyFont="1" applyFill="1" applyBorder="1" applyAlignment="1">
      <alignment vertical="center" wrapText="1"/>
    </xf>
    <xf numFmtId="165" fontId="32" fillId="3" borderId="1" xfId="1" applyNumberFormat="1" applyFont="1" applyFill="1" applyBorder="1" applyAlignment="1">
      <alignment horizontal="center" wrapText="1"/>
    </xf>
    <xf numFmtId="166" fontId="32" fillId="3" borderId="1" xfId="1" applyNumberFormat="1" applyFont="1" applyFill="1" applyBorder="1" applyAlignment="1">
      <alignment horizontal="center" wrapText="1"/>
    </xf>
    <xf numFmtId="166" fontId="32" fillId="3" borderId="1" xfId="0" applyNumberFormat="1" applyFont="1" applyFill="1" applyBorder="1" applyAlignment="1">
      <alignment wrapText="1"/>
    </xf>
    <xf numFmtId="165" fontId="32" fillId="4" borderId="1" xfId="1" applyNumberFormat="1" applyFont="1" applyFill="1" applyBorder="1" applyAlignment="1">
      <alignment horizontal="right" vertical="top" wrapText="1"/>
    </xf>
    <xf numFmtId="0" fontId="28" fillId="0" borderId="1" xfId="0" applyFont="1" applyBorder="1" applyAlignment="1">
      <alignment vertical="center" wrapText="1"/>
    </xf>
    <xf numFmtId="165" fontId="28" fillId="0" borderId="1" xfId="1" applyNumberFormat="1" applyFont="1" applyBorder="1" applyAlignment="1">
      <alignment horizontal="right" vertical="top" wrapText="1"/>
    </xf>
    <xf numFmtId="49" fontId="36" fillId="0" borderId="1" xfId="0" applyNumberFormat="1" applyFont="1" applyBorder="1" applyAlignment="1">
      <alignment vertical="center" wrapText="1"/>
    </xf>
    <xf numFmtId="165" fontId="34" fillId="0" borderId="1" xfId="1" applyNumberFormat="1" applyFont="1" applyBorder="1" applyAlignment="1">
      <alignment horizontal="right" vertical="top" wrapText="1"/>
    </xf>
    <xf numFmtId="49" fontId="28" fillId="0" borderId="1" xfId="0" applyNumberFormat="1" applyFont="1" applyBorder="1" applyAlignment="1">
      <alignment vertical="center" wrapText="1"/>
    </xf>
    <xf numFmtId="166" fontId="28" fillId="0" borderId="1" xfId="1" applyNumberFormat="1" applyFont="1" applyBorder="1" applyAlignment="1">
      <alignment horizontal="right" vertical="top" wrapText="1"/>
    </xf>
    <xf numFmtId="49" fontId="34" fillId="0" borderId="1" xfId="0" applyNumberFormat="1" applyFont="1" applyFill="1" applyBorder="1" applyAlignment="1">
      <alignment vertical="center" wrapText="1"/>
    </xf>
    <xf numFmtId="166" fontId="34" fillId="0" borderId="1" xfId="1" applyNumberFormat="1" applyFont="1" applyBorder="1" applyAlignment="1">
      <alignment horizontal="right" vertical="top" wrapText="1"/>
    </xf>
    <xf numFmtId="49" fontId="36" fillId="0" borderId="1" xfId="0" applyNumberFormat="1" applyFont="1" applyFill="1" applyBorder="1" applyAlignment="1">
      <alignment vertical="center" wrapText="1"/>
    </xf>
    <xf numFmtId="165" fontId="36" fillId="0" borderId="1" xfId="1" applyNumberFormat="1" applyFont="1" applyBorder="1" applyAlignment="1">
      <alignment horizontal="right" vertical="top" wrapText="1"/>
    </xf>
    <xf numFmtId="166" fontId="36" fillId="0" borderId="1" xfId="1" applyNumberFormat="1" applyFont="1" applyBorder="1" applyAlignment="1">
      <alignment horizontal="right" vertical="top" wrapText="1"/>
    </xf>
    <xf numFmtId="0" fontId="34" fillId="0" borderId="1" xfId="0" applyFont="1" applyBorder="1" applyAlignment="1">
      <alignment vertical="center" wrapText="1"/>
    </xf>
    <xf numFmtId="165" fontId="34" fillId="0" borderId="1" xfId="1" applyNumberFormat="1" applyFont="1" applyBorder="1" applyAlignment="1">
      <alignment horizontal="center" vertical="top" wrapText="1"/>
    </xf>
    <xf numFmtId="0" fontId="36" fillId="0" borderId="1" xfId="0" applyFont="1" applyBorder="1" applyAlignment="1">
      <alignment vertical="center" wrapText="1"/>
    </xf>
    <xf numFmtId="165" fontId="36" fillId="0" borderId="1" xfId="1" applyNumberFormat="1" applyFont="1" applyBorder="1" applyAlignment="1">
      <alignment horizontal="center" vertical="top" wrapText="1"/>
    </xf>
    <xf numFmtId="165" fontId="28" fillId="0" borderId="1" xfId="1" applyNumberFormat="1" applyFont="1" applyBorder="1" applyAlignment="1">
      <alignment horizontal="center" vertical="top" wrapText="1"/>
    </xf>
    <xf numFmtId="0" fontId="34" fillId="0" borderId="0" xfId="0" applyFont="1"/>
    <xf numFmtId="0" fontId="32" fillId="0" borderId="0" xfId="0" applyFont="1"/>
    <xf numFmtId="0" fontId="28" fillId="0" borderId="1" xfId="0" applyNumberFormat="1" applyFont="1" applyBorder="1" applyAlignment="1">
      <alignment vertical="center" wrapText="1"/>
    </xf>
    <xf numFmtId="0" fontId="36" fillId="2" borderId="1" xfId="0" applyFont="1" applyFill="1" applyBorder="1" applyAlignment="1">
      <alignment vertical="center" wrapText="1"/>
    </xf>
    <xf numFmtId="165" fontId="36" fillId="2" borderId="1" xfId="1" applyNumberFormat="1" applyFont="1" applyFill="1" applyBorder="1" applyAlignment="1">
      <alignment horizontal="center" vertical="top" wrapText="1"/>
    </xf>
    <xf numFmtId="166" fontId="36" fillId="2" borderId="1" xfId="1" applyNumberFormat="1" applyFont="1" applyFill="1" applyBorder="1" applyAlignment="1">
      <alignment horizontal="center" vertical="top" wrapText="1"/>
    </xf>
    <xf numFmtId="166" fontId="36" fillId="2" borderId="1" xfId="1" applyNumberFormat="1" applyFont="1" applyFill="1" applyBorder="1" applyAlignment="1">
      <alignment horizontal="right" vertical="top" wrapText="1"/>
    </xf>
    <xf numFmtId="0" fontId="28" fillId="2" borderId="1" xfId="0" applyFont="1" applyFill="1" applyBorder="1" applyAlignment="1">
      <alignment vertical="center" wrapText="1"/>
    </xf>
    <xf numFmtId="165" fontId="28" fillId="2" borderId="1" xfId="1" applyNumberFormat="1" applyFont="1" applyFill="1" applyBorder="1" applyAlignment="1">
      <alignment horizontal="center" vertical="top" wrapText="1"/>
    </xf>
    <xf numFmtId="165" fontId="28" fillId="2" borderId="1" xfId="1" applyNumberFormat="1" applyFont="1" applyFill="1" applyBorder="1" applyAlignment="1">
      <alignment horizontal="right" vertical="top" wrapText="1"/>
    </xf>
    <xf numFmtId="0" fontId="34" fillId="2" borderId="1" xfId="0" applyFont="1" applyFill="1" applyBorder="1" applyAlignment="1">
      <alignment vertical="center" wrapText="1"/>
    </xf>
    <xf numFmtId="165" fontId="34" fillId="2" borderId="1" xfId="1" applyNumberFormat="1" applyFont="1" applyFill="1" applyBorder="1" applyAlignment="1">
      <alignment horizontal="center" vertical="top" wrapText="1"/>
    </xf>
    <xf numFmtId="165" fontId="34" fillId="2" borderId="1" xfId="1" applyNumberFormat="1" applyFont="1" applyFill="1" applyBorder="1" applyAlignment="1">
      <alignment horizontal="right" vertical="top" wrapText="1"/>
    </xf>
    <xf numFmtId="165" fontId="36" fillId="2" borderId="1" xfId="1" applyNumberFormat="1" applyFont="1" applyFill="1" applyBorder="1" applyAlignment="1">
      <alignment horizontal="right" vertical="top" wrapText="1"/>
    </xf>
    <xf numFmtId="0" fontId="11" fillId="0" borderId="1" xfId="0" applyFont="1" applyBorder="1" applyAlignment="1">
      <alignment wrapText="1"/>
    </xf>
    <xf numFmtId="165" fontId="33" fillId="4" borderId="1" xfId="1" applyNumberFormat="1" applyFont="1" applyFill="1" applyBorder="1" applyAlignment="1">
      <alignment horizontal="center" vertical="top" wrapText="1"/>
    </xf>
    <xf numFmtId="171" fontId="33" fillId="4" borderId="1" xfId="1" applyNumberFormat="1" applyFont="1" applyFill="1" applyBorder="1" applyAlignment="1">
      <alignment horizontal="center" vertical="top" wrapText="1"/>
    </xf>
    <xf numFmtId="171" fontId="32" fillId="4" borderId="1" xfId="1" applyNumberFormat="1" applyFont="1" applyFill="1" applyBorder="1" applyAlignment="1">
      <alignment horizontal="right" vertical="top" wrapText="1"/>
    </xf>
    <xf numFmtId="171" fontId="34" fillId="0" borderId="1" xfId="1" applyNumberFormat="1" applyFont="1" applyBorder="1" applyAlignment="1">
      <alignment horizontal="center" vertical="top" wrapText="1"/>
    </xf>
    <xf numFmtId="171" fontId="34" fillId="0" borderId="1" xfId="1" applyNumberFormat="1" applyFont="1" applyBorder="1" applyAlignment="1">
      <alignment horizontal="right" vertical="top" wrapText="1"/>
    </xf>
    <xf numFmtId="0" fontId="30" fillId="3" borderId="1" xfId="0" applyFont="1" applyFill="1" applyBorder="1" applyAlignment="1">
      <alignment vertical="center" wrapText="1"/>
    </xf>
    <xf numFmtId="49" fontId="7" fillId="4" borderId="1" xfId="0" applyNumberFormat="1" applyFont="1" applyFill="1" applyBorder="1" applyAlignment="1">
      <alignment vertical="center" wrapText="1"/>
    </xf>
    <xf numFmtId="165" fontId="7" fillId="4" borderId="1" xfId="1" applyNumberFormat="1" applyFont="1" applyFill="1" applyBorder="1" applyAlignment="1">
      <alignment horizontal="right" vertical="top" wrapText="1"/>
    </xf>
    <xf numFmtId="49" fontId="6" fillId="0" borderId="1" xfId="0" applyNumberFormat="1" applyFont="1" applyBorder="1" applyAlignment="1">
      <alignment vertical="center" wrapText="1"/>
    </xf>
    <xf numFmtId="165" fontId="6" fillId="0" borderId="5" xfId="1" applyNumberFormat="1" applyFont="1" applyBorder="1" applyAlignment="1">
      <alignment horizontal="right" vertical="top" wrapText="1"/>
    </xf>
    <xf numFmtId="165" fontId="6" fillId="0" borderId="1" xfId="1" applyNumberFormat="1" applyFont="1" applyBorder="1" applyAlignment="1">
      <alignment horizontal="right" vertical="top" wrapText="1"/>
    </xf>
    <xf numFmtId="165" fontId="6" fillId="0" borderId="1" xfId="1" applyNumberFormat="1" applyFont="1" applyFill="1" applyBorder="1" applyAlignment="1">
      <alignment horizontal="right" vertical="top" wrapText="1"/>
    </xf>
    <xf numFmtId="0" fontId="2" fillId="0" borderId="1" xfId="0" applyNumberFormat="1" applyFont="1" applyBorder="1" applyAlignment="1">
      <alignment vertical="center" wrapText="1"/>
    </xf>
    <xf numFmtId="165" fontId="2" fillId="0" borderId="1" xfId="1" applyNumberFormat="1" applyFont="1" applyBorder="1" applyAlignment="1">
      <alignment horizontal="right" vertical="top" wrapText="1"/>
    </xf>
    <xf numFmtId="165" fontId="2" fillId="0" borderId="1" xfId="1" applyNumberFormat="1" applyFont="1" applyFill="1" applyBorder="1" applyAlignment="1">
      <alignment horizontal="right" vertical="top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6" fontId="2" fillId="0" borderId="1" xfId="1" applyNumberFormat="1" applyFont="1" applyFill="1" applyBorder="1" applyAlignment="1">
      <alignment horizontal="right" vertical="top" wrapText="1"/>
    </xf>
    <xf numFmtId="166" fontId="2" fillId="0" borderId="1" xfId="1" applyNumberFormat="1" applyFont="1" applyBorder="1" applyAlignment="1">
      <alignment horizontal="right" vertical="top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vertical="center" wrapText="1"/>
    </xf>
    <xf numFmtId="165" fontId="11" fillId="0" borderId="5" xfId="1" applyNumberFormat="1" applyFont="1" applyFill="1" applyBorder="1" applyAlignment="1">
      <alignment horizontal="right" vertical="top" wrapText="1"/>
    </xf>
    <xf numFmtId="166" fontId="11" fillId="0" borderId="1" xfId="1" applyNumberFormat="1" applyFont="1" applyFill="1" applyBorder="1" applyAlignment="1">
      <alignment horizontal="right" vertical="top" wrapText="1"/>
    </xf>
    <xf numFmtId="166" fontId="11" fillId="0" borderId="1" xfId="1" applyNumberFormat="1" applyFont="1" applyBorder="1" applyAlignment="1">
      <alignment horizontal="right" vertical="top" wrapText="1"/>
    </xf>
    <xf numFmtId="165" fontId="11" fillId="0" borderId="1" xfId="1" applyNumberFormat="1" applyFont="1" applyFill="1" applyBorder="1" applyAlignment="1">
      <alignment horizontal="right" vertical="top" wrapText="1"/>
    </xf>
    <xf numFmtId="165" fontId="11" fillId="0" borderId="1" xfId="1" applyNumberFormat="1" applyFont="1" applyBorder="1" applyAlignment="1">
      <alignment horizontal="right" vertical="top" wrapText="1"/>
    </xf>
    <xf numFmtId="0" fontId="6" fillId="0" borderId="1" xfId="0" applyNumberFormat="1" applyFont="1" applyFill="1" applyBorder="1" applyAlignment="1">
      <alignment horizontal="left" vertical="center" wrapText="1"/>
    </xf>
    <xf numFmtId="166" fontId="6" fillId="0" borderId="5" xfId="1" applyNumberFormat="1" applyFont="1" applyBorder="1" applyAlignment="1">
      <alignment horizontal="right" vertical="top" wrapText="1"/>
    </xf>
    <xf numFmtId="166" fontId="6" fillId="0" borderId="1" xfId="1" applyNumberFormat="1" applyFont="1" applyBorder="1" applyAlignment="1">
      <alignment horizontal="right" vertical="top" wrapText="1"/>
    </xf>
    <xf numFmtId="166" fontId="6" fillId="0" borderId="1" xfId="1" applyNumberFormat="1" applyFont="1" applyFill="1" applyBorder="1" applyAlignment="1">
      <alignment horizontal="right" vertical="top" wrapText="1"/>
    </xf>
    <xf numFmtId="49" fontId="11" fillId="0" borderId="1" xfId="0" applyNumberFormat="1" applyFont="1" applyBorder="1" applyAlignment="1">
      <alignment vertical="center" wrapText="1"/>
    </xf>
    <xf numFmtId="0" fontId="11" fillId="0" borderId="1" xfId="0" applyNumberFormat="1" applyFont="1" applyBorder="1" applyAlignment="1">
      <alignment vertical="center" wrapText="1"/>
    </xf>
    <xf numFmtId="172" fontId="11" fillId="0" borderId="1" xfId="1" applyNumberFormat="1" applyFont="1" applyFill="1" applyBorder="1" applyAlignment="1">
      <alignment horizontal="right" vertical="top" wrapText="1"/>
    </xf>
    <xf numFmtId="0" fontId="6" fillId="0" borderId="1" xfId="0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6" fontId="11" fillId="2" borderId="1" xfId="1" applyNumberFormat="1" applyFont="1" applyFill="1" applyBorder="1" applyAlignment="1">
      <alignment horizontal="right" vertical="top" wrapText="1"/>
    </xf>
    <xf numFmtId="0" fontId="7" fillId="3" borderId="1" xfId="0" applyFont="1" applyFill="1" applyBorder="1" applyAlignment="1">
      <alignment vertical="center" wrapText="1"/>
    </xf>
    <xf numFmtId="165" fontId="7" fillId="3" borderId="1" xfId="1" applyNumberFormat="1" applyFont="1" applyFill="1" applyBorder="1" applyAlignment="1">
      <alignment horizontal="right" wrapText="1"/>
    </xf>
    <xf numFmtId="165" fontId="7" fillId="5" borderId="1" xfId="1" applyNumberFormat="1" applyFont="1" applyFill="1" applyBorder="1" applyAlignment="1">
      <alignment horizontal="right" wrapText="1"/>
    </xf>
    <xf numFmtId="0" fontId="7" fillId="4" borderId="1" xfId="0" applyNumberFormat="1" applyFont="1" applyFill="1" applyBorder="1" applyAlignment="1">
      <alignment vertical="center" wrapText="1"/>
    </xf>
    <xf numFmtId="49" fontId="7" fillId="4" borderId="1" xfId="0" applyNumberFormat="1" applyFont="1" applyFill="1" applyBorder="1" applyAlignment="1">
      <alignment horizontal="left" vertical="center" wrapText="1"/>
    </xf>
    <xf numFmtId="165" fontId="7" fillId="4" borderId="1" xfId="1" applyNumberFormat="1" applyFont="1" applyFill="1" applyBorder="1" applyAlignment="1">
      <alignment horizontal="center" vertical="top" wrapText="1"/>
    </xf>
    <xf numFmtId="165" fontId="7" fillId="4" borderId="5" xfId="1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left" vertical="center" wrapText="1"/>
    </xf>
    <xf numFmtId="165" fontId="6" fillId="0" borderId="1" xfId="1" applyNumberFormat="1" applyFont="1" applyBorder="1" applyAlignment="1">
      <alignment horizontal="center" vertical="top" wrapText="1"/>
    </xf>
    <xf numFmtId="165" fontId="6" fillId="0" borderId="5" xfId="1" applyNumberFormat="1" applyFont="1" applyBorder="1" applyAlignment="1">
      <alignment horizontal="center" vertical="top" wrapText="1"/>
    </xf>
    <xf numFmtId="165" fontId="6" fillId="0" borderId="5" xfId="1" applyNumberFormat="1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vertical="center" wrapText="1"/>
    </xf>
    <xf numFmtId="165" fontId="7" fillId="5" borderId="1" xfId="1" applyNumberFormat="1" applyFont="1" applyFill="1" applyBorder="1" applyAlignment="1">
      <alignment horizontal="center" wrapText="1"/>
    </xf>
    <xf numFmtId="166" fontId="7" fillId="5" borderId="1" xfId="0" applyNumberFormat="1" applyFont="1" applyFill="1" applyBorder="1" applyAlignment="1">
      <alignment wrapText="1"/>
    </xf>
    <xf numFmtId="166" fontId="7" fillId="4" borderId="1" xfId="0" applyNumberFormat="1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vertical="center" wrapText="1"/>
    </xf>
    <xf numFmtId="165" fontId="6" fillId="0" borderId="1" xfId="1" applyNumberFormat="1" applyFont="1" applyFill="1" applyBorder="1" applyAlignment="1">
      <alignment horizontal="center" vertical="top" wrapText="1"/>
    </xf>
    <xf numFmtId="166" fontId="6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vertical="center" wrapText="1"/>
    </xf>
    <xf numFmtId="165" fontId="2" fillId="0" borderId="1" xfId="1" applyNumberFormat="1" applyFont="1" applyFill="1" applyBorder="1" applyAlignment="1">
      <alignment horizontal="center" vertical="top" wrapText="1"/>
    </xf>
    <xf numFmtId="165" fontId="2" fillId="0" borderId="1" xfId="1" applyNumberFormat="1" applyFont="1" applyBorder="1" applyAlignment="1">
      <alignment horizontal="center" vertical="top" wrapText="1"/>
    </xf>
    <xf numFmtId="166" fontId="2" fillId="0" borderId="1" xfId="0" applyNumberFormat="1" applyFont="1" applyFill="1" applyBorder="1" applyAlignment="1">
      <alignment vertical="top" wrapText="1"/>
    </xf>
    <xf numFmtId="49" fontId="11" fillId="0" borderId="1" xfId="2" applyNumberFormat="1" applyFont="1" applyFill="1" applyBorder="1" applyAlignment="1" applyProtection="1">
      <alignment horizontal="left" vertical="center" wrapText="1"/>
      <protection hidden="1"/>
    </xf>
    <xf numFmtId="165" fontId="11" fillId="0" borderId="6" xfId="1" applyNumberFormat="1" applyFont="1" applyFill="1" applyBorder="1" applyAlignment="1">
      <alignment horizontal="center" vertical="top" wrapText="1"/>
    </xf>
    <xf numFmtId="165" fontId="11" fillId="0" borderId="1" xfId="1" applyNumberFormat="1" applyFont="1" applyBorder="1" applyAlignment="1">
      <alignment horizontal="center" vertical="top" wrapText="1"/>
    </xf>
    <xf numFmtId="166" fontId="11" fillId="0" borderId="1" xfId="0" applyNumberFormat="1" applyFont="1" applyFill="1" applyBorder="1" applyAlignment="1">
      <alignment vertical="top" wrapText="1"/>
    </xf>
    <xf numFmtId="165" fontId="7" fillId="3" borderId="1" xfId="1" applyNumberFormat="1" applyFont="1" applyFill="1" applyBorder="1" applyAlignment="1">
      <alignment horizontal="center" wrapText="1"/>
    </xf>
    <xf numFmtId="166" fontId="7" fillId="3" borderId="1" xfId="0" applyNumberFormat="1" applyFont="1" applyFill="1" applyBorder="1" applyAlignment="1">
      <alignment wrapText="1"/>
    </xf>
    <xf numFmtId="166" fontId="7" fillId="4" borderId="1" xfId="1" applyNumberFormat="1" applyFont="1" applyFill="1" applyBorder="1" applyAlignment="1">
      <alignment horizontal="right" vertical="top" wrapText="1"/>
    </xf>
    <xf numFmtId="166" fontId="7" fillId="4" borderId="5" xfId="0" applyNumberFormat="1" applyFont="1" applyFill="1" applyBorder="1" applyAlignment="1">
      <alignment horizontal="right" vertical="top" wrapText="1"/>
    </xf>
    <xf numFmtId="165" fontId="6" fillId="0" borderId="5" xfId="1" applyNumberFormat="1" applyFont="1" applyFill="1" applyBorder="1" applyAlignment="1">
      <alignment horizontal="right" vertical="top" wrapText="1"/>
    </xf>
    <xf numFmtId="0" fontId="2" fillId="0" borderId="1" xfId="0" applyNumberFormat="1" applyFont="1" applyBorder="1" applyAlignment="1">
      <alignment horizontal="left" vertical="center" wrapText="1"/>
    </xf>
    <xf numFmtId="167" fontId="2" fillId="0" borderId="1" xfId="0" applyNumberFormat="1" applyFont="1" applyBorder="1" applyAlignment="1">
      <alignment horizontal="right" vertical="top" wrapText="1"/>
    </xf>
    <xf numFmtId="166" fontId="2" fillId="0" borderId="1" xfId="0" applyNumberFormat="1" applyFont="1" applyBorder="1" applyAlignment="1">
      <alignment horizontal="right" vertical="top" wrapText="1"/>
    </xf>
    <xf numFmtId="165" fontId="2" fillId="0" borderId="5" xfId="1" applyNumberFormat="1" applyFont="1" applyFill="1" applyBorder="1" applyAlignment="1">
      <alignment horizontal="right" vertical="top" wrapText="1"/>
    </xf>
    <xf numFmtId="0" fontId="7" fillId="3" borderId="1" xfId="0" applyFont="1" applyFill="1" applyBorder="1" applyAlignment="1">
      <alignment horizontal="left" vertical="center" wrapText="1"/>
    </xf>
    <xf numFmtId="165" fontId="7" fillId="3" borderId="5" xfId="1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vertical="center" wrapText="1"/>
    </xf>
    <xf numFmtId="0" fontId="2" fillId="0" borderId="1" xfId="1" applyNumberFormat="1" applyFont="1" applyFill="1" applyBorder="1" applyAlignment="1">
      <alignment horizontal="right" vertical="top" wrapText="1"/>
    </xf>
    <xf numFmtId="0" fontId="2" fillId="0" borderId="1" xfId="1" applyNumberFormat="1" applyFont="1" applyBorder="1" applyAlignment="1">
      <alignment horizontal="right" vertical="top" wrapText="1"/>
    </xf>
    <xf numFmtId="0" fontId="11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166" fontId="11" fillId="0" borderId="5" xfId="1" applyNumberFormat="1" applyFont="1" applyFill="1" applyBorder="1" applyAlignment="1">
      <alignment horizontal="right" vertical="top" wrapText="1"/>
    </xf>
    <xf numFmtId="165" fontId="7" fillId="4" borderId="5" xfId="1" applyNumberFormat="1" applyFont="1" applyFill="1" applyBorder="1" applyAlignment="1">
      <alignment horizontal="right" vertical="top" wrapText="1"/>
    </xf>
    <xf numFmtId="49" fontId="11" fillId="0" borderId="1" xfId="0" applyNumberFormat="1" applyFont="1" applyFill="1" applyBorder="1" applyAlignment="1">
      <alignment horizontal="left" vertical="center" wrapText="1"/>
    </xf>
    <xf numFmtId="166" fontId="2" fillId="0" borderId="5" xfId="1" applyNumberFormat="1" applyFont="1" applyFill="1" applyBorder="1" applyAlignment="1">
      <alignment horizontal="right" vertical="top" wrapText="1"/>
    </xf>
    <xf numFmtId="0" fontId="7" fillId="4" borderId="1" xfId="0" applyFont="1" applyFill="1" applyBorder="1" applyAlignment="1">
      <alignment horizontal="left" vertical="center" wrapText="1"/>
    </xf>
    <xf numFmtId="165" fontId="7" fillId="4" borderId="5" xfId="1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167" fontId="2" fillId="0" borderId="1" xfId="1" applyNumberFormat="1" applyFont="1" applyBorder="1" applyAlignment="1">
      <alignment horizontal="right" vertical="top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66" fontId="7" fillId="4" borderId="5" xfId="1" applyNumberFormat="1" applyFont="1" applyFill="1" applyBorder="1" applyAlignment="1">
      <alignment horizontal="right" vertical="top" wrapText="1"/>
    </xf>
    <xf numFmtId="0" fontId="11" fillId="0" borderId="2" xfId="0" applyNumberFormat="1" applyFont="1" applyFill="1" applyBorder="1" applyAlignment="1">
      <alignment vertical="center" wrapText="1"/>
    </xf>
    <xf numFmtId="165" fontId="11" fillId="0" borderId="2" xfId="1" applyNumberFormat="1" applyFont="1" applyBorder="1" applyAlignment="1">
      <alignment horizontal="right" vertical="top" wrapText="1"/>
    </xf>
    <xf numFmtId="166" fontId="11" fillId="0" borderId="6" xfId="1" applyNumberFormat="1" applyFont="1" applyFill="1" applyBorder="1" applyAlignment="1">
      <alignment horizontal="right" vertical="top" wrapText="1"/>
    </xf>
    <xf numFmtId="166" fontId="11" fillId="0" borderId="2" xfId="1" applyNumberFormat="1" applyFont="1" applyBorder="1" applyAlignment="1">
      <alignment horizontal="right" vertical="top" wrapText="1"/>
    </xf>
    <xf numFmtId="166" fontId="11" fillId="0" borderId="2" xfId="1" applyNumberFormat="1" applyFont="1" applyFill="1" applyBorder="1" applyAlignment="1">
      <alignment horizontal="right" vertical="top" wrapText="1"/>
    </xf>
    <xf numFmtId="166" fontId="7" fillId="3" borderId="1" xfId="1" applyNumberFormat="1" applyFont="1" applyFill="1" applyBorder="1" applyAlignment="1">
      <alignment horizontal="center" wrapText="1"/>
    </xf>
    <xf numFmtId="49" fontId="2" fillId="0" borderId="7" xfId="0" applyNumberFormat="1" applyFont="1" applyFill="1" applyBorder="1" applyAlignment="1">
      <alignment vertical="center" wrapText="1"/>
    </xf>
    <xf numFmtId="168" fontId="2" fillId="0" borderId="1" xfId="1" applyNumberFormat="1" applyFont="1" applyFill="1" applyBorder="1" applyAlignment="1">
      <alignment horizontal="right" vertical="top"/>
    </xf>
    <xf numFmtId="168" fontId="2" fillId="0" borderId="5" xfId="1" applyNumberFormat="1" applyFont="1" applyFill="1" applyBorder="1" applyAlignment="1">
      <alignment horizontal="right" vertical="top" wrapText="1"/>
    </xf>
    <xf numFmtId="168" fontId="2" fillId="0" borderId="5" xfId="1" applyNumberFormat="1" applyFont="1" applyBorder="1" applyAlignment="1">
      <alignment horizontal="right" vertical="top" wrapText="1"/>
    </xf>
    <xf numFmtId="166" fontId="2" fillId="0" borderId="5" xfId="1" applyNumberFormat="1" applyFont="1" applyBorder="1" applyAlignment="1">
      <alignment horizontal="right" vertical="top" wrapText="1"/>
    </xf>
    <xf numFmtId="166" fontId="2" fillId="0" borderId="5" xfId="1" applyNumberFormat="1" applyFont="1" applyFill="1" applyBorder="1" applyAlignment="1" applyProtection="1">
      <alignment horizontal="right" vertical="top" wrapText="1"/>
      <protection hidden="1"/>
    </xf>
    <xf numFmtId="168" fontId="2" fillId="0" borderId="5" xfId="1" applyNumberFormat="1" applyFont="1" applyBorder="1" applyAlignment="1">
      <alignment horizontal="right" vertical="top"/>
    </xf>
    <xf numFmtId="166" fontId="2" fillId="0" borderId="5" xfId="1" applyNumberFormat="1" applyFont="1" applyBorder="1" applyAlignment="1">
      <alignment horizontal="right" vertical="top"/>
    </xf>
    <xf numFmtId="0" fontId="2" fillId="0" borderId="1" xfId="2" applyNumberFormat="1" applyFont="1" applyFill="1" applyBorder="1" applyAlignment="1" applyProtection="1">
      <alignment horizontal="left" vertical="center" wrapText="1"/>
      <protection hidden="1"/>
    </xf>
    <xf numFmtId="49" fontId="7" fillId="4" borderId="7" xfId="2" applyNumberFormat="1" applyFont="1" applyFill="1" applyBorder="1" applyAlignment="1" applyProtection="1">
      <alignment horizontal="left" vertical="center" wrapText="1"/>
      <protection hidden="1"/>
    </xf>
    <xf numFmtId="168" fontId="7" fillId="4" borderId="1" xfId="1" applyNumberFormat="1" applyFont="1" applyFill="1" applyBorder="1" applyAlignment="1">
      <alignment horizontal="right" vertical="top"/>
    </xf>
    <xf numFmtId="168" fontId="7" fillId="4" borderId="5" xfId="1" applyNumberFormat="1" applyFont="1" applyFill="1" applyBorder="1" applyAlignment="1">
      <alignment horizontal="right" vertical="top" wrapText="1"/>
    </xf>
    <xf numFmtId="168" fontId="6" fillId="0" borderId="1" xfId="1" applyNumberFormat="1" applyFont="1" applyBorder="1" applyAlignment="1">
      <alignment horizontal="right" vertical="top"/>
    </xf>
    <xf numFmtId="168" fontId="6" fillId="0" borderId="5" xfId="1" applyNumberFormat="1" applyFont="1" applyBorder="1" applyAlignment="1">
      <alignment horizontal="right" vertical="top" wrapText="1"/>
    </xf>
    <xf numFmtId="168" fontId="2" fillId="0" borderId="1" xfId="1" applyNumberFormat="1" applyFont="1" applyBorder="1" applyAlignment="1">
      <alignment horizontal="right" vertical="top" wrapText="1"/>
    </xf>
    <xf numFmtId="168" fontId="2" fillId="0" borderId="1" xfId="1" applyNumberFormat="1" applyFont="1" applyFill="1" applyBorder="1" applyAlignment="1" applyProtection="1">
      <alignment horizontal="right" vertical="top" wrapText="1"/>
      <protection hidden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left" wrapText="1"/>
    </xf>
    <xf numFmtId="0" fontId="7" fillId="4" borderId="1" xfId="0" applyNumberFormat="1" applyFont="1" applyFill="1" applyBorder="1" applyAlignment="1">
      <alignment horizontal="left" vertical="center" wrapText="1"/>
    </xf>
    <xf numFmtId="166" fontId="6" fillId="0" borderId="5" xfId="1" applyNumberFormat="1" applyFont="1" applyFill="1" applyBorder="1" applyAlignment="1">
      <alignment horizontal="right" vertical="top" wrapText="1"/>
    </xf>
    <xf numFmtId="165" fontId="2" fillId="0" borderId="5" xfId="1" applyNumberFormat="1" applyFont="1" applyBorder="1" applyAlignment="1">
      <alignment horizontal="right" vertical="top" wrapText="1"/>
    </xf>
    <xf numFmtId="0" fontId="11" fillId="0" borderId="1" xfId="0" applyNumberFormat="1" applyFont="1" applyFill="1" applyBorder="1" applyAlignment="1">
      <alignment horizontal="left" vertical="center" wrapText="1"/>
    </xf>
    <xf numFmtId="166" fontId="11" fillId="0" borderId="5" xfId="1" applyNumberFormat="1" applyFont="1" applyBorder="1" applyAlignment="1">
      <alignment horizontal="right" vertical="top" wrapText="1"/>
    </xf>
    <xf numFmtId="165" fontId="11" fillId="0" borderId="5" xfId="1" applyNumberFormat="1" applyFont="1" applyBorder="1" applyAlignment="1">
      <alignment horizontal="right" vertical="top" wrapText="1"/>
    </xf>
    <xf numFmtId="165" fontId="7" fillId="4" borderId="5" xfId="1" applyNumberFormat="1" applyFont="1" applyFill="1" applyBorder="1" applyAlignment="1">
      <alignment horizontal="center" vertical="top" wrapText="1"/>
    </xf>
    <xf numFmtId="165" fontId="7" fillId="3" borderId="1" xfId="1" applyNumberFormat="1" applyFont="1" applyFill="1" applyBorder="1" applyAlignment="1">
      <alignment horizontal="center" wrapText="1"/>
    </xf>
    <xf numFmtId="167" fontId="7" fillId="4" borderId="1" xfId="0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center" vertical="top" wrapText="1"/>
    </xf>
    <xf numFmtId="165" fontId="7" fillId="0" borderId="0" xfId="1" applyNumberFormat="1" applyFont="1" applyFill="1" applyBorder="1" applyAlignment="1">
      <alignment horizontal="right" vertical="top" wrapText="1"/>
    </xf>
    <xf numFmtId="165" fontId="7" fillId="0" borderId="0" xfId="1" applyNumberFormat="1" applyFont="1" applyFill="1" applyBorder="1" applyAlignment="1">
      <alignment horizontal="right" wrapText="1"/>
    </xf>
    <xf numFmtId="167" fontId="6" fillId="0" borderId="1" xfId="0" applyNumberFormat="1" applyFont="1" applyFill="1" applyBorder="1" applyAlignment="1">
      <alignment horizontal="right" vertical="top" wrapText="1"/>
    </xf>
    <xf numFmtId="168" fontId="11" fillId="0" borderId="5" xfId="1" applyNumberFormat="1" applyFont="1" applyFill="1" applyBorder="1" applyAlignment="1">
      <alignment horizontal="center" vertical="top"/>
    </xf>
    <xf numFmtId="49" fontId="2" fillId="0" borderId="7" xfId="0" applyNumberFormat="1" applyFont="1" applyBorder="1" applyAlignment="1">
      <alignment vertical="center" wrapText="1"/>
    </xf>
    <xf numFmtId="168" fontId="2" fillId="0" borderId="1" xfId="1" applyNumberFormat="1" applyFont="1" applyFill="1" applyBorder="1" applyAlignment="1">
      <alignment horizontal="center" vertical="top"/>
    </xf>
    <xf numFmtId="49" fontId="7" fillId="4" borderId="7" xfId="0" applyNumberFormat="1" applyFont="1" applyFill="1" applyBorder="1" applyAlignment="1">
      <alignment vertical="center" wrapText="1"/>
    </xf>
    <xf numFmtId="168" fontId="6" fillId="0" borderId="1" xfId="1" applyNumberFormat="1" applyFont="1" applyFill="1" applyBorder="1" applyAlignment="1">
      <alignment horizontal="right" vertical="top"/>
    </xf>
    <xf numFmtId="168" fontId="6" fillId="0" borderId="5" xfId="1" applyNumberFormat="1" applyFont="1" applyFill="1" applyBorder="1" applyAlignment="1">
      <alignment horizontal="right" vertical="top" wrapText="1"/>
    </xf>
    <xf numFmtId="49" fontId="11" fillId="0" borderId="7" xfId="2" applyNumberFormat="1" applyFont="1" applyFill="1" applyBorder="1" applyAlignment="1" applyProtection="1">
      <alignment horizontal="left" vertical="center" wrapText="1"/>
      <protection hidden="1"/>
    </xf>
    <xf numFmtId="168" fontId="11" fillId="0" borderId="1" xfId="1" applyNumberFormat="1" applyFont="1" applyFill="1" applyBorder="1" applyAlignment="1">
      <alignment horizontal="right" vertical="top"/>
    </xf>
    <xf numFmtId="168" fontId="11" fillId="0" borderId="1" xfId="1" applyNumberFormat="1" applyFont="1" applyFill="1" applyBorder="1" applyAlignment="1" applyProtection="1">
      <alignment horizontal="right" vertical="top" wrapText="1"/>
      <protection hidden="1"/>
    </xf>
    <xf numFmtId="168" fontId="11" fillId="0" borderId="5" xfId="1" applyNumberFormat="1" applyFont="1" applyBorder="1" applyAlignment="1">
      <alignment horizontal="right" vertical="top" wrapText="1"/>
    </xf>
    <xf numFmtId="0" fontId="11" fillId="0" borderId="7" xfId="2" applyNumberFormat="1" applyFont="1" applyFill="1" applyBorder="1" applyAlignment="1" applyProtection="1">
      <alignment horizontal="left" vertical="center" wrapText="1"/>
      <protection hidden="1"/>
    </xf>
    <xf numFmtId="166" fontId="11" fillId="0" borderId="1" xfId="1" applyNumberFormat="1" applyFont="1" applyFill="1" applyBorder="1" applyAlignment="1">
      <alignment horizontal="right" vertical="top"/>
    </xf>
    <xf numFmtId="166" fontId="11" fillId="0" borderId="1" xfId="1" applyNumberFormat="1" applyFont="1" applyFill="1" applyBorder="1" applyAlignment="1" applyProtection="1">
      <alignment horizontal="right" vertical="top" wrapText="1"/>
      <protection hidden="1"/>
    </xf>
    <xf numFmtId="49" fontId="2" fillId="0" borderId="1" xfId="2" applyNumberFormat="1" applyFont="1" applyFill="1" applyBorder="1" applyAlignment="1" applyProtection="1">
      <alignment horizontal="left" vertical="center" wrapText="1"/>
      <protection hidden="1"/>
    </xf>
    <xf numFmtId="168" fontId="2" fillId="0" borderId="1" xfId="1" applyNumberFormat="1" applyFont="1" applyFill="1" applyBorder="1" applyAlignment="1">
      <alignment horizontal="right" vertical="top" wrapText="1"/>
    </xf>
    <xf numFmtId="166" fontId="2" fillId="0" borderId="1" xfId="1" applyNumberFormat="1" applyFont="1" applyFill="1" applyBorder="1" applyAlignment="1" applyProtection="1">
      <alignment horizontal="right" vertical="top" wrapText="1"/>
      <protection hidden="1"/>
    </xf>
    <xf numFmtId="49" fontId="7" fillId="4" borderId="1" xfId="2" applyNumberFormat="1" applyFont="1" applyFill="1" applyBorder="1" applyAlignment="1" applyProtection="1">
      <alignment horizontal="left" vertical="center" wrapText="1"/>
      <protection hidden="1"/>
    </xf>
    <xf numFmtId="173" fontId="2" fillId="0" borderId="1" xfId="1" applyNumberFormat="1" applyFont="1" applyBorder="1" applyAlignment="1">
      <alignment horizontal="right" vertical="top" wrapText="1"/>
    </xf>
    <xf numFmtId="171" fontId="2" fillId="0" borderId="1" xfId="1" applyNumberFormat="1" applyFont="1" applyBorder="1" applyAlignment="1">
      <alignment horizontal="right" vertical="top" wrapText="1"/>
    </xf>
    <xf numFmtId="168" fontId="11" fillId="0" borderId="5" xfId="1" applyNumberFormat="1" applyFont="1" applyFill="1" applyBorder="1" applyAlignment="1">
      <alignment horizontal="right" vertical="top"/>
    </xf>
    <xf numFmtId="166" fontId="11" fillId="0" borderId="5" xfId="1" applyNumberFormat="1" applyFont="1" applyFill="1" applyBorder="1" applyAlignment="1">
      <alignment horizontal="right" vertical="top"/>
    </xf>
    <xf numFmtId="166" fontId="7" fillId="3" borderId="3" xfId="0" applyNumberFormat="1" applyFont="1" applyFill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7" xfId="1" applyNumberFormat="1" applyFont="1" applyBorder="1" applyAlignment="1">
      <alignment horizontal="left" vertical="top" wrapText="1"/>
    </xf>
    <xf numFmtId="0" fontId="2" fillId="0" borderId="8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165" fontId="7" fillId="3" borderId="1" xfId="1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165" fontId="2" fillId="2" borderId="5" xfId="1" applyNumberFormat="1" applyFont="1" applyFill="1" applyBorder="1" applyAlignment="1">
      <alignment horizontal="right" vertical="top" wrapText="1"/>
    </xf>
    <xf numFmtId="165" fontId="2" fillId="2" borderId="1" xfId="1" applyNumberFormat="1" applyFont="1" applyFill="1" applyBorder="1" applyAlignment="1">
      <alignment horizontal="right" vertical="top" wrapText="1"/>
    </xf>
    <xf numFmtId="165" fontId="2" fillId="0" borderId="5" xfId="1" applyNumberFormat="1" applyFont="1" applyFill="1" applyBorder="1" applyAlignment="1">
      <alignment horizontal="center" vertical="top" wrapText="1"/>
    </xf>
    <xf numFmtId="173" fontId="7" fillId="4" borderId="5" xfId="1" applyNumberFormat="1" applyFont="1" applyFill="1" applyBorder="1" applyAlignment="1">
      <alignment horizontal="right" vertical="top" wrapText="1"/>
    </xf>
    <xf numFmtId="49" fontId="2" fillId="0" borderId="7" xfId="2" applyNumberFormat="1" applyFont="1" applyFill="1" applyBorder="1" applyAlignment="1" applyProtection="1">
      <alignment horizontal="left" vertical="center" wrapText="1"/>
      <protection hidden="1"/>
    </xf>
    <xf numFmtId="166" fontId="2" fillId="0" borderId="1" xfId="1" applyNumberFormat="1" applyFont="1" applyFill="1" applyBorder="1" applyAlignment="1">
      <alignment horizontal="right" vertical="top"/>
    </xf>
    <xf numFmtId="0" fontId="2" fillId="0" borderId="7" xfId="2" applyNumberFormat="1" applyFont="1" applyFill="1" applyBorder="1" applyAlignment="1" applyProtection="1">
      <alignment horizontal="left" vertical="center" wrapText="1"/>
      <protection hidden="1"/>
    </xf>
    <xf numFmtId="168" fontId="2" fillId="0" borderId="5" xfId="1" applyNumberFormat="1" applyFont="1" applyFill="1" applyBorder="1" applyAlignment="1">
      <alignment horizontal="right" vertical="top"/>
    </xf>
    <xf numFmtId="168" fontId="2" fillId="0" borderId="5" xfId="1" applyNumberFormat="1" applyFont="1" applyFill="1" applyBorder="1" applyAlignment="1" applyProtection="1">
      <alignment horizontal="right" vertical="top" wrapText="1"/>
      <protection hidden="1"/>
    </xf>
    <xf numFmtId="0" fontId="2" fillId="2" borderId="1" xfId="0" applyNumberFormat="1" applyFont="1" applyFill="1" applyBorder="1" applyAlignment="1">
      <alignment wrapText="1"/>
    </xf>
    <xf numFmtId="173" fontId="2" fillId="0" borderId="5" xfId="1" applyNumberFormat="1" applyFont="1" applyFill="1" applyBorder="1" applyAlignment="1">
      <alignment horizontal="right" vertical="top"/>
    </xf>
    <xf numFmtId="173" fontId="2" fillId="0" borderId="5" xfId="1" applyNumberFormat="1" applyFont="1" applyFill="1" applyBorder="1" applyAlignment="1" applyProtection="1">
      <alignment horizontal="right" vertical="top" wrapText="1"/>
      <protection hidden="1"/>
    </xf>
    <xf numFmtId="173" fontId="2" fillId="0" borderId="1" xfId="1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wrapText="1"/>
    </xf>
    <xf numFmtId="0" fontId="6" fillId="0" borderId="7" xfId="2" applyNumberFormat="1" applyFont="1" applyFill="1" applyBorder="1" applyAlignment="1" applyProtection="1">
      <alignment horizontal="left" vertical="center" wrapText="1"/>
      <protection hidden="1"/>
    </xf>
    <xf numFmtId="0" fontId="6" fillId="0" borderId="1" xfId="2" applyNumberFormat="1" applyFont="1" applyFill="1" applyBorder="1" applyAlignment="1" applyProtection="1">
      <alignment horizontal="left" vertical="center" wrapText="1"/>
      <protection hidden="1"/>
    </xf>
    <xf numFmtId="168" fontId="6" fillId="0" borderId="1" xfId="1" applyNumberFormat="1" applyFont="1" applyFill="1" applyBorder="1" applyAlignment="1">
      <alignment horizontal="right" vertical="top" wrapText="1"/>
    </xf>
    <xf numFmtId="0" fontId="11" fillId="0" borderId="1" xfId="2" applyNumberFormat="1" applyFont="1" applyFill="1" applyBorder="1" applyAlignment="1" applyProtection="1">
      <alignment horizontal="left" vertical="center" wrapText="1"/>
      <protection hidden="1"/>
    </xf>
    <xf numFmtId="168" fontId="11" fillId="0" borderId="5" xfId="1" applyNumberFormat="1" applyFont="1" applyFill="1" applyBorder="1" applyAlignment="1" applyProtection="1">
      <alignment horizontal="right" vertical="top" wrapText="1"/>
      <protection hidden="1"/>
    </xf>
    <xf numFmtId="168" fontId="11" fillId="0" borderId="1" xfId="1" applyNumberFormat="1" applyFont="1" applyFill="1" applyBorder="1" applyAlignment="1">
      <alignment horizontal="right" vertical="top" wrapText="1"/>
    </xf>
    <xf numFmtId="168" fontId="6" fillId="0" borderId="5" xfId="1" applyNumberFormat="1" applyFont="1" applyFill="1" applyBorder="1" applyAlignment="1">
      <alignment horizontal="right" vertical="top"/>
    </xf>
    <xf numFmtId="168" fontId="6" fillId="0" borderId="5" xfId="1" applyNumberFormat="1" applyFont="1" applyFill="1" applyBorder="1" applyAlignment="1" applyProtection="1">
      <alignment horizontal="right" vertical="top" wrapText="1"/>
      <protection hidden="1"/>
    </xf>
    <xf numFmtId="166" fontId="6" fillId="0" borderId="5" xfId="1" applyNumberFormat="1" applyFont="1" applyFill="1" applyBorder="1" applyAlignment="1">
      <alignment horizontal="right" vertical="top"/>
    </xf>
    <xf numFmtId="166" fontId="6" fillId="0" borderId="5" xfId="1" applyNumberFormat="1" applyFont="1" applyFill="1" applyBorder="1" applyAlignment="1" applyProtection="1">
      <alignment horizontal="right" vertical="top" wrapText="1"/>
      <protection hidden="1"/>
    </xf>
    <xf numFmtId="166" fontId="2" fillId="0" borderId="5" xfId="1" applyNumberFormat="1" applyFont="1" applyFill="1" applyBorder="1" applyAlignment="1">
      <alignment horizontal="right" vertical="top"/>
    </xf>
    <xf numFmtId="166" fontId="11" fillId="0" borderId="5" xfId="1" applyNumberFormat="1" applyFont="1" applyFill="1" applyBorder="1" applyAlignment="1" applyProtection="1">
      <alignment horizontal="right" vertical="top" wrapText="1"/>
      <protection hidden="1"/>
    </xf>
    <xf numFmtId="0" fontId="39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horizontal="center"/>
    </xf>
    <xf numFmtId="167" fontId="6" fillId="0" borderId="0" xfId="0" applyNumberFormat="1" applyFont="1" applyFill="1"/>
    <xf numFmtId="167" fontId="3" fillId="0" borderId="0" xfId="0" applyNumberFormat="1" applyFont="1" applyFill="1" applyAlignment="1">
      <alignment horizontal="right"/>
    </xf>
    <xf numFmtId="165" fontId="3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171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11" fillId="0" borderId="7" xfId="1" applyNumberFormat="1" applyFont="1" applyBorder="1" applyAlignment="1">
      <alignment horizontal="left" vertical="top" wrapText="1"/>
    </xf>
    <xf numFmtId="165" fontId="11" fillId="0" borderId="8" xfId="1" applyNumberFormat="1" applyFont="1" applyBorder="1" applyAlignment="1">
      <alignment horizontal="left" vertical="top" wrapText="1"/>
    </xf>
    <xf numFmtId="165" fontId="11" fillId="0" borderId="5" xfId="1" applyNumberFormat="1" applyFont="1" applyBorder="1" applyAlignment="1">
      <alignment horizontal="left" vertical="top" wrapText="1"/>
    </xf>
    <xf numFmtId="165" fontId="7" fillId="3" borderId="7" xfId="1" applyNumberFormat="1" applyFont="1" applyFill="1" applyBorder="1" applyAlignment="1">
      <alignment horizontal="center" wrapText="1"/>
    </xf>
    <xf numFmtId="165" fontId="7" fillId="3" borderId="8" xfId="1" applyNumberFormat="1" applyFont="1" applyFill="1" applyBorder="1" applyAlignment="1">
      <alignment horizontal="center" wrapText="1"/>
    </xf>
    <xf numFmtId="165" fontId="7" fillId="3" borderId="5" xfId="1" applyNumberFormat="1" applyFont="1" applyFill="1" applyBorder="1" applyAlignment="1">
      <alignment horizontal="center" wrapText="1"/>
    </xf>
    <xf numFmtId="165" fontId="7" fillId="4" borderId="7" xfId="1" applyNumberFormat="1" applyFont="1" applyFill="1" applyBorder="1" applyAlignment="1">
      <alignment horizontal="left" vertical="top" wrapText="1"/>
    </xf>
    <xf numFmtId="165" fontId="7" fillId="4" borderId="8" xfId="1" applyNumberFormat="1" applyFont="1" applyFill="1" applyBorder="1" applyAlignment="1">
      <alignment horizontal="left" vertical="top" wrapText="1"/>
    </xf>
    <xf numFmtId="165" fontId="7" fillId="4" borderId="5" xfId="1" applyNumberFormat="1" applyFont="1" applyFill="1" applyBorder="1" applyAlignment="1">
      <alignment horizontal="left" vertical="top" wrapText="1"/>
    </xf>
    <xf numFmtId="165" fontId="6" fillId="0" borderId="7" xfId="1" applyNumberFormat="1" applyFont="1" applyBorder="1" applyAlignment="1">
      <alignment horizontal="left" vertical="top" wrapText="1"/>
    </xf>
    <xf numFmtId="165" fontId="6" fillId="0" borderId="8" xfId="1" applyNumberFormat="1" applyFont="1" applyBorder="1" applyAlignment="1">
      <alignment horizontal="left" vertical="top" wrapText="1"/>
    </xf>
    <xf numFmtId="165" fontId="6" fillId="0" borderId="5" xfId="1" applyNumberFormat="1" applyFont="1" applyBorder="1" applyAlignment="1">
      <alignment horizontal="left" vertical="top" wrapText="1"/>
    </xf>
    <xf numFmtId="165" fontId="2" fillId="0" borderId="7" xfId="1" applyNumberFormat="1" applyFont="1" applyBorder="1" applyAlignment="1">
      <alignment horizontal="left" vertical="top" wrapText="1"/>
    </xf>
    <xf numFmtId="165" fontId="2" fillId="0" borderId="8" xfId="1" applyNumberFormat="1" applyFont="1" applyBorder="1" applyAlignment="1">
      <alignment horizontal="left" vertical="top" wrapText="1"/>
    </xf>
    <xf numFmtId="165" fontId="2" fillId="0" borderId="5" xfId="1" applyNumberFormat="1" applyFont="1" applyBorder="1" applyAlignment="1">
      <alignment horizontal="left" vertical="top" wrapText="1"/>
    </xf>
    <xf numFmtId="165" fontId="22" fillId="0" borderId="7" xfId="1" applyNumberFormat="1" applyFont="1" applyFill="1" applyBorder="1" applyAlignment="1">
      <alignment horizontal="left" vertical="top" wrapText="1"/>
    </xf>
    <xf numFmtId="165" fontId="22" fillId="0" borderId="8" xfId="1" applyNumberFormat="1" applyFont="1" applyFill="1" applyBorder="1" applyAlignment="1">
      <alignment horizontal="left" vertical="top" wrapText="1"/>
    </xf>
    <xf numFmtId="165" fontId="22" fillId="0" borderId="5" xfId="1" applyNumberFormat="1" applyFont="1" applyFill="1" applyBorder="1" applyAlignment="1">
      <alignment horizontal="left" vertical="top" wrapText="1"/>
    </xf>
    <xf numFmtId="165" fontId="2" fillId="0" borderId="9" xfId="1" applyNumberFormat="1" applyFont="1" applyBorder="1" applyAlignment="1">
      <alignment horizontal="left" vertical="center" wrapText="1"/>
    </xf>
    <xf numFmtId="165" fontId="2" fillId="0" borderId="10" xfId="1" applyNumberFormat="1" applyFont="1" applyBorder="1" applyAlignment="1">
      <alignment horizontal="left" vertical="center" wrapText="1"/>
    </xf>
    <xf numFmtId="165" fontId="2" fillId="0" borderId="6" xfId="1" applyNumberFormat="1" applyFont="1" applyBorder="1" applyAlignment="1">
      <alignment horizontal="left" vertical="center" wrapText="1"/>
    </xf>
    <xf numFmtId="165" fontId="2" fillId="0" borderId="11" xfId="1" applyNumberFormat="1" applyFont="1" applyBorder="1" applyAlignment="1">
      <alignment horizontal="left" vertical="center" wrapText="1"/>
    </xf>
    <xf numFmtId="165" fontId="2" fillId="0" borderId="4" xfId="1" applyNumberFormat="1" applyFont="1" applyBorder="1" applyAlignment="1">
      <alignment horizontal="left" vertical="center" wrapText="1"/>
    </xf>
    <xf numFmtId="165" fontId="2" fillId="0" borderId="12" xfId="1" applyNumberFormat="1" applyFont="1" applyBorder="1" applyAlignment="1">
      <alignment horizontal="left" vertical="center" wrapText="1"/>
    </xf>
    <xf numFmtId="165" fontId="7" fillId="3" borderId="1" xfId="1" applyNumberFormat="1" applyFont="1" applyFill="1" applyBorder="1" applyAlignment="1">
      <alignment horizontal="center" wrapText="1"/>
    </xf>
    <xf numFmtId="0" fontId="3" fillId="0" borderId="0" xfId="0" applyFont="1" applyAlignment="1">
      <alignment horizontal="justify" wrapText="1"/>
    </xf>
    <xf numFmtId="165" fontId="6" fillId="0" borderId="7" xfId="1" applyNumberFormat="1" applyFont="1" applyBorder="1" applyAlignment="1">
      <alignment horizontal="center" vertical="top" wrapText="1"/>
    </xf>
    <xf numFmtId="165" fontId="6" fillId="0" borderId="8" xfId="1" applyNumberFormat="1" applyFont="1" applyBorder="1" applyAlignment="1">
      <alignment horizontal="center" vertical="top" wrapText="1"/>
    </xf>
    <xf numFmtId="165" fontId="6" fillId="0" borderId="5" xfId="1" applyNumberFormat="1" applyFont="1" applyBorder="1" applyAlignment="1">
      <alignment horizontal="center" vertical="top" wrapText="1"/>
    </xf>
    <xf numFmtId="165" fontId="2" fillId="0" borderId="7" xfId="1" applyNumberFormat="1" applyFont="1" applyFill="1" applyBorder="1" applyAlignment="1">
      <alignment horizontal="left" vertical="top" wrapText="1"/>
    </xf>
    <xf numFmtId="165" fontId="2" fillId="0" borderId="8" xfId="1" applyNumberFormat="1" applyFont="1" applyFill="1" applyBorder="1" applyAlignment="1">
      <alignment horizontal="left" vertical="top" wrapText="1"/>
    </xf>
    <xf numFmtId="165" fontId="2" fillId="0" borderId="5" xfId="1" applyNumberFormat="1" applyFont="1" applyFill="1" applyBorder="1" applyAlignment="1">
      <alignment horizontal="left" vertical="top" wrapText="1"/>
    </xf>
    <xf numFmtId="165" fontId="7" fillId="4" borderId="7" xfId="1" applyNumberFormat="1" applyFont="1" applyFill="1" applyBorder="1" applyAlignment="1">
      <alignment horizontal="center" vertical="top" wrapText="1"/>
    </xf>
    <xf numFmtId="165" fontId="7" fillId="4" borderId="8" xfId="1" applyNumberFormat="1" applyFont="1" applyFill="1" applyBorder="1" applyAlignment="1">
      <alignment horizontal="center" vertical="top" wrapText="1"/>
    </xf>
    <xf numFmtId="165" fontId="7" fillId="4" borderId="5" xfId="1" applyNumberFormat="1" applyFont="1" applyFill="1" applyBorder="1" applyAlignment="1">
      <alignment horizontal="center" vertical="top" wrapText="1"/>
    </xf>
    <xf numFmtId="165" fontId="2" fillId="0" borderId="7" xfId="1" applyNumberFormat="1" applyFont="1" applyBorder="1" applyAlignment="1">
      <alignment horizontal="center" vertical="top" wrapText="1"/>
    </xf>
    <xf numFmtId="165" fontId="2" fillId="0" borderId="8" xfId="1" applyNumberFormat="1" applyFont="1" applyBorder="1" applyAlignment="1">
      <alignment horizontal="center" vertical="top" wrapText="1"/>
    </xf>
    <xf numFmtId="165" fontId="2" fillId="0" borderId="5" xfId="1" applyNumberFormat="1" applyFont="1" applyBorder="1" applyAlignment="1">
      <alignment horizontal="center" vertical="top" wrapText="1"/>
    </xf>
    <xf numFmtId="0" fontId="2" fillId="0" borderId="7" xfId="1" applyNumberFormat="1" applyFont="1" applyBorder="1" applyAlignment="1">
      <alignment horizontal="left" vertical="top" wrapText="1"/>
    </xf>
    <xf numFmtId="0" fontId="2" fillId="0" borderId="8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0" fontId="2" fillId="0" borderId="7" xfId="1" applyNumberFormat="1" applyFont="1" applyFill="1" applyBorder="1" applyAlignment="1">
      <alignment horizontal="left" vertical="top" wrapText="1"/>
    </xf>
    <xf numFmtId="0" fontId="2" fillId="0" borderId="8" xfId="1" applyNumberFormat="1" applyFont="1" applyFill="1" applyBorder="1" applyAlignment="1">
      <alignment horizontal="left" vertical="top" wrapText="1"/>
    </xf>
    <xf numFmtId="0" fontId="2" fillId="0" borderId="5" xfId="1" applyNumberFormat="1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right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5" fontId="22" fillId="0" borderId="7" xfId="1" applyNumberFormat="1" applyFont="1" applyBorder="1" applyAlignment="1">
      <alignment horizontal="left" vertical="top" wrapText="1"/>
    </xf>
    <xf numFmtId="165" fontId="22" fillId="0" borderId="8" xfId="1" applyNumberFormat="1" applyFont="1" applyBorder="1" applyAlignment="1">
      <alignment horizontal="left" vertical="top" wrapText="1"/>
    </xf>
    <xf numFmtId="165" fontId="22" fillId="0" borderId="5" xfId="1" applyNumberFormat="1" applyFont="1" applyBorder="1" applyAlignment="1">
      <alignment horizontal="left" vertical="top" wrapText="1"/>
    </xf>
    <xf numFmtId="165" fontId="20" fillId="0" borderId="7" xfId="1" applyNumberFormat="1" applyFont="1" applyBorder="1" applyAlignment="1">
      <alignment horizontal="left" vertical="top" wrapText="1"/>
    </xf>
    <xf numFmtId="0" fontId="20" fillId="0" borderId="8" xfId="0" applyFont="1" applyBorder="1"/>
    <xf numFmtId="0" fontId="20" fillId="0" borderId="5" xfId="0" applyFont="1" applyBorder="1"/>
    <xf numFmtId="165" fontId="23" fillId="4" borderId="7" xfId="1" applyNumberFormat="1" applyFont="1" applyFill="1" applyBorder="1" applyAlignment="1">
      <alignment horizontal="left" vertical="top" wrapText="1"/>
    </xf>
    <xf numFmtId="165" fontId="23" fillId="4" borderId="8" xfId="1" applyNumberFormat="1" applyFont="1" applyFill="1" applyBorder="1" applyAlignment="1">
      <alignment horizontal="left" vertical="top" wrapText="1"/>
    </xf>
    <xf numFmtId="165" fontId="23" fillId="4" borderId="5" xfId="1" applyNumberFormat="1" applyFont="1" applyFill="1" applyBorder="1" applyAlignment="1">
      <alignment horizontal="left" vertical="top" wrapText="1"/>
    </xf>
    <xf numFmtId="165" fontId="2" fillId="4" borderId="7" xfId="1" applyNumberFormat="1" applyFont="1" applyFill="1" applyBorder="1" applyAlignment="1">
      <alignment horizontal="left" vertical="top" wrapText="1"/>
    </xf>
    <xf numFmtId="165" fontId="2" fillId="4" borderId="8" xfId="1" applyNumberFormat="1" applyFont="1" applyFill="1" applyBorder="1" applyAlignment="1">
      <alignment horizontal="left" vertical="top" wrapText="1"/>
    </xf>
    <xf numFmtId="165" fontId="2" fillId="4" borderId="5" xfId="1" applyNumberFormat="1" applyFont="1" applyFill="1" applyBorder="1" applyAlignment="1">
      <alignment horizontal="left" vertical="top" wrapText="1"/>
    </xf>
    <xf numFmtId="0" fontId="7" fillId="4" borderId="7" xfId="1" applyNumberFormat="1" applyFont="1" applyFill="1" applyBorder="1" applyAlignment="1">
      <alignment horizontal="left" vertical="top" wrapText="1"/>
    </xf>
    <xf numFmtId="0" fontId="7" fillId="4" borderId="8" xfId="1" applyNumberFormat="1" applyFont="1" applyFill="1" applyBorder="1" applyAlignment="1">
      <alignment horizontal="left" vertical="top" wrapText="1"/>
    </xf>
    <xf numFmtId="0" fontId="7" fillId="4" borderId="5" xfId="1" applyNumberFormat="1" applyFont="1" applyFill="1" applyBorder="1" applyAlignment="1">
      <alignment horizontal="left" vertical="top" wrapText="1"/>
    </xf>
    <xf numFmtId="165" fontId="14" fillId="4" borderId="7" xfId="1" applyNumberFormat="1" applyFont="1" applyFill="1" applyBorder="1" applyAlignment="1">
      <alignment horizontal="left" vertical="top" wrapText="1"/>
    </xf>
    <xf numFmtId="165" fontId="14" fillId="4" borderId="8" xfId="1" applyNumberFormat="1" applyFont="1" applyFill="1" applyBorder="1" applyAlignment="1">
      <alignment horizontal="left" vertical="top" wrapText="1"/>
    </xf>
    <xf numFmtId="165" fontId="14" fillId="4" borderId="5" xfId="1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165" fontId="24" fillId="4" borderId="7" xfId="1" applyNumberFormat="1" applyFont="1" applyFill="1" applyBorder="1" applyAlignment="1">
      <alignment horizontal="left" vertical="top" wrapText="1"/>
    </xf>
    <xf numFmtId="165" fontId="24" fillId="4" borderId="8" xfId="1" applyNumberFormat="1" applyFont="1" applyFill="1" applyBorder="1" applyAlignment="1">
      <alignment horizontal="left" vertical="top" wrapText="1"/>
    </xf>
    <xf numFmtId="165" fontId="24" fillId="4" borderId="5" xfId="1" applyNumberFormat="1" applyFont="1" applyFill="1" applyBorder="1" applyAlignment="1">
      <alignment horizontal="left" vertical="top" wrapText="1"/>
    </xf>
    <xf numFmtId="0" fontId="28" fillId="0" borderId="7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right" wrapText="1"/>
    </xf>
    <xf numFmtId="165" fontId="32" fillId="3" borderId="7" xfId="1" applyNumberFormat="1" applyFont="1" applyFill="1" applyBorder="1" applyAlignment="1">
      <alignment horizontal="center" vertical="top" wrapText="1"/>
    </xf>
    <xf numFmtId="165" fontId="32" fillId="3" borderId="8" xfId="1" applyNumberFormat="1" applyFont="1" applyFill="1" applyBorder="1" applyAlignment="1">
      <alignment horizontal="center" vertical="top" wrapText="1"/>
    </xf>
    <xf numFmtId="165" fontId="32" fillId="3" borderId="5" xfId="1" applyNumberFormat="1" applyFont="1" applyFill="1" applyBorder="1" applyAlignment="1">
      <alignment horizontal="center" vertical="top" wrapText="1"/>
    </xf>
    <xf numFmtId="0" fontId="33" fillId="4" borderId="7" xfId="1" applyNumberFormat="1" applyFont="1" applyFill="1" applyBorder="1" applyAlignment="1">
      <alignment horizontal="left" vertical="top" wrapText="1"/>
    </xf>
    <xf numFmtId="0" fontId="33" fillId="4" borderId="8" xfId="1" applyNumberFormat="1" applyFont="1" applyFill="1" applyBorder="1" applyAlignment="1">
      <alignment horizontal="left" vertical="top" wrapText="1"/>
    </xf>
    <xf numFmtId="0" fontId="33" fillId="4" borderId="5" xfId="1" applyNumberFormat="1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justify" wrapText="1"/>
    </xf>
    <xf numFmtId="0" fontId="3" fillId="0" borderId="0" xfId="0" applyFont="1" applyFill="1" applyAlignment="1">
      <alignment horizontal="justify" wrapText="1"/>
    </xf>
    <xf numFmtId="0" fontId="6" fillId="0" borderId="7" xfId="1" applyNumberFormat="1" applyFont="1" applyFill="1" applyBorder="1" applyAlignment="1">
      <alignment horizontal="left" vertical="top" wrapText="1"/>
    </xf>
    <xf numFmtId="0" fontId="6" fillId="0" borderId="8" xfId="1" applyNumberFormat="1" applyFont="1" applyFill="1" applyBorder="1" applyAlignment="1">
      <alignment horizontal="left" vertical="top" wrapText="1"/>
    </xf>
    <xf numFmtId="0" fontId="6" fillId="0" borderId="5" xfId="1" applyNumberFormat="1" applyFont="1" applyFill="1" applyBorder="1" applyAlignment="1">
      <alignment horizontal="left" vertical="top" wrapText="1"/>
    </xf>
    <xf numFmtId="0" fontId="6" fillId="0" borderId="7" xfId="1" applyNumberFormat="1" applyFont="1" applyBorder="1" applyAlignment="1">
      <alignment horizontal="center" vertical="top" wrapText="1"/>
    </xf>
    <xf numFmtId="0" fontId="6" fillId="0" borderId="8" xfId="1" applyNumberFormat="1" applyFont="1" applyBorder="1" applyAlignment="1">
      <alignment horizontal="center" vertical="top" wrapText="1"/>
    </xf>
    <xf numFmtId="0" fontId="6" fillId="0" borderId="5" xfId="1" applyNumberFormat="1" applyFont="1" applyBorder="1" applyAlignment="1">
      <alignment horizontal="center" vertical="top" wrapText="1"/>
    </xf>
    <xf numFmtId="165" fontId="7" fillId="3" borderId="7" xfId="1" applyNumberFormat="1" applyFont="1" applyFill="1" applyBorder="1" applyAlignment="1">
      <alignment horizontal="left" wrapText="1"/>
    </xf>
    <xf numFmtId="165" fontId="7" fillId="3" borderId="8" xfId="1" applyNumberFormat="1" applyFont="1" applyFill="1" applyBorder="1" applyAlignment="1">
      <alignment horizontal="left" wrapText="1"/>
    </xf>
    <xf numFmtId="165" fontId="7" fillId="3" borderId="5" xfId="1" applyNumberFormat="1" applyFont="1" applyFill="1" applyBorder="1" applyAlignment="1">
      <alignment horizontal="left" wrapText="1"/>
    </xf>
    <xf numFmtId="0" fontId="7" fillId="4" borderId="7" xfId="1" applyNumberFormat="1" applyFont="1" applyFill="1" applyBorder="1" applyAlignment="1">
      <alignment horizontal="center" vertical="top" wrapText="1"/>
    </xf>
    <xf numFmtId="0" fontId="7" fillId="4" borderId="8" xfId="1" applyNumberFormat="1" applyFont="1" applyFill="1" applyBorder="1" applyAlignment="1">
      <alignment horizontal="center" vertical="top" wrapText="1"/>
    </xf>
    <xf numFmtId="0" fontId="7" fillId="4" borderId="5" xfId="1" applyNumberFormat="1" applyFont="1" applyFill="1" applyBorder="1" applyAlignment="1">
      <alignment horizontal="center" vertical="top" wrapText="1"/>
    </xf>
    <xf numFmtId="165" fontId="11" fillId="0" borderId="7" xfId="1" applyNumberFormat="1" applyFont="1" applyFill="1" applyBorder="1" applyAlignment="1">
      <alignment horizontal="left" vertical="top" wrapText="1"/>
    </xf>
    <xf numFmtId="165" fontId="11" fillId="0" borderId="8" xfId="1" applyNumberFormat="1" applyFont="1" applyFill="1" applyBorder="1" applyAlignment="1">
      <alignment horizontal="left" vertical="top" wrapText="1"/>
    </xf>
    <xf numFmtId="165" fontId="11" fillId="0" borderId="5" xfId="1" applyNumberFormat="1" applyFont="1" applyFill="1" applyBorder="1" applyAlignment="1">
      <alignment horizontal="left" vertical="top" wrapText="1"/>
    </xf>
    <xf numFmtId="165" fontId="11" fillId="0" borderId="7" xfId="1" applyNumberFormat="1" applyFont="1" applyBorder="1" applyAlignment="1">
      <alignment horizontal="center" vertical="top" wrapText="1"/>
    </xf>
    <xf numFmtId="165" fontId="11" fillId="0" borderId="8" xfId="1" applyNumberFormat="1" applyFont="1" applyBorder="1" applyAlignment="1">
      <alignment horizontal="center" vertical="top" wrapText="1"/>
    </xf>
    <xf numFmtId="165" fontId="11" fillId="0" borderId="5" xfId="1" applyNumberFormat="1" applyFont="1" applyBorder="1" applyAlignment="1">
      <alignment horizontal="center" vertical="top" wrapText="1"/>
    </xf>
    <xf numFmtId="0" fontId="6" fillId="0" borderId="7" xfId="1" applyNumberFormat="1" applyFont="1" applyBorder="1" applyAlignment="1">
      <alignment horizontal="left" vertical="top" wrapText="1"/>
    </xf>
    <xf numFmtId="0" fontId="6" fillId="0" borderId="8" xfId="1" applyNumberFormat="1" applyFont="1" applyBorder="1" applyAlignment="1">
      <alignment horizontal="left" vertical="top" wrapText="1"/>
    </xf>
    <xf numFmtId="0" fontId="6" fillId="0" borderId="5" xfId="1" applyNumberFormat="1" applyFont="1" applyBorder="1" applyAlignment="1">
      <alignment horizontal="left" vertical="top" wrapText="1"/>
    </xf>
    <xf numFmtId="0" fontId="2" fillId="0" borderId="9" xfId="1" applyNumberFormat="1" applyFont="1" applyFill="1" applyBorder="1" applyAlignment="1">
      <alignment horizontal="left" vertical="center" wrapText="1"/>
    </xf>
    <xf numFmtId="0" fontId="2" fillId="0" borderId="10" xfId="1" applyNumberFormat="1" applyFont="1" applyFill="1" applyBorder="1" applyAlignment="1">
      <alignment horizontal="left" vertical="center" wrapText="1"/>
    </xf>
    <xf numFmtId="0" fontId="2" fillId="0" borderId="6" xfId="1" applyNumberFormat="1" applyFont="1" applyFill="1" applyBorder="1" applyAlignment="1">
      <alignment horizontal="left" vertical="center" wrapText="1"/>
    </xf>
    <xf numFmtId="0" fontId="2" fillId="0" borderId="11" xfId="1" applyNumberFormat="1" applyFont="1" applyFill="1" applyBorder="1" applyAlignment="1">
      <alignment horizontal="left" vertical="center" wrapText="1"/>
    </xf>
    <xf numFmtId="0" fontId="2" fillId="0" borderId="4" xfId="1" applyNumberFormat="1" applyFont="1" applyFill="1" applyBorder="1" applyAlignment="1">
      <alignment horizontal="left" vertical="center" wrapText="1"/>
    </xf>
    <xf numFmtId="0" fontId="2" fillId="0" borderId="12" xfId="1" applyNumberFormat="1" applyFont="1" applyFill="1" applyBorder="1" applyAlignment="1">
      <alignment horizontal="left" vertical="center" wrapText="1"/>
    </xf>
    <xf numFmtId="0" fontId="2" fillId="0" borderId="9" xfId="1" applyNumberFormat="1" applyFont="1" applyFill="1" applyBorder="1" applyAlignment="1">
      <alignment horizontal="left" vertical="top" wrapText="1"/>
    </xf>
    <xf numFmtId="0" fontId="2" fillId="0" borderId="10" xfId="1" applyNumberFormat="1" applyFont="1" applyFill="1" applyBorder="1" applyAlignment="1">
      <alignment horizontal="left" vertical="top" wrapText="1"/>
    </xf>
    <xf numFmtId="0" fontId="2" fillId="0" borderId="6" xfId="1" applyNumberFormat="1" applyFont="1" applyFill="1" applyBorder="1" applyAlignment="1">
      <alignment horizontal="left" vertical="top" wrapText="1"/>
    </xf>
    <xf numFmtId="0" fontId="0" fillId="0" borderId="11" xfId="0" applyFont="1" applyFill="1" applyBorder="1" applyAlignment="1">
      <alignment vertical="top" wrapText="1"/>
    </xf>
    <xf numFmtId="0" fontId="0" fillId="0" borderId="4" xfId="0" applyFont="1" applyFill="1" applyBorder="1" applyAlignment="1">
      <alignment vertical="top" wrapText="1"/>
    </xf>
    <xf numFmtId="0" fontId="0" fillId="0" borderId="12" xfId="0" applyFont="1" applyFill="1" applyBorder="1" applyAlignment="1">
      <alignment vertical="top" wrapText="1"/>
    </xf>
    <xf numFmtId="0" fontId="28" fillId="0" borderId="7" xfId="1" applyNumberFormat="1" applyFont="1" applyBorder="1" applyAlignment="1">
      <alignment horizontal="left" vertical="top" wrapText="1"/>
    </xf>
    <xf numFmtId="0" fontId="28" fillId="0" borderId="8" xfId="1" applyNumberFormat="1" applyFont="1" applyBorder="1" applyAlignment="1">
      <alignment horizontal="left" vertical="top" wrapText="1"/>
    </xf>
    <xf numFmtId="0" fontId="28" fillId="0" borderId="5" xfId="1" applyNumberFormat="1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165" fontId="34" fillId="0" borderId="7" xfId="1" applyNumberFormat="1" applyFont="1" applyBorder="1" applyAlignment="1">
      <alignment horizontal="left" vertical="top" wrapText="1"/>
    </xf>
    <xf numFmtId="165" fontId="34" fillId="0" borderId="8" xfId="1" applyNumberFormat="1" applyFont="1" applyBorder="1" applyAlignment="1">
      <alignment horizontal="left" vertical="top" wrapText="1"/>
    </xf>
    <xf numFmtId="165" fontId="34" fillId="0" borderId="5" xfId="1" applyNumberFormat="1" applyFont="1" applyBorder="1" applyAlignment="1">
      <alignment horizontal="left" vertical="top" wrapText="1"/>
    </xf>
    <xf numFmtId="165" fontId="34" fillId="2" borderId="7" xfId="1" applyNumberFormat="1" applyFont="1" applyFill="1" applyBorder="1" applyAlignment="1">
      <alignment horizontal="left" vertical="top" wrapText="1"/>
    </xf>
    <xf numFmtId="165" fontId="34" fillId="2" borderId="8" xfId="1" applyNumberFormat="1" applyFont="1" applyFill="1" applyBorder="1" applyAlignment="1">
      <alignment horizontal="left" vertical="top" wrapText="1"/>
    </xf>
    <xf numFmtId="165" fontId="34" fillId="2" borderId="5" xfId="1" applyNumberFormat="1" applyFont="1" applyFill="1" applyBorder="1" applyAlignment="1">
      <alignment horizontal="left" vertical="top" wrapText="1"/>
    </xf>
    <xf numFmtId="0" fontId="30" fillId="0" borderId="0" xfId="0" applyFont="1" applyFill="1" applyBorder="1" applyAlignment="1">
      <alignment horizontal="justify" wrapText="1"/>
    </xf>
    <xf numFmtId="165" fontId="3" fillId="0" borderId="1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165" fontId="34" fillId="4" borderId="7" xfId="1" applyNumberFormat="1" applyFont="1" applyFill="1" applyBorder="1" applyAlignment="1">
      <alignment horizontal="left" vertical="top" wrapText="1"/>
    </xf>
    <xf numFmtId="165" fontId="34" fillId="4" borderId="8" xfId="1" applyNumberFormat="1" applyFont="1" applyFill="1" applyBorder="1" applyAlignment="1">
      <alignment horizontal="left" vertical="top" wrapText="1"/>
    </xf>
    <xf numFmtId="165" fontId="34" fillId="4" borderId="5" xfId="1" applyNumberFormat="1" applyFont="1" applyFill="1" applyBorder="1" applyAlignment="1">
      <alignment horizontal="left" vertical="top" wrapText="1"/>
    </xf>
    <xf numFmtId="165" fontId="33" fillId="4" borderId="7" xfId="1" applyNumberFormat="1" applyFont="1" applyFill="1" applyBorder="1" applyAlignment="1">
      <alignment horizontal="left" vertical="top" wrapText="1"/>
    </xf>
    <xf numFmtId="165" fontId="33" fillId="4" borderId="8" xfId="1" applyNumberFormat="1" applyFont="1" applyFill="1" applyBorder="1" applyAlignment="1">
      <alignment horizontal="left" vertical="top" wrapText="1"/>
    </xf>
    <xf numFmtId="165" fontId="33" fillId="4" borderId="5" xfId="1" applyNumberFormat="1" applyFont="1" applyFill="1" applyBorder="1" applyAlignment="1">
      <alignment horizontal="left" vertical="top" wrapText="1"/>
    </xf>
    <xf numFmtId="0" fontId="34" fillId="0" borderId="7" xfId="1" applyNumberFormat="1" applyFont="1" applyBorder="1" applyAlignment="1">
      <alignment horizontal="left" vertical="top" wrapText="1"/>
    </xf>
    <xf numFmtId="0" fontId="34" fillId="0" borderId="8" xfId="1" applyNumberFormat="1" applyFont="1" applyBorder="1" applyAlignment="1">
      <alignment horizontal="left" vertical="top" wrapText="1"/>
    </xf>
    <xf numFmtId="0" fontId="34" fillId="0" borderId="5" xfId="1" applyNumberFormat="1" applyFont="1" applyBorder="1" applyAlignment="1">
      <alignment horizontal="left" vertical="top" wrapText="1"/>
    </xf>
    <xf numFmtId="165" fontId="28" fillId="0" borderId="7" xfId="1" applyNumberFormat="1" applyFont="1" applyBorder="1" applyAlignment="1">
      <alignment horizontal="center" vertical="top" wrapText="1"/>
    </xf>
    <xf numFmtId="165" fontId="28" fillId="0" borderId="8" xfId="1" applyNumberFormat="1" applyFont="1" applyBorder="1" applyAlignment="1">
      <alignment horizontal="center" vertical="top" wrapText="1"/>
    </xf>
    <xf numFmtId="165" fontId="28" fillId="0" borderId="5" xfId="1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wrapText="1"/>
    </xf>
    <xf numFmtId="0" fontId="34" fillId="0" borderId="7" xfId="1" applyNumberFormat="1" applyFont="1" applyFill="1" applyBorder="1" applyAlignment="1">
      <alignment horizontal="left" vertical="top" wrapText="1"/>
    </xf>
    <xf numFmtId="0" fontId="34" fillId="0" borderId="8" xfId="1" applyNumberFormat="1" applyFont="1" applyFill="1" applyBorder="1" applyAlignment="1">
      <alignment horizontal="left" vertical="top" wrapText="1"/>
    </xf>
    <xf numFmtId="0" fontId="34" fillId="0" borderId="5" xfId="1" applyNumberFormat="1" applyFont="1" applyFill="1" applyBorder="1" applyAlignment="1">
      <alignment horizontal="left" vertical="top" wrapText="1"/>
    </xf>
    <xf numFmtId="0" fontId="26" fillId="0" borderId="0" xfId="0" applyFont="1" applyAlignment="1">
      <alignment horizontal="center"/>
    </xf>
    <xf numFmtId="169" fontId="29" fillId="0" borderId="0" xfId="0" applyNumberFormat="1" applyFont="1" applyFill="1" applyAlignment="1">
      <alignment horizontal="justify" vertical="center" wrapText="1"/>
    </xf>
    <xf numFmtId="0" fontId="29" fillId="0" borderId="0" xfId="0" applyFont="1" applyFill="1" applyAlignment="1">
      <alignment horizontal="justify" vertical="top" wrapText="1"/>
    </xf>
    <xf numFmtId="0" fontId="4" fillId="0" borderId="1" xfId="0" applyFont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73" fontId="4" fillId="0" borderId="1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right" wrapText="1"/>
    </xf>
    <xf numFmtId="165" fontId="33" fillId="4" borderId="7" xfId="1" applyNumberFormat="1" applyFont="1" applyFill="1" applyBorder="1" applyAlignment="1">
      <alignment horizontal="center" vertical="top" wrapText="1"/>
    </xf>
    <xf numFmtId="165" fontId="33" fillId="4" borderId="8" xfId="1" applyNumberFormat="1" applyFont="1" applyFill="1" applyBorder="1" applyAlignment="1">
      <alignment horizontal="center" vertical="top" wrapText="1"/>
    </xf>
    <xf numFmtId="165" fontId="33" fillId="4" borderId="5" xfId="1" applyNumberFormat="1" applyFont="1" applyFill="1" applyBorder="1" applyAlignment="1">
      <alignment horizontal="center" vertical="top" wrapText="1"/>
    </xf>
    <xf numFmtId="0" fontId="29" fillId="0" borderId="0" xfId="0" applyFont="1" applyFill="1" applyAlignment="1">
      <alignment horizontal="justify" vertical="center" wrapText="1"/>
    </xf>
    <xf numFmtId="0" fontId="34" fillId="2" borderId="7" xfId="1" applyNumberFormat="1" applyFont="1" applyFill="1" applyBorder="1" applyAlignment="1">
      <alignment horizontal="left" vertical="top" wrapText="1"/>
    </xf>
    <xf numFmtId="0" fontId="34" fillId="2" borderId="8" xfId="1" applyNumberFormat="1" applyFont="1" applyFill="1" applyBorder="1" applyAlignment="1">
      <alignment horizontal="left" vertical="top" wrapText="1"/>
    </xf>
    <xf numFmtId="0" fontId="34" fillId="2" borderId="5" xfId="1" applyNumberFormat="1" applyFont="1" applyFill="1" applyBorder="1" applyAlignment="1">
      <alignment horizontal="left" vertical="top" wrapText="1"/>
    </xf>
    <xf numFmtId="165" fontId="22" fillId="0" borderId="9" xfId="1" applyNumberFormat="1" applyFont="1" applyBorder="1" applyAlignment="1">
      <alignment horizontal="left" vertical="top" wrapText="1"/>
    </xf>
    <xf numFmtId="165" fontId="22" fillId="0" borderId="10" xfId="1" applyNumberFormat="1" applyFont="1" applyBorder="1" applyAlignment="1">
      <alignment horizontal="left" vertical="top" wrapText="1"/>
    </xf>
    <xf numFmtId="165" fontId="22" fillId="0" borderId="6" xfId="1" applyNumberFormat="1" applyFont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19" fillId="0" borderId="12" xfId="0" applyFont="1" applyBorder="1" applyAlignment="1">
      <alignment horizontal="left" vertical="top" wrapText="1"/>
    </xf>
    <xf numFmtId="0" fontId="2" fillId="0" borderId="8" xfId="0" applyNumberFormat="1" applyFont="1" applyBorder="1"/>
    <xf numFmtId="0" fontId="2" fillId="0" borderId="5" xfId="0" applyNumberFormat="1" applyFont="1" applyBorder="1"/>
    <xf numFmtId="165" fontId="7" fillId="5" borderId="7" xfId="1" applyNumberFormat="1" applyFont="1" applyFill="1" applyBorder="1" applyAlignment="1">
      <alignment horizontal="center" vertical="top" wrapText="1"/>
    </xf>
    <xf numFmtId="165" fontId="7" fillId="5" borderId="8" xfId="1" applyNumberFormat="1" applyFont="1" applyFill="1" applyBorder="1" applyAlignment="1">
      <alignment horizontal="center" vertical="top" wrapText="1"/>
    </xf>
    <xf numFmtId="165" fontId="7" fillId="5" borderId="5" xfId="1" applyNumberFormat="1" applyFont="1" applyFill="1" applyBorder="1" applyAlignment="1">
      <alignment horizontal="center" vertical="top" wrapText="1"/>
    </xf>
    <xf numFmtId="0" fontId="2" fillId="0" borderId="7" xfId="1" applyNumberFormat="1" applyFont="1" applyBorder="1" applyAlignment="1">
      <alignment horizontal="center" vertical="top" wrapText="1"/>
    </xf>
    <xf numFmtId="0" fontId="2" fillId="0" borderId="8" xfId="1" applyNumberFormat="1" applyFont="1" applyBorder="1" applyAlignment="1">
      <alignment horizontal="center" vertical="top" wrapText="1"/>
    </xf>
    <xf numFmtId="0" fontId="2" fillId="0" borderId="5" xfId="1" applyNumberFormat="1" applyFont="1" applyBorder="1" applyAlignment="1">
      <alignment horizontal="center" vertical="top" wrapText="1"/>
    </xf>
    <xf numFmtId="0" fontId="21" fillId="0" borderId="0" xfId="0" applyFont="1" applyFill="1" applyBorder="1" applyAlignment="1">
      <alignment horizontal="left" wrapText="1"/>
    </xf>
    <xf numFmtId="0" fontId="2" fillId="0" borderId="9" xfId="1" applyNumberFormat="1" applyFont="1" applyBorder="1" applyAlignment="1">
      <alignment horizontal="left" vertical="center" wrapText="1"/>
    </xf>
    <xf numFmtId="0" fontId="2" fillId="0" borderId="10" xfId="1" applyNumberFormat="1" applyFont="1" applyBorder="1" applyAlignment="1">
      <alignment horizontal="left" vertical="center" wrapText="1"/>
    </xf>
    <xf numFmtId="0" fontId="2" fillId="0" borderId="6" xfId="1" applyNumberFormat="1" applyFont="1" applyBorder="1" applyAlignment="1">
      <alignment horizontal="left" vertical="center" wrapText="1"/>
    </xf>
    <xf numFmtId="0" fontId="2" fillId="0" borderId="11" xfId="1" applyNumberFormat="1" applyFont="1" applyBorder="1" applyAlignment="1">
      <alignment horizontal="left" vertical="center" wrapText="1"/>
    </xf>
    <xf numFmtId="0" fontId="2" fillId="0" borderId="4" xfId="1" applyNumberFormat="1" applyFont="1" applyBorder="1" applyAlignment="1">
      <alignment horizontal="left" vertical="center" wrapText="1"/>
    </xf>
    <xf numFmtId="0" fontId="2" fillId="0" borderId="12" xfId="1" applyNumberFormat="1" applyFont="1" applyBorder="1" applyAlignment="1">
      <alignment horizontal="left" vertical="center" wrapText="1"/>
    </xf>
    <xf numFmtId="2" fontId="2" fillId="0" borderId="7" xfId="1" applyNumberFormat="1" applyFont="1" applyBorder="1" applyAlignment="1">
      <alignment horizontal="left" vertical="top" wrapText="1"/>
    </xf>
    <xf numFmtId="2" fontId="0" fillId="0" borderId="8" xfId="0" applyNumberFormat="1" applyBorder="1" applyAlignment="1">
      <alignment horizontal="left" vertical="top" wrapText="1"/>
    </xf>
    <xf numFmtId="2" fontId="0" fillId="0" borderId="5" xfId="0" applyNumberForma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/>
    </xf>
    <xf numFmtId="0" fontId="2" fillId="2" borderId="7" xfId="1" applyNumberFormat="1" applyFont="1" applyFill="1" applyBorder="1" applyAlignment="1">
      <alignment horizontal="left" vertical="top" wrapText="1"/>
    </xf>
    <xf numFmtId="0" fontId="2" fillId="2" borderId="8" xfId="1" applyNumberFormat="1" applyFont="1" applyFill="1" applyBorder="1" applyAlignment="1">
      <alignment horizontal="left" vertical="top" wrapText="1"/>
    </xf>
    <xf numFmtId="0" fontId="2" fillId="2" borderId="5" xfId="1" applyNumberFormat="1" applyFont="1" applyFill="1" applyBorder="1" applyAlignment="1">
      <alignment horizontal="left" vertical="top" wrapText="1"/>
    </xf>
    <xf numFmtId="0" fontId="11" fillId="0" borderId="8" xfId="1" applyNumberFormat="1" applyFont="1" applyFill="1" applyBorder="1" applyAlignment="1">
      <alignment horizontal="left" vertical="top" wrapText="1"/>
    </xf>
    <xf numFmtId="0" fontId="11" fillId="0" borderId="5" xfId="1" applyNumberFormat="1" applyFont="1" applyFill="1" applyBorder="1" applyAlignment="1">
      <alignment horizontal="left" vertical="top" wrapText="1"/>
    </xf>
    <xf numFmtId="0" fontId="35" fillId="0" borderId="8" xfId="0" applyFont="1" applyBorder="1"/>
    <xf numFmtId="0" fontId="35" fillId="0" borderId="5" xfId="0" applyFont="1" applyBorder="1"/>
    <xf numFmtId="0" fontId="0" fillId="0" borderId="10" xfId="0" applyFont="1" applyBorder="1"/>
    <xf numFmtId="0" fontId="0" fillId="0" borderId="6" xfId="0" applyFont="1" applyBorder="1"/>
    <xf numFmtId="0" fontId="0" fillId="0" borderId="13" xfId="0" applyFont="1" applyBorder="1"/>
    <xf numFmtId="0" fontId="0" fillId="0" borderId="0" xfId="0" applyFont="1"/>
    <xf numFmtId="0" fontId="0" fillId="0" borderId="14" xfId="0" applyFont="1" applyBorder="1"/>
    <xf numFmtId="0" fontId="0" fillId="0" borderId="11" xfId="0" applyFont="1" applyBorder="1"/>
    <xf numFmtId="0" fontId="0" fillId="0" borderId="4" xfId="0" applyFont="1" applyBorder="1"/>
    <xf numFmtId="0" fontId="0" fillId="0" borderId="12" xfId="0" applyFont="1" applyBorder="1"/>
    <xf numFmtId="0" fontId="6" fillId="0" borderId="7" xfId="1" applyNumberFormat="1" applyFont="1" applyFill="1" applyBorder="1" applyAlignment="1">
      <alignment horizontal="center" vertical="top" wrapText="1"/>
    </xf>
    <xf numFmtId="0" fontId="6" fillId="0" borderId="8" xfId="1" applyNumberFormat="1" applyFont="1" applyFill="1" applyBorder="1" applyAlignment="1">
      <alignment horizontal="center" vertical="top" wrapText="1"/>
    </xf>
    <xf numFmtId="0" fontId="6" fillId="0" borderId="5" xfId="1" applyNumberFormat="1" applyFont="1" applyFill="1" applyBorder="1" applyAlignment="1">
      <alignment horizontal="center" vertical="top" wrapText="1"/>
    </xf>
    <xf numFmtId="0" fontId="7" fillId="4" borderId="8" xfId="0" applyFont="1" applyFill="1" applyBorder="1"/>
    <xf numFmtId="0" fontId="7" fillId="4" borderId="5" xfId="0" applyFont="1" applyFill="1" applyBorder="1"/>
    <xf numFmtId="165" fontId="22" fillId="2" borderId="7" xfId="1" applyNumberFormat="1" applyFont="1" applyFill="1" applyBorder="1" applyAlignment="1">
      <alignment horizontal="left" vertical="top" wrapText="1"/>
    </xf>
    <xf numFmtId="165" fontId="22" fillId="2" borderId="8" xfId="1" applyNumberFormat="1" applyFont="1" applyFill="1" applyBorder="1" applyAlignment="1">
      <alignment horizontal="left" vertical="top" wrapText="1"/>
    </xf>
    <xf numFmtId="165" fontId="22" fillId="2" borderId="5" xfId="1" applyNumberFormat="1" applyFont="1" applyFill="1" applyBorder="1" applyAlignment="1">
      <alignment horizontal="left" vertical="top" wrapText="1"/>
    </xf>
    <xf numFmtId="49" fontId="2" fillId="0" borderId="7" xfId="1" applyNumberFormat="1" applyFont="1" applyBorder="1" applyAlignment="1">
      <alignment horizontal="left" vertical="top" wrapText="1"/>
    </xf>
    <xf numFmtId="49" fontId="6" fillId="0" borderId="8" xfId="0" applyNumberFormat="1" applyFont="1" applyBorder="1"/>
    <xf numFmtId="49" fontId="6" fillId="0" borderId="5" xfId="0" applyNumberFormat="1" applyFont="1" applyBorder="1"/>
    <xf numFmtId="0" fontId="22" fillId="0" borderId="7" xfId="1" applyNumberFormat="1" applyFont="1" applyBorder="1" applyAlignment="1">
      <alignment horizontal="left" vertical="top" wrapText="1"/>
    </xf>
    <xf numFmtId="0" fontId="22" fillId="0" borderId="8" xfId="0" applyNumberFormat="1" applyFont="1" applyBorder="1"/>
    <xf numFmtId="0" fontId="22" fillId="0" borderId="5" xfId="0" applyNumberFormat="1" applyFont="1" applyBorder="1"/>
    <xf numFmtId="0" fontId="11" fillId="0" borderId="7" xfId="1" applyNumberFormat="1" applyFont="1" applyBorder="1" applyAlignment="1">
      <alignment horizontal="left" vertical="top" wrapText="1"/>
    </xf>
    <xf numFmtId="0" fontId="11" fillId="0" borderId="8" xfId="1" applyNumberFormat="1" applyFont="1" applyBorder="1" applyAlignment="1">
      <alignment horizontal="left" vertical="top" wrapText="1"/>
    </xf>
    <xf numFmtId="0" fontId="11" fillId="0" borderId="5" xfId="1" applyNumberFormat="1" applyFont="1" applyBorder="1" applyAlignment="1">
      <alignment horizontal="left" vertical="top" wrapText="1"/>
    </xf>
    <xf numFmtId="0" fontId="2" fillId="0" borderId="8" xfId="0" applyFont="1" applyBorder="1"/>
    <xf numFmtId="0" fontId="2" fillId="0" borderId="5" xfId="0" applyFont="1" applyBorder="1"/>
    <xf numFmtId="165" fontId="32" fillId="3" borderId="7" xfId="1" applyNumberFormat="1" applyFont="1" applyFill="1" applyBorder="1" applyAlignment="1">
      <alignment horizontal="center" wrapText="1"/>
    </xf>
    <xf numFmtId="165" fontId="32" fillId="3" borderId="8" xfId="1" applyNumberFormat="1" applyFont="1" applyFill="1" applyBorder="1" applyAlignment="1">
      <alignment horizontal="center" wrapText="1"/>
    </xf>
    <xf numFmtId="165" fontId="32" fillId="3" borderId="5" xfId="1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2" fillId="4" borderId="7" xfId="1" applyNumberFormat="1" applyFont="1" applyFill="1" applyBorder="1" applyAlignment="1">
      <alignment horizontal="left" vertical="top" wrapText="1"/>
    </xf>
    <xf numFmtId="0" fontId="2" fillId="4" borderId="8" xfId="1" applyNumberFormat="1" applyFont="1" applyFill="1" applyBorder="1" applyAlignment="1">
      <alignment horizontal="left" vertical="top" wrapText="1"/>
    </xf>
    <xf numFmtId="0" fontId="2" fillId="4" borderId="5" xfId="1" applyNumberFormat="1" applyFont="1" applyFill="1" applyBorder="1" applyAlignment="1">
      <alignment horizontal="left" vertical="top" wrapText="1"/>
    </xf>
    <xf numFmtId="0" fontId="22" fillId="0" borderId="8" xfId="0" applyFont="1" applyBorder="1"/>
    <xf numFmtId="0" fontId="22" fillId="0" borderId="5" xfId="0" applyFont="1" applyBorder="1"/>
    <xf numFmtId="0" fontId="4" fillId="0" borderId="0" xfId="0" applyFont="1" applyFill="1" applyBorder="1" applyAlignment="1">
      <alignment horizontal="justify" wrapText="1"/>
    </xf>
    <xf numFmtId="0" fontId="14" fillId="4" borderId="7" xfId="1" applyNumberFormat="1" applyFont="1" applyFill="1" applyBorder="1" applyAlignment="1">
      <alignment horizontal="left" vertical="top" wrapText="1"/>
    </xf>
    <xf numFmtId="0" fontId="14" fillId="4" borderId="8" xfId="1" applyNumberFormat="1" applyFont="1" applyFill="1" applyBorder="1" applyAlignment="1">
      <alignment horizontal="left" vertical="top" wrapText="1"/>
    </xf>
    <xf numFmtId="0" fontId="14" fillId="4" borderId="5" xfId="1" applyNumberFormat="1" applyFont="1" applyFill="1" applyBorder="1" applyAlignment="1">
      <alignment horizontal="left" vertical="top" wrapText="1"/>
    </xf>
    <xf numFmtId="165" fontId="20" fillId="0" borderId="8" xfId="1" applyNumberFormat="1" applyFont="1" applyBorder="1" applyAlignment="1">
      <alignment horizontal="left" vertical="top" wrapText="1"/>
    </xf>
    <xf numFmtId="165" fontId="20" fillId="0" borderId="5" xfId="1" applyNumberFormat="1" applyFont="1" applyBorder="1" applyAlignment="1">
      <alignment horizontal="left" vertical="top" wrapText="1"/>
    </xf>
    <xf numFmtId="0" fontId="2" fillId="0" borderId="8" xfId="0" applyNumberFormat="1" applyFont="1" applyFill="1" applyBorder="1"/>
    <xf numFmtId="0" fontId="2" fillId="0" borderId="5" xfId="0" applyNumberFormat="1" applyFont="1" applyFill="1" applyBorder="1"/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B1:L353"/>
  <sheetViews>
    <sheetView tabSelected="1" view="pageBreakPreview" zoomScale="60" zoomScaleNormal="100" workbookViewId="0">
      <selection activeCell="V345" sqref="V345"/>
    </sheetView>
  </sheetViews>
  <sheetFormatPr defaultColWidth="8.85546875" defaultRowHeight="15"/>
  <cols>
    <col min="1" max="1" width="0.42578125" style="21" customWidth="1"/>
    <col min="2" max="2" width="27.7109375" style="46" customWidth="1"/>
    <col min="3" max="3" width="16" style="24" customWidth="1"/>
    <col min="4" max="4" width="15.140625" style="24" customWidth="1"/>
    <col min="5" max="5" width="16.28515625" style="24" customWidth="1"/>
    <col min="6" max="6" width="9.5703125" style="24" customWidth="1"/>
    <col min="7" max="7" width="8.5703125" style="21" customWidth="1"/>
    <col min="8" max="8" width="16" style="21" customWidth="1"/>
    <col min="9" max="9" width="15.140625" style="21" customWidth="1"/>
    <col min="10" max="10" width="12.28515625" style="21" customWidth="1"/>
    <col min="11" max="11" width="2.7109375" style="21" customWidth="1"/>
    <col min="12" max="12" width="12.28515625" style="21" customWidth="1"/>
    <col min="13" max="16384" width="8.85546875" style="21"/>
  </cols>
  <sheetData>
    <row r="1" spans="2:12" ht="16.149999999999999" customHeight="1">
      <c r="B1" s="476" t="s">
        <v>8</v>
      </c>
      <c r="C1" s="476"/>
      <c r="D1" s="476"/>
      <c r="E1" s="476"/>
      <c r="F1" s="476"/>
      <c r="G1" s="476"/>
      <c r="H1" s="476"/>
      <c r="I1" s="476"/>
      <c r="J1" s="476"/>
    </row>
    <row r="2" spans="2:12" ht="9" customHeight="1">
      <c r="B2" s="75"/>
      <c r="C2" s="76"/>
      <c r="D2" s="76"/>
      <c r="E2" s="76"/>
      <c r="F2" s="76"/>
      <c r="G2" s="76"/>
      <c r="H2" s="77"/>
      <c r="I2" s="77"/>
      <c r="J2" s="77"/>
    </row>
    <row r="3" spans="2:12" ht="33.75" customHeight="1">
      <c r="B3" s="478" t="s">
        <v>222</v>
      </c>
      <c r="C3" s="478"/>
      <c r="D3" s="478"/>
      <c r="E3" s="478"/>
      <c r="F3" s="478"/>
      <c r="G3" s="478"/>
      <c r="H3" s="478"/>
      <c r="I3" s="478"/>
      <c r="J3" s="478"/>
    </row>
    <row r="4" spans="2:12" s="22" customFormat="1" ht="43.5" customHeight="1">
      <c r="B4" s="477" t="s">
        <v>15</v>
      </c>
      <c r="C4" s="477"/>
      <c r="D4" s="477"/>
      <c r="E4" s="477"/>
      <c r="F4" s="477"/>
      <c r="G4" s="477"/>
      <c r="H4" s="477"/>
      <c r="I4" s="477"/>
      <c r="J4" s="477"/>
      <c r="K4" s="1"/>
    </row>
    <row r="5" spans="2:12" s="22" customFormat="1" ht="16.899999999999999" customHeight="1">
      <c r="B5" s="48"/>
      <c r="C5" s="49"/>
      <c r="D5" s="49"/>
      <c r="E5" s="49"/>
      <c r="F5" s="49"/>
      <c r="G5" s="50"/>
      <c r="H5" s="51"/>
      <c r="I5" s="52"/>
      <c r="J5" s="51"/>
      <c r="K5" s="1"/>
    </row>
    <row r="6" spans="2:12" ht="18" customHeight="1">
      <c r="B6" s="450" t="s">
        <v>13</v>
      </c>
      <c r="C6" s="450"/>
      <c r="D6" s="450"/>
      <c r="E6" s="450"/>
      <c r="F6" s="450"/>
      <c r="G6" s="450"/>
      <c r="H6" s="450"/>
      <c r="I6" s="450"/>
      <c r="J6" s="450"/>
      <c r="K6" s="3"/>
    </row>
    <row r="7" spans="2:12" s="23" customFormat="1" ht="11.25" customHeight="1">
      <c r="B7" s="320"/>
      <c r="C7" s="321"/>
      <c r="D7" s="321"/>
      <c r="E7" s="321"/>
      <c r="F7" s="321"/>
      <c r="G7" s="321"/>
      <c r="H7" s="322"/>
      <c r="I7" s="322"/>
      <c r="J7" s="323"/>
    </row>
    <row r="8" spans="2:12" ht="93" customHeight="1">
      <c r="B8" s="482" t="s">
        <v>0</v>
      </c>
      <c r="C8" s="482"/>
      <c r="D8" s="482"/>
      <c r="E8" s="330" t="s">
        <v>16</v>
      </c>
      <c r="F8" s="479" t="s">
        <v>17</v>
      </c>
      <c r="G8" s="479"/>
      <c r="H8" s="330" t="s">
        <v>220</v>
      </c>
      <c r="I8" s="331" t="s">
        <v>11</v>
      </c>
      <c r="J8" s="331" t="s">
        <v>10</v>
      </c>
      <c r="K8" s="7" t="s">
        <v>4</v>
      </c>
      <c r="L8" s="8" t="s">
        <v>5</v>
      </c>
    </row>
    <row r="9" spans="2:12" ht="19.899999999999999" customHeight="1">
      <c r="B9" s="483" t="s">
        <v>7</v>
      </c>
      <c r="C9" s="483"/>
      <c r="D9" s="483"/>
      <c r="E9" s="324">
        <f>SUM(E10:E21)</f>
        <v>3169337.9</v>
      </c>
      <c r="F9" s="458">
        <f t="shared" ref="F9:H9" si="0">SUM(F10:F21)</f>
        <v>1540355.5</v>
      </c>
      <c r="G9" s="458"/>
      <c r="H9" s="324">
        <f t="shared" si="0"/>
        <v>1478120.8999999997</v>
      </c>
      <c r="I9" s="325">
        <f>H9/F9*100</f>
        <v>95.959724881691258</v>
      </c>
      <c r="J9" s="325">
        <f>H9/E9*100</f>
        <v>46.638160607614601</v>
      </c>
      <c r="K9" s="6">
        <f>2698672.6-H9</f>
        <v>1220551.7000000004</v>
      </c>
      <c r="L9" s="9">
        <f>2493969.3-I9</f>
        <v>2493873.3402751181</v>
      </c>
    </row>
    <row r="10" spans="2:12" s="23" customFormat="1" ht="19.149999999999999" customHeight="1">
      <c r="B10" s="472" t="s">
        <v>329</v>
      </c>
      <c r="C10" s="472"/>
      <c r="D10" s="472"/>
      <c r="E10" s="326">
        <f>C53</f>
        <v>269097.5</v>
      </c>
      <c r="F10" s="480">
        <f>D53</f>
        <v>146393.5</v>
      </c>
      <c r="G10" s="480"/>
      <c r="H10" s="326">
        <f>E53</f>
        <v>139131.20000000001</v>
      </c>
      <c r="I10" s="327">
        <f>H10/F10*100</f>
        <v>95.039192313866408</v>
      </c>
      <c r="J10" s="327">
        <f>H10/E10*100</f>
        <v>51.702895790559189</v>
      </c>
      <c r="K10" s="37"/>
    </row>
    <row r="11" spans="2:12" s="23" customFormat="1" ht="32.25" customHeight="1">
      <c r="B11" s="472" t="s">
        <v>330</v>
      </c>
      <c r="C11" s="472"/>
      <c r="D11" s="472"/>
      <c r="E11" s="326">
        <f>C87</f>
        <v>39095.699999999997</v>
      </c>
      <c r="F11" s="480">
        <f t="shared" ref="F11" si="1">D87</f>
        <v>14584.1</v>
      </c>
      <c r="G11" s="480"/>
      <c r="H11" s="326">
        <f>E87</f>
        <v>13248.5</v>
      </c>
      <c r="I11" s="327">
        <f t="shared" ref="I11:I20" si="2">H11/F11*100</f>
        <v>90.842081444861179</v>
      </c>
      <c r="J11" s="327">
        <f t="shared" ref="J11:J21" si="3">H11/E11*100</f>
        <v>33.887358456300824</v>
      </c>
      <c r="K11" s="37"/>
    </row>
    <row r="12" spans="2:12" s="23" customFormat="1" ht="19.899999999999999" customHeight="1">
      <c r="B12" s="472" t="s">
        <v>331</v>
      </c>
      <c r="C12" s="472"/>
      <c r="D12" s="472"/>
      <c r="E12" s="326">
        <f>C143</f>
        <v>258146.5</v>
      </c>
      <c r="F12" s="480">
        <f>D143</f>
        <v>110798.6</v>
      </c>
      <c r="G12" s="480"/>
      <c r="H12" s="326">
        <f>E143</f>
        <v>104777.79999999999</v>
      </c>
      <c r="I12" s="327">
        <f t="shared" si="2"/>
        <v>94.565996321253138</v>
      </c>
      <c r="J12" s="327">
        <f t="shared" si="3"/>
        <v>40.588503039940491</v>
      </c>
      <c r="K12" s="37"/>
    </row>
    <row r="13" spans="2:12" s="23" customFormat="1" ht="19.149999999999999" customHeight="1">
      <c r="B13" s="472" t="s">
        <v>332</v>
      </c>
      <c r="C13" s="472"/>
      <c r="D13" s="472"/>
      <c r="E13" s="326">
        <f>C186</f>
        <v>482921.4</v>
      </c>
      <c r="F13" s="480">
        <f>D186</f>
        <v>193653.7</v>
      </c>
      <c r="G13" s="480"/>
      <c r="H13" s="326">
        <f>E186</f>
        <v>166993.9</v>
      </c>
      <c r="I13" s="327">
        <f t="shared" si="2"/>
        <v>86.233260712292093</v>
      </c>
      <c r="J13" s="327">
        <f t="shared" si="3"/>
        <v>34.579933711780008</v>
      </c>
      <c r="K13" s="37"/>
    </row>
    <row r="14" spans="2:12" s="23" customFormat="1" ht="19.149999999999999" customHeight="1">
      <c r="B14" s="472" t="s">
        <v>333</v>
      </c>
      <c r="C14" s="472"/>
      <c r="D14" s="472"/>
      <c r="E14" s="326">
        <f>C195</f>
        <v>4447.1000000000004</v>
      </c>
      <c r="F14" s="484">
        <f>D195</f>
        <v>252</v>
      </c>
      <c r="G14" s="484"/>
      <c r="H14" s="327">
        <f>E195</f>
        <v>250</v>
      </c>
      <c r="I14" s="327">
        <v>0</v>
      </c>
      <c r="J14" s="327">
        <v>0</v>
      </c>
      <c r="K14" s="37"/>
    </row>
    <row r="15" spans="2:12" s="23" customFormat="1" ht="19.149999999999999" customHeight="1">
      <c r="B15" s="472" t="s">
        <v>334</v>
      </c>
      <c r="C15" s="472"/>
      <c r="D15" s="472"/>
      <c r="E15" s="326">
        <f>C257</f>
        <v>1565218.5</v>
      </c>
      <c r="F15" s="480">
        <f>D257</f>
        <v>734309.49999999988</v>
      </c>
      <c r="G15" s="480"/>
      <c r="H15" s="326">
        <f>E257</f>
        <v>722194.1</v>
      </c>
      <c r="I15" s="327">
        <f t="shared" si="2"/>
        <v>98.350096246882288</v>
      </c>
      <c r="J15" s="327">
        <f t="shared" si="3"/>
        <v>46.140145928507742</v>
      </c>
      <c r="K15" s="37"/>
    </row>
    <row r="16" spans="2:12" s="23" customFormat="1" ht="18.600000000000001" customHeight="1">
      <c r="B16" s="472" t="s">
        <v>335</v>
      </c>
      <c r="C16" s="472"/>
      <c r="D16" s="472"/>
      <c r="E16" s="326">
        <f>C287</f>
        <v>306754.49999999994</v>
      </c>
      <c r="F16" s="480">
        <f>D287</f>
        <v>226792.60000000003</v>
      </c>
      <c r="G16" s="480"/>
      <c r="H16" s="326">
        <f>E287</f>
        <v>224811.00000000003</v>
      </c>
      <c r="I16" s="327">
        <f t="shared" si="2"/>
        <v>99.126250151019036</v>
      </c>
      <c r="J16" s="327">
        <f t="shared" si="3"/>
        <v>73.286944445802774</v>
      </c>
      <c r="K16" s="37"/>
    </row>
    <row r="17" spans="2:12" s="23" customFormat="1" ht="18.600000000000001" customHeight="1">
      <c r="B17" s="472" t="s">
        <v>336</v>
      </c>
      <c r="C17" s="472"/>
      <c r="D17" s="472"/>
      <c r="E17" s="326">
        <f>C297</f>
        <v>11627</v>
      </c>
      <c r="F17" s="480">
        <f>D297</f>
        <v>9525.2999999999993</v>
      </c>
      <c r="G17" s="480"/>
      <c r="H17" s="326">
        <f>E297</f>
        <v>8872.4</v>
      </c>
      <c r="I17" s="327">
        <f t="shared" si="2"/>
        <v>93.145622710045885</v>
      </c>
      <c r="J17" s="327">
        <f t="shared" si="3"/>
        <v>76.308592070181476</v>
      </c>
      <c r="K17" s="37"/>
    </row>
    <row r="18" spans="2:12" s="23" customFormat="1" ht="18.600000000000001" customHeight="1">
      <c r="B18" s="472" t="s">
        <v>337</v>
      </c>
      <c r="C18" s="472"/>
      <c r="D18" s="472"/>
      <c r="E18" s="326">
        <f>C322</f>
        <v>207598.69999999998</v>
      </c>
      <c r="F18" s="480">
        <f>D322</f>
        <v>96115.8</v>
      </c>
      <c r="G18" s="480"/>
      <c r="H18" s="326">
        <f>E322</f>
        <v>90419.700000000012</v>
      </c>
      <c r="I18" s="327">
        <f t="shared" si="2"/>
        <v>94.073711086002518</v>
      </c>
      <c r="J18" s="327">
        <f t="shared" si="3"/>
        <v>43.555041529643503</v>
      </c>
      <c r="K18" s="37"/>
    </row>
    <row r="19" spans="2:12" s="23" customFormat="1" ht="18.600000000000001" customHeight="1">
      <c r="B19" s="517" t="s">
        <v>338</v>
      </c>
      <c r="C19" s="517"/>
      <c r="D19" s="517"/>
      <c r="E19" s="328">
        <f>C334</f>
        <v>6306.9</v>
      </c>
      <c r="F19" s="480">
        <f>D334</f>
        <v>1526.9</v>
      </c>
      <c r="G19" s="480"/>
      <c r="H19" s="326">
        <f>E334</f>
        <v>1428.9</v>
      </c>
      <c r="I19" s="327">
        <f t="shared" si="2"/>
        <v>93.581766978846019</v>
      </c>
      <c r="J19" s="327">
        <f t="shared" si="3"/>
        <v>22.65613851495981</v>
      </c>
      <c r="K19" s="37"/>
    </row>
    <row r="20" spans="2:12" s="23" customFormat="1" ht="18.600000000000001" customHeight="1">
      <c r="B20" s="472" t="s">
        <v>339</v>
      </c>
      <c r="C20" s="472"/>
      <c r="D20" s="472"/>
      <c r="E20" s="326">
        <f>C341</f>
        <v>13246.3</v>
      </c>
      <c r="F20" s="480">
        <f>D341</f>
        <v>6403.5</v>
      </c>
      <c r="G20" s="480"/>
      <c r="H20" s="326">
        <f>E341</f>
        <v>5993.4</v>
      </c>
      <c r="I20" s="327">
        <f t="shared" si="2"/>
        <v>93.595689857109392</v>
      </c>
      <c r="J20" s="327">
        <f t="shared" si="3"/>
        <v>45.245842235190203</v>
      </c>
      <c r="K20" s="37"/>
    </row>
    <row r="21" spans="2:12" s="23" customFormat="1" ht="33" customHeight="1">
      <c r="B21" s="472" t="s">
        <v>340</v>
      </c>
      <c r="C21" s="472"/>
      <c r="D21" s="472"/>
      <c r="E21" s="329">
        <f>C349</f>
        <v>4877.8</v>
      </c>
      <c r="F21" s="481">
        <f>D349</f>
        <v>0</v>
      </c>
      <c r="G21" s="481"/>
      <c r="H21" s="327">
        <f>E349</f>
        <v>0</v>
      </c>
      <c r="I21" s="327">
        <v>0</v>
      </c>
      <c r="J21" s="327">
        <f t="shared" si="3"/>
        <v>0</v>
      </c>
      <c r="K21" s="38"/>
      <c r="L21" s="39"/>
    </row>
    <row r="22" spans="2:12" s="23" customFormat="1" ht="37.5" customHeight="1">
      <c r="B22" s="457" t="s">
        <v>227</v>
      </c>
      <c r="C22" s="457"/>
      <c r="D22" s="457"/>
      <c r="E22" s="457"/>
      <c r="F22" s="457"/>
      <c r="G22" s="457"/>
      <c r="H22" s="457"/>
      <c r="I22" s="457"/>
      <c r="J22" s="457"/>
    </row>
    <row r="23" spans="2:12" ht="12" customHeight="1">
      <c r="B23" s="53"/>
      <c r="C23" s="54"/>
      <c r="D23" s="54"/>
      <c r="E23" s="54"/>
      <c r="F23" s="54"/>
      <c r="G23" s="55"/>
      <c r="H23" s="55"/>
      <c r="I23" s="485" t="s">
        <v>6</v>
      </c>
      <c r="J23" s="485"/>
    </row>
    <row r="24" spans="2:12" ht="57.6" customHeight="1">
      <c r="B24" s="81" t="s">
        <v>2</v>
      </c>
      <c r="C24" s="81" t="s">
        <v>40</v>
      </c>
      <c r="D24" s="81" t="s">
        <v>221</v>
      </c>
      <c r="E24" s="81" t="s">
        <v>220</v>
      </c>
      <c r="F24" s="82" t="s">
        <v>9</v>
      </c>
      <c r="G24" s="82" t="s">
        <v>12</v>
      </c>
      <c r="H24" s="402" t="s">
        <v>205</v>
      </c>
      <c r="I24" s="403"/>
      <c r="J24" s="404"/>
    </row>
    <row r="25" spans="2:12" s="26" customFormat="1" ht="230.25" customHeight="1">
      <c r="B25" s="83" t="s">
        <v>18</v>
      </c>
      <c r="C25" s="96">
        <f>C26+C28</f>
        <v>34594.9</v>
      </c>
      <c r="D25" s="96">
        <f t="shared" ref="D25:E25" si="4">D26+D28</f>
        <v>17162.099999999999</v>
      </c>
      <c r="E25" s="96">
        <f t="shared" si="4"/>
        <v>16580.100000000002</v>
      </c>
      <c r="F25" s="96">
        <f t="shared" ref="F25:F37" si="5">E25/D25*100</f>
        <v>96.608806614575158</v>
      </c>
      <c r="G25" s="96">
        <f t="shared" ref="G25:G35" si="6">E25/C25*100</f>
        <v>47.926428461998739</v>
      </c>
      <c r="H25" s="463"/>
      <c r="I25" s="464"/>
      <c r="J25" s="465"/>
    </row>
    <row r="26" spans="2:12" ht="58.5" customHeight="1">
      <c r="B26" s="97" t="s">
        <v>19</v>
      </c>
      <c r="C26" s="98">
        <f>C27</f>
        <v>32478.9</v>
      </c>
      <c r="D26" s="98">
        <f t="shared" ref="D26:E26" si="7">D27</f>
        <v>16937.099999999999</v>
      </c>
      <c r="E26" s="98">
        <f t="shared" si="7"/>
        <v>16555.2</v>
      </c>
      <c r="F26" s="98">
        <f t="shared" ref="F26" si="8">E26/D26*100</f>
        <v>97.745186602192831</v>
      </c>
      <c r="G26" s="98">
        <f t="shared" ref="G26" si="9">E26/C26*100</f>
        <v>50.972169623971254</v>
      </c>
      <c r="H26" s="469"/>
      <c r="I26" s="470"/>
      <c r="J26" s="471"/>
    </row>
    <row r="27" spans="2:12" s="25" customFormat="1" ht="120.75" customHeight="1">
      <c r="B27" s="99" t="s">
        <v>226</v>
      </c>
      <c r="C27" s="100">
        <v>32478.9</v>
      </c>
      <c r="D27" s="100">
        <v>16937.099999999999</v>
      </c>
      <c r="E27" s="100">
        <v>16555.2</v>
      </c>
      <c r="F27" s="100">
        <f t="shared" si="5"/>
        <v>97.745186602192831</v>
      </c>
      <c r="G27" s="100">
        <f t="shared" si="6"/>
        <v>50.972169623971254</v>
      </c>
      <c r="H27" s="473" t="s">
        <v>206</v>
      </c>
      <c r="I27" s="474"/>
      <c r="J27" s="475"/>
      <c r="L27" s="47"/>
    </row>
    <row r="28" spans="2:12" ht="81.75" customHeight="1">
      <c r="B28" s="101" t="s">
        <v>20</v>
      </c>
      <c r="C28" s="98">
        <f>C29</f>
        <v>2116</v>
      </c>
      <c r="D28" s="98">
        <f t="shared" ref="D28" si="10">D29</f>
        <v>225</v>
      </c>
      <c r="E28" s="102">
        <f t="shared" ref="E28" si="11">E29</f>
        <v>24.9</v>
      </c>
      <c r="F28" s="102">
        <f t="shared" si="5"/>
        <v>11.066666666666666</v>
      </c>
      <c r="G28" s="102">
        <f t="shared" ref="G28" si="12">E28/C28*100</f>
        <v>1.1767485822306238</v>
      </c>
      <c r="H28" s="469"/>
      <c r="I28" s="470"/>
      <c r="J28" s="471"/>
    </row>
    <row r="29" spans="2:12" ht="40.15" customHeight="1">
      <c r="B29" s="103" t="s">
        <v>21</v>
      </c>
      <c r="C29" s="100">
        <f>C30+C31</f>
        <v>2116</v>
      </c>
      <c r="D29" s="100">
        <f t="shared" ref="D29:E29" si="13">D30+D31</f>
        <v>225</v>
      </c>
      <c r="E29" s="104">
        <f t="shared" si="13"/>
        <v>24.9</v>
      </c>
      <c r="F29" s="104">
        <f t="shared" ref="F29" si="14">E29/D29*100</f>
        <v>11.066666666666666</v>
      </c>
      <c r="G29" s="104">
        <f t="shared" si="6"/>
        <v>1.1767485822306238</v>
      </c>
      <c r="H29" s="466"/>
      <c r="I29" s="467"/>
      <c r="J29" s="468"/>
    </row>
    <row r="30" spans="2:12" s="20" customFormat="1" ht="140.25" customHeight="1">
      <c r="B30" s="105" t="s">
        <v>22</v>
      </c>
      <c r="C30" s="106">
        <v>2066</v>
      </c>
      <c r="D30" s="106">
        <v>200</v>
      </c>
      <c r="E30" s="107">
        <v>0</v>
      </c>
      <c r="F30" s="107">
        <v>0</v>
      </c>
      <c r="G30" s="107">
        <f t="shared" si="6"/>
        <v>0</v>
      </c>
      <c r="H30" s="466" t="s">
        <v>194</v>
      </c>
      <c r="I30" s="467"/>
      <c r="J30" s="468"/>
    </row>
    <row r="31" spans="2:12" s="20" customFormat="1" ht="40.15" customHeight="1">
      <c r="B31" s="105" t="s">
        <v>23</v>
      </c>
      <c r="C31" s="106">
        <v>50</v>
      </c>
      <c r="D31" s="107">
        <v>25</v>
      </c>
      <c r="E31" s="107">
        <v>24.9</v>
      </c>
      <c r="F31" s="100">
        <f t="shared" si="5"/>
        <v>99.6</v>
      </c>
      <c r="G31" s="107">
        <f t="shared" ref="G31" si="15">E31/C31*100</f>
        <v>49.8</v>
      </c>
      <c r="H31" s="466" t="s">
        <v>223</v>
      </c>
      <c r="I31" s="467"/>
      <c r="J31" s="468"/>
    </row>
    <row r="32" spans="2:12" s="114" customFormat="1" ht="88.9" customHeight="1">
      <c r="B32" s="83" t="s">
        <v>24</v>
      </c>
      <c r="C32" s="96">
        <f>C33+C40+C42</f>
        <v>225934.6</v>
      </c>
      <c r="D32" s="96">
        <f t="shared" ref="D32:E32" si="16">D33+D40+D42</f>
        <v>124304.8</v>
      </c>
      <c r="E32" s="96">
        <f t="shared" si="16"/>
        <v>118822.39999999999</v>
      </c>
      <c r="F32" s="96">
        <f t="shared" ref="F32" si="17">E32/D32*100</f>
        <v>95.58955084598503</v>
      </c>
      <c r="G32" s="96">
        <f t="shared" si="6"/>
        <v>52.591502142655436</v>
      </c>
      <c r="H32" s="486"/>
      <c r="I32" s="487"/>
      <c r="J32" s="488"/>
    </row>
    <row r="33" spans="2:10" s="77" customFormat="1" ht="60">
      <c r="B33" s="115" t="s">
        <v>25</v>
      </c>
      <c r="C33" s="98">
        <f>C34+C35+C36</f>
        <v>222128.2</v>
      </c>
      <c r="D33" s="98">
        <f t="shared" ref="D33:E33" si="18">D34+D35+D36</f>
        <v>123123.4</v>
      </c>
      <c r="E33" s="98">
        <f t="shared" si="18"/>
        <v>117930.9</v>
      </c>
      <c r="F33" s="98">
        <f t="shared" ref="F33" si="19">E33/D33*100</f>
        <v>95.78268631308103</v>
      </c>
      <c r="G33" s="98">
        <f t="shared" si="6"/>
        <v>53.091367957782928</v>
      </c>
      <c r="H33" s="447"/>
      <c r="I33" s="448"/>
      <c r="J33" s="449"/>
    </row>
    <row r="34" spans="2:10" s="113" customFormat="1" ht="99.75" customHeight="1">
      <c r="B34" s="99" t="s">
        <v>231</v>
      </c>
      <c r="C34" s="100">
        <f>4221.4+17208.9+13274.2+172562.6+9138.7</f>
        <v>216405.80000000002</v>
      </c>
      <c r="D34" s="100">
        <f>2195.3+11919.1+8582.3+94380.3+3371.4+2031</f>
        <v>122479.4</v>
      </c>
      <c r="E34" s="100">
        <f>1938.4+11014.5+8163.5+92035.5+4184</f>
        <v>117335.9</v>
      </c>
      <c r="F34" s="100">
        <f t="shared" ref="F34" si="20">E34/D34*100</f>
        <v>95.800518291239172</v>
      </c>
      <c r="G34" s="104">
        <f t="shared" si="6"/>
        <v>54.220312024908758</v>
      </c>
      <c r="H34" s="473" t="s">
        <v>206</v>
      </c>
      <c r="I34" s="474"/>
      <c r="J34" s="475"/>
    </row>
    <row r="35" spans="2:10" s="25" customFormat="1" ht="94.15" customHeight="1">
      <c r="B35" s="108" t="s">
        <v>34</v>
      </c>
      <c r="C35" s="109">
        <v>29.5</v>
      </c>
      <c r="D35" s="104">
        <v>0</v>
      </c>
      <c r="E35" s="104">
        <v>0</v>
      </c>
      <c r="F35" s="104">
        <v>0</v>
      </c>
      <c r="G35" s="104">
        <f t="shared" si="6"/>
        <v>0</v>
      </c>
      <c r="H35" s="451"/>
      <c r="I35" s="452"/>
      <c r="J35" s="453"/>
    </row>
    <row r="36" spans="2:10" s="25" customFormat="1" ht="39.6" customHeight="1">
      <c r="B36" s="108" t="s">
        <v>21</v>
      </c>
      <c r="C36" s="109">
        <f>C37+C38+C39</f>
        <v>5692.9</v>
      </c>
      <c r="D36" s="109">
        <f t="shared" ref="D36:E36" si="21">D37+D38+D39</f>
        <v>644</v>
      </c>
      <c r="E36" s="109">
        <f t="shared" si="21"/>
        <v>595</v>
      </c>
      <c r="F36" s="104">
        <v>0</v>
      </c>
      <c r="G36" s="104">
        <f t="shared" ref="G36" si="22">E36/C36*100</f>
        <v>10.451615169772875</v>
      </c>
      <c r="H36" s="451"/>
      <c r="I36" s="452"/>
      <c r="J36" s="453"/>
    </row>
    <row r="37" spans="2:10" s="20" customFormat="1" ht="28.9" customHeight="1">
      <c r="B37" s="110" t="s">
        <v>26</v>
      </c>
      <c r="C37" s="111">
        <v>258.89999999999998</v>
      </c>
      <c r="D37" s="107">
        <v>160</v>
      </c>
      <c r="E37" s="107">
        <v>111</v>
      </c>
      <c r="F37" s="100">
        <f t="shared" si="5"/>
        <v>69.375</v>
      </c>
      <c r="G37" s="107">
        <f t="shared" ref="G37:G38" si="23">E37/C37*100</f>
        <v>42.873696407879493</v>
      </c>
      <c r="H37" s="451"/>
      <c r="I37" s="452"/>
      <c r="J37" s="453"/>
    </row>
    <row r="38" spans="2:10" s="20" customFormat="1" ht="28.9" customHeight="1">
      <c r="B38" s="110" t="s">
        <v>27</v>
      </c>
      <c r="C38" s="111">
        <v>4950</v>
      </c>
      <c r="D38" s="107">
        <v>0</v>
      </c>
      <c r="E38" s="107">
        <v>0</v>
      </c>
      <c r="F38" s="107">
        <v>0</v>
      </c>
      <c r="G38" s="107">
        <f t="shared" si="23"/>
        <v>0</v>
      </c>
      <c r="H38" s="451"/>
      <c r="I38" s="452"/>
      <c r="J38" s="453"/>
    </row>
    <row r="39" spans="2:10" s="20" customFormat="1" ht="55.5" customHeight="1">
      <c r="B39" s="127" t="s">
        <v>232</v>
      </c>
      <c r="C39" s="111">
        <v>484</v>
      </c>
      <c r="D39" s="107">
        <v>484</v>
      </c>
      <c r="E39" s="107">
        <v>484</v>
      </c>
      <c r="F39" s="100">
        <f t="shared" ref="F39" si="24">E39/D39*100</f>
        <v>100</v>
      </c>
      <c r="G39" s="107">
        <f t="shared" ref="G39" si="25">E39/C39*100</f>
        <v>100</v>
      </c>
      <c r="H39" s="451" t="s">
        <v>233</v>
      </c>
      <c r="I39" s="452"/>
      <c r="J39" s="453"/>
    </row>
    <row r="40" spans="2:10" ht="60">
      <c r="B40" s="97" t="s">
        <v>28</v>
      </c>
      <c r="C40" s="112">
        <f>C41</f>
        <v>623.9</v>
      </c>
      <c r="D40" s="112">
        <f t="shared" ref="D40:E40" si="26">D41</f>
        <v>261.8</v>
      </c>
      <c r="E40" s="112">
        <f t="shared" si="26"/>
        <v>252.5</v>
      </c>
      <c r="F40" s="98">
        <f t="shared" ref="F40:F41" si="27">E40/D40*100</f>
        <v>96.447669977081745</v>
      </c>
      <c r="G40" s="98">
        <f t="shared" ref="G40:G41" si="28">E40/C40*100</f>
        <v>40.471229363680081</v>
      </c>
      <c r="H40" s="451"/>
      <c r="I40" s="452"/>
      <c r="J40" s="453"/>
    </row>
    <row r="41" spans="2:10" s="25" customFormat="1" ht="69" customHeight="1">
      <c r="B41" s="108" t="s">
        <v>29</v>
      </c>
      <c r="C41" s="109">
        <v>623.9</v>
      </c>
      <c r="D41" s="109">
        <v>261.8</v>
      </c>
      <c r="E41" s="109">
        <v>252.5</v>
      </c>
      <c r="F41" s="100">
        <f t="shared" si="27"/>
        <v>96.447669977081745</v>
      </c>
      <c r="G41" s="100">
        <f t="shared" si="28"/>
        <v>40.471229363680081</v>
      </c>
      <c r="H41" s="466" t="s">
        <v>228</v>
      </c>
      <c r="I41" s="467"/>
      <c r="J41" s="468"/>
    </row>
    <row r="42" spans="2:10" ht="90">
      <c r="B42" s="120" t="s">
        <v>30</v>
      </c>
      <c r="C42" s="121">
        <f>C43</f>
        <v>3182.5</v>
      </c>
      <c r="D42" s="121">
        <f t="shared" ref="D42:E42" si="29">D43</f>
        <v>919.6</v>
      </c>
      <c r="E42" s="121">
        <f t="shared" si="29"/>
        <v>639</v>
      </c>
      <c r="F42" s="122">
        <f t="shared" ref="F42" si="30">E42/D42*100</f>
        <v>69.486733362331449</v>
      </c>
      <c r="G42" s="122">
        <f t="shared" ref="G42" si="31">E42/C42*100</f>
        <v>20.078554595443833</v>
      </c>
      <c r="H42" s="454"/>
      <c r="I42" s="455"/>
      <c r="J42" s="456"/>
    </row>
    <row r="43" spans="2:10" s="25" customFormat="1" ht="26.45" customHeight="1">
      <c r="B43" s="123" t="s">
        <v>31</v>
      </c>
      <c r="C43" s="124">
        <f>C44+C45+C46</f>
        <v>3182.5</v>
      </c>
      <c r="D43" s="124">
        <f t="shared" ref="D43:E43" si="32">D44+D45+D46</f>
        <v>919.6</v>
      </c>
      <c r="E43" s="124">
        <f t="shared" si="32"/>
        <v>639</v>
      </c>
      <c r="F43" s="125">
        <f t="shared" ref="F43" si="33">E43/D43*100</f>
        <v>69.486733362331449</v>
      </c>
      <c r="G43" s="125">
        <f t="shared" ref="G43" si="34">E43/C43*100</f>
        <v>20.078554595443833</v>
      </c>
      <c r="H43" s="454"/>
      <c r="I43" s="455"/>
      <c r="J43" s="456"/>
    </row>
    <row r="44" spans="2:10" s="20" customFormat="1" ht="126" customHeight="1">
      <c r="B44" s="116" t="s">
        <v>32</v>
      </c>
      <c r="C44" s="117">
        <v>2290.8000000000002</v>
      </c>
      <c r="D44" s="117">
        <v>919.6</v>
      </c>
      <c r="E44" s="117">
        <v>639</v>
      </c>
      <c r="F44" s="126">
        <f t="shared" ref="F44:F47" si="35">E44/D44*100</f>
        <v>69.486733362331449</v>
      </c>
      <c r="G44" s="126">
        <f t="shared" ref="G44:G47" si="36">E44/C44*100</f>
        <v>27.894185437401781</v>
      </c>
      <c r="H44" s="490" t="s">
        <v>230</v>
      </c>
      <c r="I44" s="491"/>
      <c r="J44" s="492"/>
    </row>
    <row r="45" spans="2:10" s="20" customFormat="1" ht="56.45" customHeight="1">
      <c r="B45" s="116" t="s">
        <v>33</v>
      </c>
      <c r="C45" s="117">
        <v>718.6</v>
      </c>
      <c r="D45" s="118">
        <v>0</v>
      </c>
      <c r="E45" s="118">
        <v>0</v>
      </c>
      <c r="F45" s="119">
        <v>0</v>
      </c>
      <c r="G45" s="119">
        <f t="shared" si="36"/>
        <v>0</v>
      </c>
      <c r="H45" s="454" t="s">
        <v>229</v>
      </c>
      <c r="I45" s="455"/>
      <c r="J45" s="456"/>
    </row>
    <row r="46" spans="2:10" s="113" customFormat="1" ht="16.149999999999999" customHeight="1">
      <c r="B46" s="116" t="s">
        <v>35</v>
      </c>
      <c r="C46" s="117">
        <v>173.1</v>
      </c>
      <c r="D46" s="118">
        <v>0</v>
      </c>
      <c r="E46" s="118">
        <v>0</v>
      </c>
      <c r="F46" s="119">
        <v>0</v>
      </c>
      <c r="G46" s="119">
        <f t="shared" si="36"/>
        <v>0</v>
      </c>
      <c r="H46" s="454"/>
      <c r="I46" s="455"/>
      <c r="J46" s="456"/>
    </row>
    <row r="47" spans="2:10" s="26" customFormat="1" ht="97.5" customHeight="1">
      <c r="B47" s="83" t="s">
        <v>36</v>
      </c>
      <c r="C47" s="128">
        <f>C48+C49</f>
        <v>8325.5</v>
      </c>
      <c r="D47" s="128">
        <f t="shared" ref="D47:E47" si="37">D48+D49</f>
        <v>4926.6000000000004</v>
      </c>
      <c r="E47" s="128">
        <f t="shared" si="37"/>
        <v>3728.7000000000003</v>
      </c>
      <c r="F47" s="96">
        <f t="shared" si="35"/>
        <v>75.685056631348189</v>
      </c>
      <c r="G47" s="96">
        <f t="shared" si="36"/>
        <v>44.786499309350788</v>
      </c>
      <c r="H47" s="460"/>
      <c r="I47" s="461"/>
      <c r="J47" s="462"/>
    </row>
    <row r="48" spans="2:10" s="25" customFormat="1" ht="66" customHeight="1">
      <c r="B48" s="108" t="s">
        <v>37</v>
      </c>
      <c r="C48" s="109">
        <v>1559.2</v>
      </c>
      <c r="D48" s="109">
        <v>1099.7</v>
      </c>
      <c r="E48" s="109">
        <v>900.4</v>
      </c>
      <c r="F48" s="100">
        <f t="shared" ref="F48:F49" si="38">E48/D48*100</f>
        <v>81.87687551150313</v>
      </c>
      <c r="G48" s="100">
        <f t="shared" ref="G48:G49" si="39">E48/C48*100</f>
        <v>57.747562852744991</v>
      </c>
      <c r="H48" s="451" t="s">
        <v>195</v>
      </c>
      <c r="I48" s="452"/>
      <c r="J48" s="453"/>
    </row>
    <row r="49" spans="2:11" s="25" customFormat="1" ht="79.900000000000006" customHeight="1">
      <c r="B49" s="108" t="s">
        <v>38</v>
      </c>
      <c r="C49" s="109">
        <v>6766.3</v>
      </c>
      <c r="D49" s="109">
        <v>3826.9</v>
      </c>
      <c r="E49" s="109">
        <v>2828.3</v>
      </c>
      <c r="F49" s="100">
        <f t="shared" si="38"/>
        <v>73.90577229611435</v>
      </c>
      <c r="G49" s="100">
        <f t="shared" si="39"/>
        <v>41.799801959712099</v>
      </c>
      <c r="H49" s="451" t="s">
        <v>195</v>
      </c>
      <c r="I49" s="452"/>
      <c r="J49" s="453"/>
    </row>
    <row r="50" spans="2:11" s="22" customFormat="1" ht="128.25">
      <c r="B50" s="83" t="s">
        <v>234</v>
      </c>
      <c r="C50" s="128">
        <f t="shared" ref="C50:F51" si="40">C51</f>
        <v>242.5</v>
      </c>
      <c r="D50" s="129">
        <f t="shared" si="40"/>
        <v>0</v>
      </c>
      <c r="E50" s="129">
        <f t="shared" si="40"/>
        <v>0</v>
      </c>
      <c r="F50" s="130">
        <f t="shared" si="40"/>
        <v>0</v>
      </c>
      <c r="G50" s="130">
        <f t="shared" ref="G50:G53" si="41">E50/C50*100</f>
        <v>0</v>
      </c>
      <c r="H50" s="460"/>
      <c r="I50" s="461"/>
      <c r="J50" s="462"/>
    </row>
    <row r="51" spans="2:11" s="22" customFormat="1" ht="48.75" customHeight="1">
      <c r="B51" s="108" t="s">
        <v>235</v>
      </c>
      <c r="C51" s="109">
        <f t="shared" si="40"/>
        <v>242.5</v>
      </c>
      <c r="D51" s="131">
        <f t="shared" si="40"/>
        <v>0</v>
      </c>
      <c r="E51" s="131">
        <f t="shared" si="40"/>
        <v>0</v>
      </c>
      <c r="F51" s="132">
        <f t="shared" si="40"/>
        <v>0</v>
      </c>
      <c r="G51" s="132">
        <f t="shared" si="41"/>
        <v>0</v>
      </c>
      <c r="H51" s="451"/>
      <c r="I51" s="452"/>
      <c r="J51" s="453"/>
    </row>
    <row r="52" spans="2:11" s="22" customFormat="1" ht="46.5" customHeight="1">
      <c r="B52" s="108" t="s">
        <v>341</v>
      </c>
      <c r="C52" s="109">
        <v>242.5</v>
      </c>
      <c r="D52" s="131">
        <v>0</v>
      </c>
      <c r="E52" s="131">
        <v>0</v>
      </c>
      <c r="F52" s="132">
        <v>0</v>
      </c>
      <c r="G52" s="132">
        <f t="shared" si="41"/>
        <v>0</v>
      </c>
      <c r="H52" s="451"/>
      <c r="I52" s="452"/>
      <c r="J52" s="453"/>
    </row>
    <row r="53" spans="2:11" s="22" customFormat="1" ht="18.600000000000001" customHeight="1">
      <c r="B53" s="133" t="s">
        <v>1</v>
      </c>
      <c r="C53" s="93">
        <f>C25+C32+C47+C50</f>
        <v>269097.5</v>
      </c>
      <c r="D53" s="93">
        <f t="shared" ref="D53:E53" si="42">D25+D32+D47+D50</f>
        <v>146393.5</v>
      </c>
      <c r="E53" s="93">
        <f t="shared" si="42"/>
        <v>139131.20000000001</v>
      </c>
      <c r="F53" s="93">
        <f t="shared" ref="F53" si="43">E53/D53*100</f>
        <v>95.039192313866408</v>
      </c>
      <c r="G53" s="93">
        <f t="shared" si="41"/>
        <v>51.702895790559189</v>
      </c>
      <c r="H53" s="552"/>
      <c r="I53" s="553"/>
      <c r="J53" s="554"/>
    </row>
    <row r="54" spans="2:11" ht="12.6" customHeight="1">
      <c r="B54" s="56"/>
      <c r="C54" s="57"/>
      <c r="D54" s="57"/>
      <c r="E54" s="57"/>
      <c r="F54" s="57"/>
      <c r="G54" s="58"/>
      <c r="H54" s="58"/>
      <c r="I54" s="58"/>
      <c r="J54" s="58"/>
    </row>
    <row r="55" spans="2:11" s="22" customFormat="1" ht="100.5" customHeight="1">
      <c r="B55" s="489" t="s">
        <v>236</v>
      </c>
      <c r="C55" s="489"/>
      <c r="D55" s="489"/>
      <c r="E55" s="489"/>
      <c r="F55" s="489"/>
      <c r="G55" s="489"/>
      <c r="H55" s="489"/>
      <c r="I55" s="489"/>
      <c r="J55" s="489"/>
      <c r="K55" s="1"/>
    </row>
    <row r="56" spans="2:11" ht="3.75" customHeight="1">
      <c r="B56" s="59"/>
      <c r="C56" s="60"/>
      <c r="D56" s="60"/>
      <c r="E56" s="60"/>
      <c r="F56" s="60"/>
      <c r="G56" s="61"/>
      <c r="H56" s="62"/>
      <c r="I56" s="62"/>
      <c r="J56" s="62"/>
    </row>
    <row r="57" spans="2:11" ht="56.25" customHeight="1">
      <c r="B57" s="357" t="s">
        <v>237</v>
      </c>
      <c r="C57" s="357"/>
      <c r="D57" s="357"/>
      <c r="E57" s="357"/>
      <c r="F57" s="357"/>
      <c r="G57" s="357"/>
      <c r="H57" s="357"/>
      <c r="I57" s="357"/>
      <c r="J57" s="357"/>
      <c r="K57" s="11"/>
    </row>
    <row r="58" spans="2:11" ht="13.5" customHeight="1">
      <c r="B58" s="149"/>
      <c r="C58" s="150"/>
      <c r="D58" s="150"/>
      <c r="E58" s="150"/>
      <c r="F58" s="150"/>
      <c r="G58" s="151"/>
      <c r="H58" s="151"/>
      <c r="I58" s="376" t="s">
        <v>6</v>
      </c>
      <c r="J58" s="376"/>
    </row>
    <row r="59" spans="2:11" ht="54.75" customHeight="1">
      <c r="B59" s="152" t="s">
        <v>2</v>
      </c>
      <c r="C59" s="152" t="s">
        <v>40</v>
      </c>
      <c r="D59" s="152" t="s">
        <v>221</v>
      </c>
      <c r="E59" s="152" t="s">
        <v>220</v>
      </c>
      <c r="F59" s="153" t="s">
        <v>9</v>
      </c>
      <c r="G59" s="153" t="s">
        <v>12</v>
      </c>
      <c r="H59" s="377" t="s">
        <v>205</v>
      </c>
      <c r="I59" s="378"/>
      <c r="J59" s="379"/>
    </row>
    <row r="60" spans="2:11" s="26" customFormat="1" ht="71.45" customHeight="1">
      <c r="B60" s="154" t="s">
        <v>39</v>
      </c>
      <c r="C60" s="135">
        <f>C61+C69+C71</f>
        <v>4700.8</v>
      </c>
      <c r="D60" s="135">
        <f t="shared" ref="D60:E60" si="44">D61+D69+D71</f>
        <v>415.59999999999997</v>
      </c>
      <c r="E60" s="135">
        <f t="shared" si="44"/>
        <v>404.6</v>
      </c>
      <c r="F60" s="135">
        <f t="shared" ref="F60" si="45">E60/D60*100</f>
        <v>97.353224254090492</v>
      </c>
      <c r="G60" s="135">
        <f t="shared" ref="G60" si="46">E60/C60*100</f>
        <v>8.6070456092579981</v>
      </c>
      <c r="H60" s="395"/>
      <c r="I60" s="396"/>
      <c r="J60" s="397"/>
    </row>
    <row r="61" spans="2:11" ht="45">
      <c r="B61" s="143" t="s">
        <v>41</v>
      </c>
      <c r="C61" s="139">
        <f>C62+C63+C64+C65+C66</f>
        <v>2140.8000000000002</v>
      </c>
      <c r="D61" s="139">
        <f t="shared" ref="D61:E61" si="47">D62+D63+D64+D65+D66</f>
        <v>402.59999999999997</v>
      </c>
      <c r="E61" s="139">
        <f t="shared" si="47"/>
        <v>391.6</v>
      </c>
      <c r="F61" s="138">
        <f>E61/D61*100</f>
        <v>97.267759562841547</v>
      </c>
      <c r="G61" s="139">
        <f t="shared" ref="G61:G87" si="48">E61/C61*100</f>
        <v>18.292227204783256</v>
      </c>
      <c r="H61" s="459"/>
      <c r="I61" s="459"/>
      <c r="J61" s="459"/>
    </row>
    <row r="62" spans="2:11" s="25" customFormat="1" ht="43.15" customHeight="1">
      <c r="B62" s="144" t="s">
        <v>42</v>
      </c>
      <c r="C62" s="142">
        <v>89.8</v>
      </c>
      <c r="D62" s="145">
        <v>30.2</v>
      </c>
      <c r="E62" s="145">
        <v>29.4</v>
      </c>
      <c r="F62" s="146">
        <f>E62/D62*100</f>
        <v>97.350993377483448</v>
      </c>
      <c r="G62" s="146">
        <f t="shared" si="48"/>
        <v>32.739420935412028</v>
      </c>
      <c r="H62" s="508"/>
      <c r="I62" s="556"/>
      <c r="J62" s="557"/>
    </row>
    <row r="63" spans="2:11" s="25" customFormat="1" ht="68.45" customHeight="1">
      <c r="B63" s="147" t="s">
        <v>43</v>
      </c>
      <c r="C63" s="142">
        <v>38.5</v>
      </c>
      <c r="D63" s="145">
        <v>13</v>
      </c>
      <c r="E63" s="145">
        <v>12.6</v>
      </c>
      <c r="F63" s="146">
        <f>E63/D63*100</f>
        <v>96.92307692307692</v>
      </c>
      <c r="G63" s="146">
        <f t="shared" si="48"/>
        <v>32.727272727272727</v>
      </c>
      <c r="H63" s="558"/>
      <c r="I63" s="559"/>
      <c r="J63" s="560"/>
    </row>
    <row r="64" spans="2:11" s="25" customFormat="1" ht="120.6" customHeight="1">
      <c r="B64" s="148" t="s">
        <v>342</v>
      </c>
      <c r="C64" s="141">
        <v>350</v>
      </c>
      <c r="D64" s="145">
        <v>0</v>
      </c>
      <c r="E64" s="145">
        <v>0</v>
      </c>
      <c r="F64" s="146">
        <v>0</v>
      </c>
      <c r="G64" s="146">
        <f t="shared" si="48"/>
        <v>0</v>
      </c>
      <c r="H64" s="350"/>
      <c r="I64" s="351"/>
      <c r="J64" s="352"/>
    </row>
    <row r="65" spans="2:10" s="25" customFormat="1" ht="161.25" customHeight="1">
      <c r="B65" s="140" t="s">
        <v>44</v>
      </c>
      <c r="C65" s="142">
        <v>87.5</v>
      </c>
      <c r="D65" s="145">
        <v>0</v>
      </c>
      <c r="E65" s="145">
        <v>0</v>
      </c>
      <c r="F65" s="146">
        <v>0</v>
      </c>
      <c r="G65" s="146">
        <f t="shared" si="48"/>
        <v>0</v>
      </c>
      <c r="H65" s="558"/>
      <c r="I65" s="559"/>
      <c r="J65" s="560"/>
    </row>
    <row r="66" spans="2:10" ht="31.15" customHeight="1">
      <c r="B66" s="144" t="s">
        <v>31</v>
      </c>
      <c r="C66" s="139">
        <f>C67+C68</f>
        <v>1575</v>
      </c>
      <c r="D66" s="139">
        <f t="shared" ref="D66:E66" si="49">D67+D68</f>
        <v>359.4</v>
      </c>
      <c r="E66" s="139">
        <f t="shared" si="49"/>
        <v>349.6</v>
      </c>
      <c r="F66" s="138">
        <f t="shared" ref="F66" si="50">E66/D66*100</f>
        <v>97.273233166388437</v>
      </c>
      <c r="G66" s="139">
        <f t="shared" ref="G66:G67" si="51">E66/C66*100</f>
        <v>22.1968253968254</v>
      </c>
      <c r="H66" s="344"/>
      <c r="I66" s="345"/>
      <c r="J66" s="346"/>
    </row>
    <row r="67" spans="2:10" s="25" customFormat="1" ht="148.15" customHeight="1">
      <c r="B67" s="155" t="s">
        <v>45</v>
      </c>
      <c r="C67" s="156">
        <v>100</v>
      </c>
      <c r="D67" s="157">
        <v>0</v>
      </c>
      <c r="E67" s="157">
        <v>0</v>
      </c>
      <c r="F67" s="158">
        <v>0</v>
      </c>
      <c r="G67" s="157">
        <f t="shared" si="51"/>
        <v>0</v>
      </c>
      <c r="H67" s="344"/>
      <c r="I67" s="345"/>
      <c r="J67" s="346"/>
    </row>
    <row r="68" spans="2:10" s="25" customFormat="1" ht="79.900000000000006" customHeight="1">
      <c r="B68" s="155" t="s">
        <v>46</v>
      </c>
      <c r="C68" s="156">
        <v>1475</v>
      </c>
      <c r="D68" s="159">
        <v>359.4</v>
      </c>
      <c r="E68" s="159">
        <v>349.6</v>
      </c>
      <c r="F68" s="160">
        <f t="shared" ref="F68:F70" si="52">E68/D68*100</f>
        <v>97.273233166388437</v>
      </c>
      <c r="G68" s="159">
        <f t="shared" ref="G68:G70" si="53">E68/C68*100</f>
        <v>23.70169491525424</v>
      </c>
      <c r="H68" s="361" t="s">
        <v>238</v>
      </c>
      <c r="I68" s="362"/>
      <c r="J68" s="363"/>
    </row>
    <row r="69" spans="2:10" ht="69" customHeight="1">
      <c r="B69" s="161" t="s">
        <v>48</v>
      </c>
      <c r="C69" s="137">
        <f>C70</f>
        <v>60</v>
      </c>
      <c r="D69" s="162">
        <f t="shared" ref="D69:E69" si="54">D70</f>
        <v>13</v>
      </c>
      <c r="E69" s="162">
        <f t="shared" si="54"/>
        <v>13</v>
      </c>
      <c r="F69" s="163">
        <v>0</v>
      </c>
      <c r="G69" s="164">
        <f t="shared" si="53"/>
        <v>21.666666666666668</v>
      </c>
      <c r="H69" s="344"/>
      <c r="I69" s="345"/>
      <c r="J69" s="346"/>
    </row>
    <row r="70" spans="2:10" ht="93" customHeight="1">
      <c r="B70" s="165" t="s">
        <v>239</v>
      </c>
      <c r="C70" s="141">
        <v>60</v>
      </c>
      <c r="D70" s="164">
        <v>13</v>
      </c>
      <c r="E70" s="164">
        <v>13</v>
      </c>
      <c r="F70" s="160">
        <f t="shared" si="52"/>
        <v>100</v>
      </c>
      <c r="G70" s="146">
        <f t="shared" si="53"/>
        <v>21.666666666666668</v>
      </c>
      <c r="H70" s="344"/>
      <c r="I70" s="345"/>
      <c r="J70" s="346"/>
    </row>
    <row r="71" spans="2:10" ht="42.6" customHeight="1">
      <c r="B71" s="136" t="s">
        <v>49</v>
      </c>
      <c r="C71" s="137">
        <f t="shared" ref="C71:E71" si="55">C72</f>
        <v>2500</v>
      </c>
      <c r="D71" s="162">
        <f t="shared" si="55"/>
        <v>0</v>
      </c>
      <c r="E71" s="162">
        <f t="shared" si="55"/>
        <v>0</v>
      </c>
      <c r="F71" s="163">
        <v>0</v>
      </c>
      <c r="G71" s="164">
        <f t="shared" ref="G71:G73" si="56">E71/C71*100</f>
        <v>0</v>
      </c>
      <c r="H71" s="344"/>
      <c r="I71" s="345"/>
      <c r="J71" s="346"/>
    </row>
    <row r="72" spans="2:10" ht="229.5">
      <c r="B72" s="166" t="s">
        <v>343</v>
      </c>
      <c r="C72" s="141">
        <f>50+2450</f>
        <v>2500</v>
      </c>
      <c r="D72" s="164">
        <v>0</v>
      </c>
      <c r="E72" s="164">
        <v>0</v>
      </c>
      <c r="F72" s="146">
        <v>0</v>
      </c>
      <c r="G72" s="146">
        <f t="shared" si="56"/>
        <v>0</v>
      </c>
      <c r="H72" s="344"/>
      <c r="I72" s="345"/>
      <c r="J72" s="346"/>
    </row>
    <row r="73" spans="2:10" s="26" customFormat="1" ht="86.45" customHeight="1">
      <c r="B73" s="134" t="s">
        <v>47</v>
      </c>
      <c r="C73" s="135">
        <f>C74</f>
        <v>5920.5</v>
      </c>
      <c r="D73" s="135">
        <f t="shared" ref="D73:E73" si="57">D74</f>
        <v>3248.4</v>
      </c>
      <c r="E73" s="135">
        <f t="shared" si="57"/>
        <v>2400.4</v>
      </c>
      <c r="F73" s="135">
        <f t="shared" ref="F73" si="58">E73/D73*100</f>
        <v>73.894840536879684</v>
      </c>
      <c r="G73" s="135">
        <f t="shared" si="56"/>
        <v>40.543872983700702</v>
      </c>
      <c r="H73" s="389"/>
      <c r="I73" s="390"/>
      <c r="J73" s="391"/>
    </row>
    <row r="74" spans="2:10" ht="90" customHeight="1">
      <c r="B74" s="136" t="s">
        <v>25</v>
      </c>
      <c r="C74" s="137">
        <f t="shared" ref="C74" si="59">C75</f>
        <v>5920.5</v>
      </c>
      <c r="D74" s="137">
        <f t="shared" ref="D74" si="60">D75</f>
        <v>3248.4</v>
      </c>
      <c r="E74" s="137">
        <f t="shared" ref="E74" si="61">E75</f>
        <v>2400.4</v>
      </c>
      <c r="F74" s="138">
        <f>E74/D74*100</f>
        <v>73.894840536879684</v>
      </c>
      <c r="G74" s="139">
        <f t="shared" ref="G74:G76" si="62">E74/C74*100</f>
        <v>40.543872983700702</v>
      </c>
      <c r="H74" s="344"/>
      <c r="I74" s="345"/>
      <c r="J74" s="346"/>
    </row>
    <row r="75" spans="2:10" s="25" customFormat="1" ht="150" customHeight="1">
      <c r="B75" s="140" t="s">
        <v>188</v>
      </c>
      <c r="C75" s="141">
        <f>4664+1256.5</f>
        <v>5920.5</v>
      </c>
      <c r="D75" s="142">
        <f>2271.5+976.9</f>
        <v>3248.4</v>
      </c>
      <c r="E75" s="142">
        <f>1827.7+572.7</f>
        <v>2400.4</v>
      </c>
      <c r="F75" s="141">
        <f t="shared" ref="F75:F76" si="63">E75/D75*100</f>
        <v>73.894840536879684</v>
      </c>
      <c r="G75" s="141">
        <f t="shared" si="62"/>
        <v>40.543872983700702</v>
      </c>
      <c r="H75" s="344" t="s">
        <v>195</v>
      </c>
      <c r="I75" s="345"/>
      <c r="J75" s="346"/>
    </row>
    <row r="76" spans="2:10" s="26" customFormat="1" ht="127.9" customHeight="1">
      <c r="B76" s="174" t="s">
        <v>50</v>
      </c>
      <c r="C76" s="135">
        <f>C77+C82</f>
        <v>28474.400000000001</v>
      </c>
      <c r="D76" s="135">
        <f t="shared" ref="D76:E76" si="64">D77+D82</f>
        <v>10920.1</v>
      </c>
      <c r="E76" s="135">
        <f t="shared" si="64"/>
        <v>10443.5</v>
      </c>
      <c r="F76" s="135">
        <f t="shared" si="63"/>
        <v>95.63557110282872</v>
      </c>
      <c r="G76" s="135">
        <f t="shared" si="62"/>
        <v>36.676804427836935</v>
      </c>
      <c r="H76" s="389"/>
      <c r="I76" s="390"/>
      <c r="J76" s="391"/>
    </row>
    <row r="77" spans="2:10" s="26" customFormat="1" ht="111.75" customHeight="1">
      <c r="B77" s="168" t="s">
        <v>51</v>
      </c>
      <c r="C77" s="138">
        <f>C78+C79</f>
        <v>27891.800000000003</v>
      </c>
      <c r="D77" s="138">
        <f t="shared" ref="D77:E77" si="65">D78+D79</f>
        <v>10789</v>
      </c>
      <c r="E77" s="138">
        <f t="shared" si="65"/>
        <v>10356.1</v>
      </c>
      <c r="F77" s="138">
        <f>E77/D77*100</f>
        <v>95.987579942534069</v>
      </c>
      <c r="G77" s="139">
        <f t="shared" ref="G77" si="66">E77/C77*100</f>
        <v>37.129550620612505</v>
      </c>
      <c r="H77" s="344"/>
      <c r="I77" s="345"/>
      <c r="J77" s="346"/>
    </row>
    <row r="78" spans="2:10" s="25" customFormat="1" ht="69" customHeight="1">
      <c r="B78" s="140" t="s">
        <v>52</v>
      </c>
      <c r="C78" s="141">
        <v>23094.7</v>
      </c>
      <c r="D78" s="142">
        <v>10786.8</v>
      </c>
      <c r="E78" s="142">
        <v>10353.9</v>
      </c>
      <c r="F78" s="141">
        <f t="shared" ref="F78" si="67">E78/D78*100</f>
        <v>95.986761597508064</v>
      </c>
      <c r="G78" s="141">
        <f t="shared" ref="G78" si="68">E78/C78*100</f>
        <v>44.832364135494288</v>
      </c>
      <c r="H78" s="344"/>
      <c r="I78" s="345"/>
      <c r="J78" s="346"/>
    </row>
    <row r="79" spans="2:10" s="25" customFormat="1" ht="29.45" customHeight="1">
      <c r="B79" s="140" t="s">
        <v>31</v>
      </c>
      <c r="C79" s="141">
        <f>C80+C81</f>
        <v>4797.1000000000004</v>
      </c>
      <c r="D79" s="146">
        <f t="shared" ref="D79:E79" si="69">D80+D81</f>
        <v>2.2000000000000002</v>
      </c>
      <c r="E79" s="146">
        <f t="shared" si="69"/>
        <v>2.2000000000000002</v>
      </c>
      <c r="F79" s="146">
        <v>0</v>
      </c>
      <c r="G79" s="146">
        <f t="shared" ref="G79" si="70">E79/C79*100</f>
        <v>4.5861041045631733E-2</v>
      </c>
      <c r="H79" s="344"/>
      <c r="I79" s="345"/>
      <c r="J79" s="346"/>
    </row>
    <row r="80" spans="2:10" s="20" customFormat="1" ht="93" customHeight="1">
      <c r="B80" s="166" t="s">
        <v>240</v>
      </c>
      <c r="C80" s="160">
        <v>225.5</v>
      </c>
      <c r="D80" s="157">
        <v>2.2000000000000002</v>
      </c>
      <c r="E80" s="157">
        <v>2.2000000000000002</v>
      </c>
      <c r="F80" s="158">
        <f>E80/D80*100</f>
        <v>100</v>
      </c>
      <c r="G80" s="167">
        <f t="shared" ref="G80:G82" si="71">E80/C80*100</f>
        <v>0.97560975609756095</v>
      </c>
      <c r="H80" s="344" t="s">
        <v>241</v>
      </c>
      <c r="I80" s="345"/>
      <c r="J80" s="346"/>
    </row>
    <row r="81" spans="2:11" s="20" customFormat="1" ht="26.45" customHeight="1">
      <c r="B81" s="166" t="s">
        <v>53</v>
      </c>
      <c r="C81" s="160">
        <v>4571.6000000000004</v>
      </c>
      <c r="D81" s="157">
        <v>0</v>
      </c>
      <c r="E81" s="157">
        <v>0</v>
      </c>
      <c r="F81" s="158">
        <v>0</v>
      </c>
      <c r="G81" s="157">
        <f t="shared" si="71"/>
        <v>0</v>
      </c>
      <c r="H81" s="344"/>
      <c r="I81" s="345"/>
      <c r="J81" s="346"/>
    </row>
    <row r="82" spans="2:11" ht="58.9" customHeight="1">
      <c r="B82" s="168" t="s">
        <v>54</v>
      </c>
      <c r="C82" s="138">
        <f>C83</f>
        <v>582.6</v>
      </c>
      <c r="D82" s="138">
        <f t="shared" ref="D82:E82" si="72">D83</f>
        <v>131.10000000000002</v>
      </c>
      <c r="E82" s="138">
        <f t="shared" si="72"/>
        <v>87.4</v>
      </c>
      <c r="F82" s="138">
        <f>E82/D82*100</f>
        <v>66.666666666666657</v>
      </c>
      <c r="G82" s="139">
        <f t="shared" si="71"/>
        <v>15.001716443529009</v>
      </c>
      <c r="H82" s="344"/>
      <c r="I82" s="345"/>
      <c r="J82" s="346"/>
    </row>
    <row r="83" spans="2:11" s="25" customFormat="1" ht="29.45" customHeight="1">
      <c r="B83" s="140" t="s">
        <v>31</v>
      </c>
      <c r="C83" s="141">
        <f>C84+C85+C86</f>
        <v>582.6</v>
      </c>
      <c r="D83" s="141">
        <f t="shared" ref="D83:E83" si="73">D84+D85+D86</f>
        <v>131.10000000000002</v>
      </c>
      <c r="E83" s="141">
        <f t="shared" si="73"/>
        <v>87.4</v>
      </c>
      <c r="F83" s="141">
        <f t="shared" ref="F83" si="74">E83/D83*100</f>
        <v>66.666666666666657</v>
      </c>
      <c r="G83" s="141">
        <f t="shared" ref="G83" si="75">E83/C83*100</f>
        <v>15.001716443529009</v>
      </c>
      <c r="H83" s="344"/>
      <c r="I83" s="345"/>
      <c r="J83" s="346"/>
    </row>
    <row r="84" spans="2:11" s="20" customFormat="1" ht="28.15" customHeight="1">
      <c r="B84" s="166" t="s">
        <v>55</v>
      </c>
      <c r="C84" s="160">
        <v>300</v>
      </c>
      <c r="D84" s="170">
        <v>0</v>
      </c>
      <c r="E84" s="157">
        <v>0</v>
      </c>
      <c r="F84" s="158">
        <v>0</v>
      </c>
      <c r="G84" s="157">
        <f t="shared" ref="G84:G86" si="76">E84/C84*100</f>
        <v>0</v>
      </c>
      <c r="H84" s="344"/>
      <c r="I84" s="345"/>
      <c r="J84" s="346"/>
    </row>
    <row r="85" spans="2:11" s="20" customFormat="1" ht="110.45" customHeight="1">
      <c r="B85" s="166" t="s">
        <v>57</v>
      </c>
      <c r="C85" s="160">
        <v>82.6</v>
      </c>
      <c r="D85" s="170">
        <v>54.7</v>
      </c>
      <c r="E85" s="157">
        <v>11</v>
      </c>
      <c r="F85" s="158">
        <f t="shared" ref="F85:F86" si="77">E85/D85*100</f>
        <v>20.109689213893965</v>
      </c>
      <c r="G85" s="157">
        <f t="shared" si="76"/>
        <v>13.317191283292978</v>
      </c>
      <c r="H85" s="518" t="s">
        <v>252</v>
      </c>
      <c r="I85" s="519"/>
      <c r="J85" s="520"/>
    </row>
    <row r="86" spans="2:11" s="20" customFormat="1" ht="57.6" customHeight="1">
      <c r="B86" s="166" t="s">
        <v>56</v>
      </c>
      <c r="C86" s="160">
        <v>200</v>
      </c>
      <c r="D86" s="170">
        <v>76.400000000000006</v>
      </c>
      <c r="E86" s="157">
        <v>76.400000000000006</v>
      </c>
      <c r="F86" s="160">
        <f t="shared" si="77"/>
        <v>100</v>
      </c>
      <c r="G86" s="159">
        <f t="shared" si="76"/>
        <v>38.200000000000003</v>
      </c>
      <c r="H86" s="344"/>
      <c r="I86" s="345"/>
      <c r="J86" s="346"/>
    </row>
    <row r="87" spans="2:11" ht="18" customHeight="1">
      <c r="B87" s="171" t="s">
        <v>1</v>
      </c>
      <c r="C87" s="172">
        <f>C60+C73+C76</f>
        <v>39095.699999999997</v>
      </c>
      <c r="D87" s="173">
        <f t="shared" ref="D87:E87" si="78">D60+D73+D76</f>
        <v>14584.1</v>
      </c>
      <c r="E87" s="172">
        <f t="shared" si="78"/>
        <v>13248.5</v>
      </c>
      <c r="F87" s="172">
        <f t="shared" ref="F87" si="79">E87/D87*100</f>
        <v>90.842081444861179</v>
      </c>
      <c r="G87" s="172">
        <f t="shared" si="48"/>
        <v>33.887358456300824</v>
      </c>
      <c r="H87" s="335"/>
      <c r="I87" s="336"/>
      <c r="J87" s="337"/>
    </row>
    <row r="88" spans="2:11" ht="12.6" customHeight="1">
      <c r="B88" s="66"/>
      <c r="C88" s="67"/>
      <c r="D88" s="67"/>
      <c r="E88" s="67"/>
      <c r="F88" s="67"/>
      <c r="G88" s="68"/>
      <c r="H88" s="69"/>
      <c r="I88" s="69"/>
      <c r="J88" s="69"/>
    </row>
    <row r="89" spans="2:11" ht="37.15" customHeight="1">
      <c r="B89" s="357" t="s">
        <v>242</v>
      </c>
      <c r="C89" s="357"/>
      <c r="D89" s="357"/>
      <c r="E89" s="357"/>
      <c r="F89" s="357"/>
      <c r="G89" s="357"/>
      <c r="H89" s="357"/>
      <c r="I89" s="357"/>
      <c r="J89" s="357"/>
      <c r="K89" s="12"/>
    </row>
    <row r="90" spans="2:11" ht="13.5" customHeight="1">
      <c r="B90" s="63"/>
      <c r="C90" s="64"/>
      <c r="D90" s="64"/>
      <c r="E90" s="64"/>
      <c r="F90" s="64"/>
      <c r="G90" s="65"/>
      <c r="H90" s="65"/>
      <c r="I90" s="376" t="s">
        <v>6</v>
      </c>
      <c r="J90" s="376"/>
      <c r="K90" s="19"/>
    </row>
    <row r="91" spans="2:11" ht="57" customHeight="1">
      <c r="B91" s="152" t="s">
        <v>2</v>
      </c>
      <c r="C91" s="152" t="s">
        <v>40</v>
      </c>
      <c r="D91" s="152" t="s">
        <v>221</v>
      </c>
      <c r="E91" s="152" t="s">
        <v>220</v>
      </c>
      <c r="F91" s="153" t="s">
        <v>9</v>
      </c>
      <c r="G91" s="153" t="s">
        <v>12</v>
      </c>
      <c r="H91" s="377" t="s">
        <v>205</v>
      </c>
      <c r="I91" s="378"/>
      <c r="J91" s="379"/>
      <c r="K91" s="19"/>
    </row>
    <row r="92" spans="2:11" s="26" customFormat="1" ht="126" customHeight="1">
      <c r="B92" s="154" t="s">
        <v>58</v>
      </c>
      <c r="C92" s="135">
        <f>C93+C96+C98</f>
        <v>40001.800000000003</v>
      </c>
      <c r="D92" s="135">
        <f t="shared" ref="D92:E92" si="80">D93+D96+D98</f>
        <v>18389.8</v>
      </c>
      <c r="E92" s="135">
        <f t="shared" si="80"/>
        <v>16877.199999999997</v>
      </c>
      <c r="F92" s="135">
        <f t="shared" ref="F92" si="81">E92/D92*100</f>
        <v>91.774788197805293</v>
      </c>
      <c r="G92" s="135">
        <f t="shared" ref="G92" si="82">E92/C92*100</f>
        <v>42.19110140043697</v>
      </c>
      <c r="H92" s="395"/>
      <c r="I92" s="396"/>
      <c r="J92" s="397"/>
      <c r="K92" s="19"/>
    </row>
    <row r="93" spans="2:11" ht="45.6" customHeight="1">
      <c r="B93" s="143" t="s">
        <v>59</v>
      </c>
      <c r="C93" s="139">
        <f>C94+C95</f>
        <v>5348.8</v>
      </c>
      <c r="D93" s="139">
        <f t="shared" ref="D93:E93" si="83">D94+D95</f>
        <v>730.9</v>
      </c>
      <c r="E93" s="139">
        <f t="shared" si="83"/>
        <v>30.9</v>
      </c>
      <c r="F93" s="138">
        <f t="shared" ref="F93" si="84">E93/D93*100</f>
        <v>4.2276645231905867</v>
      </c>
      <c r="G93" s="138">
        <f t="shared" ref="G93" si="85">E93/C93*100</f>
        <v>0.57769967095423269</v>
      </c>
      <c r="H93" s="414"/>
      <c r="I93" s="415"/>
      <c r="J93" s="416"/>
      <c r="K93" s="28"/>
    </row>
    <row r="94" spans="2:11" s="25" customFormat="1" ht="57" customHeight="1">
      <c r="B94" s="144" t="s">
        <v>63</v>
      </c>
      <c r="C94" s="142">
        <f>5051.8+29.4</f>
        <v>5081.2</v>
      </c>
      <c r="D94" s="142">
        <v>694.4</v>
      </c>
      <c r="E94" s="146">
        <v>29.4</v>
      </c>
      <c r="F94" s="141">
        <f t="shared" ref="F94" si="86">E94/D94*100</f>
        <v>4.2338709677419351</v>
      </c>
      <c r="G94" s="141">
        <f t="shared" ref="G94" si="87">E94/C94*100</f>
        <v>0.57860347949303315</v>
      </c>
      <c r="H94" s="435" t="s">
        <v>344</v>
      </c>
      <c r="I94" s="436"/>
      <c r="J94" s="437"/>
      <c r="K94" s="27"/>
    </row>
    <row r="95" spans="2:11" s="25" customFormat="1" ht="159.6" customHeight="1">
      <c r="B95" s="169" t="s">
        <v>251</v>
      </c>
      <c r="C95" s="142">
        <f>233.5+1.5+32.6</f>
        <v>267.60000000000002</v>
      </c>
      <c r="D95" s="142">
        <v>36.5</v>
      </c>
      <c r="E95" s="142">
        <v>1.5</v>
      </c>
      <c r="F95" s="141">
        <f t="shared" ref="F95:F143" si="88">E95/D95*100</f>
        <v>4.10958904109589</v>
      </c>
      <c r="G95" s="142">
        <f t="shared" ref="G95:G143" si="89">E95/C95*100</f>
        <v>0.5605381165919282</v>
      </c>
      <c r="H95" s="438"/>
      <c r="I95" s="439"/>
      <c r="J95" s="440"/>
      <c r="K95" s="27"/>
    </row>
    <row r="96" spans="2:11" ht="30.6" customHeight="1">
      <c r="B96" s="208" t="s">
        <v>60</v>
      </c>
      <c r="C96" s="139">
        <f>C97</f>
        <v>200</v>
      </c>
      <c r="D96" s="139">
        <f t="shared" ref="D96:E96" si="90">D97</f>
        <v>90.9</v>
      </c>
      <c r="E96" s="139">
        <f t="shared" si="90"/>
        <v>72.7</v>
      </c>
      <c r="F96" s="138">
        <f t="shared" si="88"/>
        <v>79.97799779977997</v>
      </c>
      <c r="G96" s="139">
        <f t="shared" si="89"/>
        <v>36.35</v>
      </c>
      <c r="H96" s="344"/>
      <c r="I96" s="345"/>
      <c r="J96" s="346"/>
      <c r="K96" s="19"/>
    </row>
    <row r="97" spans="2:11" s="25" customFormat="1" ht="82.15" customHeight="1">
      <c r="B97" s="155" t="s">
        <v>253</v>
      </c>
      <c r="C97" s="142">
        <v>200</v>
      </c>
      <c r="D97" s="209">
        <v>90.9</v>
      </c>
      <c r="E97" s="210">
        <v>72.7</v>
      </c>
      <c r="F97" s="141">
        <f t="shared" si="88"/>
        <v>79.97799779977997</v>
      </c>
      <c r="G97" s="145">
        <f t="shared" si="89"/>
        <v>36.35</v>
      </c>
      <c r="H97" s="373" t="s">
        <v>345</v>
      </c>
      <c r="I97" s="374"/>
      <c r="J97" s="375"/>
      <c r="K97" s="27"/>
    </row>
    <row r="98" spans="2:11" ht="43.9" customHeight="1">
      <c r="B98" s="161" t="s">
        <v>61</v>
      </c>
      <c r="C98" s="139">
        <f>C99+C100</f>
        <v>34453</v>
      </c>
      <c r="D98" s="139">
        <f t="shared" ref="D98:E98" si="91">D99+D100</f>
        <v>17568</v>
      </c>
      <c r="E98" s="139">
        <f t="shared" si="91"/>
        <v>16773.599999999999</v>
      </c>
      <c r="F98" s="138">
        <f t="shared" ref="F98" si="92">E98/D98*100</f>
        <v>95.478142076502721</v>
      </c>
      <c r="G98" s="139">
        <f t="shared" ref="G98:G99" si="93">E98/C98*100</f>
        <v>48.685455548138037</v>
      </c>
      <c r="H98" s="341"/>
      <c r="I98" s="342"/>
      <c r="J98" s="343"/>
      <c r="K98" s="28"/>
    </row>
    <row r="99" spans="2:11" s="25" customFormat="1" ht="148.15" customHeight="1">
      <c r="B99" s="211" t="s">
        <v>254</v>
      </c>
      <c r="C99" s="142">
        <v>40</v>
      </c>
      <c r="D99" s="145">
        <v>40</v>
      </c>
      <c r="E99" s="145">
        <v>0</v>
      </c>
      <c r="F99" s="146">
        <v>0</v>
      </c>
      <c r="G99" s="145">
        <f t="shared" si="93"/>
        <v>0</v>
      </c>
      <c r="H99" s="344" t="s">
        <v>346</v>
      </c>
      <c r="I99" s="345"/>
      <c r="J99" s="346"/>
      <c r="K99" s="27"/>
    </row>
    <row r="100" spans="2:11" s="25" customFormat="1" ht="90.75" customHeight="1">
      <c r="B100" s="169" t="s">
        <v>62</v>
      </c>
      <c r="C100" s="142">
        <v>34413</v>
      </c>
      <c r="D100" s="142">
        <v>17528</v>
      </c>
      <c r="E100" s="141">
        <v>16773.599999999999</v>
      </c>
      <c r="F100" s="141">
        <f t="shared" si="88"/>
        <v>95.696029210406195</v>
      </c>
      <c r="G100" s="142">
        <f t="shared" si="89"/>
        <v>48.742045157353317</v>
      </c>
      <c r="H100" s="518" t="s">
        <v>243</v>
      </c>
      <c r="I100" s="519"/>
      <c r="J100" s="520"/>
      <c r="K100" s="27"/>
    </row>
    <row r="101" spans="2:11" s="26" customFormat="1" ht="74.25" customHeight="1">
      <c r="B101" s="154" t="s">
        <v>64</v>
      </c>
      <c r="C101" s="135">
        <f>C102</f>
        <v>1926</v>
      </c>
      <c r="D101" s="135">
        <f t="shared" ref="D101:E101" si="94">D102</f>
        <v>893.2</v>
      </c>
      <c r="E101" s="135">
        <f t="shared" si="94"/>
        <v>739.90000000000009</v>
      </c>
      <c r="F101" s="135">
        <f t="shared" si="88"/>
        <v>82.836990595611297</v>
      </c>
      <c r="G101" s="135">
        <f t="shared" si="89"/>
        <v>38.416407061266881</v>
      </c>
      <c r="H101" s="399"/>
      <c r="I101" s="400"/>
      <c r="J101" s="401"/>
      <c r="K101" s="19"/>
    </row>
    <row r="102" spans="2:11" s="25" customFormat="1" ht="28.9" customHeight="1">
      <c r="B102" s="212" t="s">
        <v>65</v>
      </c>
      <c r="C102" s="142">
        <f>C104+C103</f>
        <v>1926</v>
      </c>
      <c r="D102" s="142">
        <f t="shared" ref="D102:E102" si="95">D104+D103</f>
        <v>893.2</v>
      </c>
      <c r="E102" s="142">
        <f t="shared" si="95"/>
        <v>739.90000000000009</v>
      </c>
      <c r="F102" s="141">
        <f t="shared" ref="F102" si="96">E102/D102*100</f>
        <v>82.836990595611297</v>
      </c>
      <c r="G102" s="142">
        <f t="shared" ref="G102" si="97">E102/C102*100</f>
        <v>38.416407061266881</v>
      </c>
      <c r="H102" s="347"/>
      <c r="I102" s="348"/>
      <c r="J102" s="349"/>
      <c r="K102" s="27"/>
    </row>
    <row r="103" spans="2:11" s="20" customFormat="1" ht="150" customHeight="1">
      <c r="B103" s="155" t="s">
        <v>207</v>
      </c>
      <c r="C103" s="159">
        <v>526</v>
      </c>
      <c r="D103" s="159">
        <v>226.7</v>
      </c>
      <c r="E103" s="157">
        <v>81.7</v>
      </c>
      <c r="F103" s="157">
        <f t="shared" si="88"/>
        <v>36.03881782090869</v>
      </c>
      <c r="G103" s="157">
        <f t="shared" si="89"/>
        <v>15.532319391634983</v>
      </c>
      <c r="H103" s="373" t="s">
        <v>295</v>
      </c>
      <c r="I103" s="374"/>
      <c r="J103" s="375"/>
      <c r="K103" s="29"/>
    </row>
    <row r="104" spans="2:11" s="20" customFormat="1" ht="42" customHeight="1">
      <c r="B104" s="292" t="s">
        <v>66</v>
      </c>
      <c r="C104" s="159">
        <v>1400</v>
      </c>
      <c r="D104" s="159">
        <v>666.5</v>
      </c>
      <c r="E104" s="159">
        <v>658.2</v>
      </c>
      <c r="F104" s="159">
        <f t="shared" si="88"/>
        <v>98.754688672168044</v>
      </c>
      <c r="G104" s="159">
        <f t="shared" si="89"/>
        <v>47.01428571428572</v>
      </c>
      <c r="H104" s="373" t="s">
        <v>294</v>
      </c>
      <c r="I104" s="521"/>
      <c r="J104" s="522"/>
      <c r="K104" s="29"/>
    </row>
    <row r="105" spans="2:11" s="26" customFormat="1" ht="73.150000000000006" customHeight="1">
      <c r="B105" s="154" t="s">
        <v>67</v>
      </c>
      <c r="C105" s="215">
        <f>C106+C113</f>
        <v>46245.7</v>
      </c>
      <c r="D105" s="215">
        <f t="shared" ref="D105:E105" si="98">D106+D113</f>
        <v>5004.5</v>
      </c>
      <c r="E105" s="215">
        <f t="shared" si="98"/>
        <v>4689.2999999999993</v>
      </c>
      <c r="F105" s="135">
        <f t="shared" ref="F105" si="99">E105/D105*100</f>
        <v>93.701668498351466</v>
      </c>
      <c r="G105" s="135">
        <f t="shared" ref="G105" si="100">E105/C105*100</f>
        <v>10.139969770162415</v>
      </c>
      <c r="H105" s="392"/>
      <c r="I105" s="393"/>
      <c r="J105" s="394"/>
      <c r="K105" s="28"/>
    </row>
    <row r="106" spans="2:11" ht="30" customHeight="1">
      <c r="B106" s="208" t="s">
        <v>68</v>
      </c>
      <c r="C106" s="201">
        <f>C107+C108+C109</f>
        <v>35232.5</v>
      </c>
      <c r="D106" s="201">
        <f t="shared" ref="D106:E106" si="101">D107+D108+D109</f>
        <v>1224.4000000000001</v>
      </c>
      <c r="E106" s="201">
        <f t="shared" si="101"/>
        <v>1125.4000000000001</v>
      </c>
      <c r="F106" s="138">
        <f t="shared" ref="F106" si="102">E106/D106*100</f>
        <v>91.914407056517476</v>
      </c>
      <c r="G106" s="139">
        <f t="shared" ref="G106:G108" si="103">E106/C106*100</f>
        <v>3.1942098914354649</v>
      </c>
      <c r="H106" s="432"/>
      <c r="I106" s="433"/>
      <c r="J106" s="434"/>
      <c r="K106" s="28"/>
    </row>
    <row r="107" spans="2:11" s="25" customFormat="1" ht="137.44999999999999" customHeight="1">
      <c r="B107" s="189" t="s">
        <v>69</v>
      </c>
      <c r="C107" s="205">
        <f>4538.8+25495</f>
        <v>30033.8</v>
      </c>
      <c r="D107" s="145">
        <v>0</v>
      </c>
      <c r="E107" s="146">
        <v>0</v>
      </c>
      <c r="F107" s="146">
        <v>0</v>
      </c>
      <c r="G107" s="145">
        <f t="shared" si="103"/>
        <v>0</v>
      </c>
      <c r="H107" s="493"/>
      <c r="I107" s="494"/>
      <c r="J107" s="495"/>
      <c r="K107" s="27"/>
    </row>
    <row r="108" spans="2:11" s="25" customFormat="1" ht="79.150000000000006" customHeight="1">
      <c r="B108" s="212" t="s">
        <v>70</v>
      </c>
      <c r="C108" s="142">
        <v>1580.7</v>
      </c>
      <c r="D108" s="145">
        <v>0</v>
      </c>
      <c r="E108" s="146">
        <v>0</v>
      </c>
      <c r="F108" s="146">
        <v>0</v>
      </c>
      <c r="G108" s="145">
        <f t="shared" si="103"/>
        <v>0</v>
      </c>
      <c r="H108" s="496"/>
      <c r="I108" s="497"/>
      <c r="J108" s="498"/>
      <c r="K108" s="27"/>
    </row>
    <row r="109" spans="2:11" s="25" customFormat="1" ht="30.6" customHeight="1">
      <c r="B109" s="169" t="s">
        <v>71</v>
      </c>
      <c r="C109" s="205">
        <f>C110+C111+C112</f>
        <v>3618</v>
      </c>
      <c r="D109" s="205">
        <f t="shared" ref="D109:E109" si="104">D110+D111+D112</f>
        <v>1224.4000000000001</v>
      </c>
      <c r="E109" s="205">
        <f t="shared" si="104"/>
        <v>1125.4000000000001</v>
      </c>
      <c r="F109" s="141">
        <f t="shared" si="88"/>
        <v>91.914407056517476</v>
      </c>
      <c r="G109" s="142">
        <f t="shared" si="89"/>
        <v>31.105583195135438</v>
      </c>
      <c r="H109" s="344"/>
      <c r="I109" s="345"/>
      <c r="J109" s="346"/>
      <c r="K109" s="27"/>
    </row>
    <row r="110" spans="2:11" s="20" customFormat="1" ht="96" customHeight="1">
      <c r="B110" s="155" t="s">
        <v>296</v>
      </c>
      <c r="C110" s="156">
        <f>1636.9+67.5</f>
        <v>1704.4</v>
      </c>
      <c r="D110" s="156">
        <f>933.4+67.4</f>
        <v>1000.8</v>
      </c>
      <c r="E110" s="160">
        <f>933.4+67.4</f>
        <v>1000.8</v>
      </c>
      <c r="F110" s="160">
        <f t="shared" si="88"/>
        <v>100</v>
      </c>
      <c r="G110" s="159">
        <f t="shared" si="89"/>
        <v>58.718610654775873</v>
      </c>
      <c r="H110" s="370" t="s">
        <v>255</v>
      </c>
      <c r="I110" s="371"/>
      <c r="J110" s="372"/>
      <c r="K110" s="29"/>
    </row>
    <row r="111" spans="2:11" s="20" customFormat="1" ht="20.45" customHeight="1">
      <c r="B111" s="216" t="s">
        <v>72</v>
      </c>
      <c r="C111" s="156">
        <f>1690+36.4</f>
        <v>1726.4</v>
      </c>
      <c r="D111" s="214">
        <v>36.4</v>
      </c>
      <c r="E111" s="214">
        <v>36.4</v>
      </c>
      <c r="F111" s="158">
        <f>E111/D111*100</f>
        <v>100</v>
      </c>
      <c r="G111" s="157">
        <f t="shared" ref="G111" si="105">E111/C111*100</f>
        <v>2.1084337349397591</v>
      </c>
      <c r="H111" s="344"/>
      <c r="I111" s="345"/>
      <c r="J111" s="346"/>
      <c r="K111" s="29"/>
    </row>
    <row r="112" spans="2:11" s="20" customFormat="1" ht="46.5" customHeight="1">
      <c r="B112" s="155" t="s">
        <v>73</v>
      </c>
      <c r="C112" s="156">
        <f>99+88.2</f>
        <v>187.2</v>
      </c>
      <c r="D112" s="214">
        <v>187.2</v>
      </c>
      <c r="E112" s="158">
        <v>88.2</v>
      </c>
      <c r="F112" s="158">
        <f>E112/D112*100</f>
        <v>47.11538461538462</v>
      </c>
      <c r="G112" s="157">
        <f t="shared" ref="G112" si="106">E112/C112*100</f>
        <v>47.11538461538462</v>
      </c>
      <c r="H112" s="344" t="s">
        <v>347</v>
      </c>
      <c r="I112" s="345"/>
      <c r="J112" s="346"/>
      <c r="K112" s="29"/>
    </row>
    <row r="113" spans="2:11" ht="19.149999999999999" customHeight="1">
      <c r="B113" s="143" t="s">
        <v>74</v>
      </c>
      <c r="C113" s="138">
        <f>C114</f>
        <v>11013.2</v>
      </c>
      <c r="D113" s="138">
        <f t="shared" ref="D113:E113" si="107">D114</f>
        <v>3780.1</v>
      </c>
      <c r="E113" s="138">
        <f t="shared" si="107"/>
        <v>3563.8999999999996</v>
      </c>
      <c r="F113" s="138">
        <f t="shared" si="88"/>
        <v>94.280574587973859</v>
      </c>
      <c r="G113" s="138">
        <f t="shared" si="89"/>
        <v>32.360258598772376</v>
      </c>
      <c r="H113" s="344"/>
      <c r="I113" s="342"/>
      <c r="J113" s="343"/>
      <c r="K113" s="19"/>
    </row>
    <row r="114" spans="2:11" s="25" customFormat="1" ht="27.6" customHeight="1">
      <c r="B114" s="148" t="s">
        <v>31</v>
      </c>
      <c r="C114" s="205">
        <f>C115+C116</f>
        <v>11013.2</v>
      </c>
      <c r="D114" s="205">
        <f t="shared" ref="D114:E114" si="108">D115+D116</f>
        <v>3780.1</v>
      </c>
      <c r="E114" s="205">
        <f t="shared" si="108"/>
        <v>3563.8999999999996</v>
      </c>
      <c r="F114" s="138">
        <f t="shared" ref="F114" si="109">E114/D114*100</f>
        <v>94.280574587973859</v>
      </c>
      <c r="G114" s="138">
        <f t="shared" ref="G114" si="110">E114/C114*100</f>
        <v>32.360258598772376</v>
      </c>
      <c r="H114" s="344"/>
      <c r="I114" s="345"/>
      <c r="J114" s="346"/>
      <c r="K114" s="27"/>
    </row>
    <row r="115" spans="2:11" s="25" customFormat="1" ht="55.9" customHeight="1">
      <c r="B115" s="213" t="s">
        <v>76</v>
      </c>
      <c r="C115" s="156">
        <f>3600+98.2</f>
        <v>3698.2</v>
      </c>
      <c r="D115" s="214">
        <v>1079</v>
      </c>
      <c r="E115" s="158">
        <v>862.8</v>
      </c>
      <c r="F115" s="160">
        <f t="shared" ref="F115:F117" si="111">E115/D115*100</f>
        <v>79.962928637627428</v>
      </c>
      <c r="G115" s="159">
        <f t="shared" ref="G115:G117" si="112">E115/C115*100</f>
        <v>23.330268779406197</v>
      </c>
      <c r="H115" s="344"/>
      <c r="I115" s="345"/>
      <c r="J115" s="346"/>
      <c r="K115" s="27"/>
    </row>
    <row r="116" spans="2:11" s="25" customFormat="1" ht="106.15" customHeight="1">
      <c r="B116" s="213" t="s">
        <v>75</v>
      </c>
      <c r="C116" s="156">
        <v>7315</v>
      </c>
      <c r="D116" s="214">
        <v>2701.1</v>
      </c>
      <c r="E116" s="158">
        <v>2701.1</v>
      </c>
      <c r="F116" s="160">
        <f t="shared" si="111"/>
        <v>100</v>
      </c>
      <c r="G116" s="159">
        <f t="shared" si="112"/>
        <v>36.925495557074505</v>
      </c>
      <c r="H116" s="332"/>
      <c r="I116" s="333"/>
      <c r="J116" s="334"/>
      <c r="K116" s="27"/>
    </row>
    <row r="117" spans="2:11" s="26" customFormat="1" ht="86.45" customHeight="1">
      <c r="B117" s="218" t="s">
        <v>77</v>
      </c>
      <c r="C117" s="215">
        <f>C118+C124+C126</f>
        <v>60138.6</v>
      </c>
      <c r="D117" s="215">
        <f t="shared" ref="D117:E117" si="113">D118+D124+D126</f>
        <v>30007.699999999997</v>
      </c>
      <c r="E117" s="215">
        <f t="shared" si="113"/>
        <v>27239.8</v>
      </c>
      <c r="F117" s="135">
        <f t="shared" si="111"/>
        <v>90.776034151234512</v>
      </c>
      <c r="G117" s="135">
        <f t="shared" si="112"/>
        <v>45.295035135503653</v>
      </c>
      <c r="H117" s="338"/>
      <c r="I117" s="339"/>
      <c r="J117" s="340"/>
      <c r="K117" s="28"/>
    </row>
    <row r="118" spans="2:11" ht="58.15" customHeight="1">
      <c r="B118" s="186" t="s">
        <v>78</v>
      </c>
      <c r="C118" s="201">
        <f>C119+C120+C121+C122+C123</f>
        <v>58338.6</v>
      </c>
      <c r="D118" s="201">
        <f t="shared" ref="D118:E118" si="114">D119+D120+D121+D122+D123</f>
        <v>29609.599999999999</v>
      </c>
      <c r="E118" s="201">
        <f t="shared" si="114"/>
        <v>26887.599999999999</v>
      </c>
      <c r="F118" s="138">
        <f t="shared" si="88"/>
        <v>90.807035556035871</v>
      </c>
      <c r="G118" s="164">
        <f t="shared" ref="G118" si="115">E118/C118*100</f>
        <v>46.088867405114279</v>
      </c>
      <c r="H118" s="341"/>
      <c r="I118" s="342"/>
      <c r="J118" s="343"/>
      <c r="K118" s="28"/>
    </row>
    <row r="119" spans="2:11" s="25" customFormat="1" ht="118.9" customHeight="1">
      <c r="B119" s="144" t="s">
        <v>256</v>
      </c>
      <c r="C119" s="141">
        <v>24802.6</v>
      </c>
      <c r="D119" s="141">
        <v>14460.8</v>
      </c>
      <c r="E119" s="141">
        <v>12714.7</v>
      </c>
      <c r="F119" s="141">
        <f t="shared" si="88"/>
        <v>87.925287674264226</v>
      </c>
      <c r="G119" s="142">
        <f t="shared" si="89"/>
        <v>51.263577205615555</v>
      </c>
      <c r="H119" s="373" t="s">
        <v>303</v>
      </c>
      <c r="I119" s="374"/>
      <c r="J119" s="375"/>
      <c r="K119" s="27"/>
    </row>
    <row r="120" spans="2:11" ht="119.25" customHeight="1">
      <c r="B120" s="144" t="s">
        <v>257</v>
      </c>
      <c r="C120" s="138">
        <v>29607.8</v>
      </c>
      <c r="D120" s="138">
        <v>14824.5</v>
      </c>
      <c r="E120" s="138">
        <v>14122.9</v>
      </c>
      <c r="F120" s="138">
        <f t="shared" si="88"/>
        <v>95.267294006543224</v>
      </c>
      <c r="G120" s="139">
        <f t="shared" si="89"/>
        <v>47.699930423739687</v>
      </c>
      <c r="H120" s="373" t="s">
        <v>304</v>
      </c>
      <c r="I120" s="374"/>
      <c r="J120" s="375"/>
      <c r="K120" s="19"/>
    </row>
    <row r="121" spans="2:11" s="25" customFormat="1" ht="120.6" customHeight="1">
      <c r="B121" s="216" t="s">
        <v>258</v>
      </c>
      <c r="C121" s="205">
        <v>424.3</v>
      </c>
      <c r="D121" s="217">
        <v>324.3</v>
      </c>
      <c r="E121" s="146">
        <v>50</v>
      </c>
      <c r="F121" s="146">
        <f>E121/D121*100</f>
        <v>15.41782300339192</v>
      </c>
      <c r="G121" s="145">
        <f t="shared" ref="G121:G126" si="116">E121/C121*100</f>
        <v>11.784115012962527</v>
      </c>
      <c r="H121" s="344"/>
      <c r="I121" s="345"/>
      <c r="J121" s="346"/>
      <c r="K121" s="27"/>
    </row>
    <row r="122" spans="2:11" s="25" customFormat="1" ht="83.25" customHeight="1">
      <c r="B122" s="148" t="s">
        <v>80</v>
      </c>
      <c r="C122" s="205">
        <v>3118.4</v>
      </c>
      <c r="D122" s="217">
        <v>0</v>
      </c>
      <c r="E122" s="146">
        <v>0</v>
      </c>
      <c r="F122" s="146">
        <v>0</v>
      </c>
      <c r="G122" s="145">
        <f t="shared" ref="G122:G123" si="117">E122/C122*100</f>
        <v>0</v>
      </c>
      <c r="H122" s="370"/>
      <c r="I122" s="371"/>
      <c r="J122" s="372"/>
      <c r="K122" s="27"/>
    </row>
    <row r="123" spans="2:11" s="25" customFormat="1" ht="99" customHeight="1">
      <c r="B123" s="148" t="s">
        <v>348</v>
      </c>
      <c r="C123" s="205">
        <v>385.5</v>
      </c>
      <c r="D123" s="217">
        <v>0</v>
      </c>
      <c r="E123" s="146">
        <v>0</v>
      </c>
      <c r="F123" s="146">
        <v>0</v>
      </c>
      <c r="G123" s="145">
        <f t="shared" si="117"/>
        <v>0</v>
      </c>
      <c r="H123" s="370"/>
      <c r="I123" s="371"/>
      <c r="J123" s="372"/>
      <c r="K123" s="27"/>
    </row>
    <row r="124" spans="2:11" ht="48" customHeight="1">
      <c r="B124" s="186" t="s">
        <v>79</v>
      </c>
      <c r="C124" s="201">
        <f>C125</f>
        <v>1550</v>
      </c>
      <c r="D124" s="201">
        <f t="shared" ref="D124:E124" si="118">D125</f>
        <v>348.1</v>
      </c>
      <c r="E124" s="201">
        <f t="shared" si="118"/>
        <v>302.2</v>
      </c>
      <c r="F124" s="138">
        <f t="shared" ref="F124:F125" si="119">E124/D124*100</f>
        <v>86.814133869577702</v>
      </c>
      <c r="G124" s="164">
        <f t="shared" si="116"/>
        <v>19.496774193548386</v>
      </c>
      <c r="H124" s="432"/>
      <c r="I124" s="433"/>
      <c r="J124" s="434"/>
      <c r="K124" s="28"/>
    </row>
    <row r="125" spans="2:11" s="20" customFormat="1" ht="66.599999999999994" customHeight="1">
      <c r="B125" s="155" t="s">
        <v>260</v>
      </c>
      <c r="C125" s="205">
        <v>1550</v>
      </c>
      <c r="D125" s="205">
        <v>348.1</v>
      </c>
      <c r="E125" s="141">
        <v>302.2</v>
      </c>
      <c r="F125" s="141">
        <f t="shared" si="119"/>
        <v>86.814133869577702</v>
      </c>
      <c r="G125" s="145">
        <f t="shared" si="116"/>
        <v>19.496774193548386</v>
      </c>
      <c r="H125" s="344" t="s">
        <v>259</v>
      </c>
      <c r="I125" s="345"/>
      <c r="J125" s="346"/>
      <c r="K125" s="29"/>
    </row>
    <row r="126" spans="2:11" ht="85.5" customHeight="1">
      <c r="B126" s="186" t="s">
        <v>81</v>
      </c>
      <c r="C126" s="201">
        <f>C127</f>
        <v>250</v>
      </c>
      <c r="D126" s="217">
        <f>D127</f>
        <v>50</v>
      </c>
      <c r="E126" s="146">
        <f>E127</f>
        <v>50</v>
      </c>
      <c r="F126" s="146">
        <f>F127</f>
        <v>100</v>
      </c>
      <c r="G126" s="145">
        <f t="shared" si="116"/>
        <v>20</v>
      </c>
      <c r="H126" s="358"/>
      <c r="I126" s="359"/>
      <c r="J126" s="360"/>
      <c r="K126" s="28"/>
    </row>
    <row r="127" spans="2:11" s="20" customFormat="1" ht="56.45" customHeight="1">
      <c r="B127" s="155" t="s">
        <v>261</v>
      </c>
      <c r="C127" s="205">
        <f>200+50</f>
        <v>250</v>
      </c>
      <c r="D127" s="217">
        <v>50</v>
      </c>
      <c r="E127" s="146">
        <v>50</v>
      </c>
      <c r="F127" s="146">
        <f>E127/D127*100</f>
        <v>100</v>
      </c>
      <c r="G127" s="145">
        <f t="shared" ref="G127" si="120">E127/C127*100</f>
        <v>20</v>
      </c>
      <c r="H127" s="370"/>
      <c r="I127" s="371"/>
      <c r="J127" s="372"/>
      <c r="K127" s="29"/>
    </row>
    <row r="128" spans="2:11" s="26" customFormat="1" ht="123" customHeight="1">
      <c r="B128" s="134" t="s">
        <v>82</v>
      </c>
      <c r="C128" s="215">
        <f>C129</f>
        <v>73746.700000000012</v>
      </c>
      <c r="D128" s="215">
        <f t="shared" ref="D128:E128" si="121">D129</f>
        <v>33082.300000000003</v>
      </c>
      <c r="E128" s="215">
        <f t="shared" si="121"/>
        <v>32800.6</v>
      </c>
      <c r="F128" s="135">
        <f t="shared" ref="F128" si="122">E128/D128*100</f>
        <v>99.148487257536502</v>
      </c>
      <c r="G128" s="135">
        <f t="shared" ref="G128" si="123">E128/C128*100</f>
        <v>44.477380004800203</v>
      </c>
      <c r="H128" s="364"/>
      <c r="I128" s="365"/>
      <c r="J128" s="366"/>
      <c r="K128" s="28"/>
    </row>
    <row r="129" spans="2:11" ht="112.5" customHeight="1">
      <c r="B129" s="186" t="s">
        <v>83</v>
      </c>
      <c r="C129" s="201">
        <f>C130+C133</f>
        <v>73746.700000000012</v>
      </c>
      <c r="D129" s="201">
        <f t="shared" ref="D129:E129" si="124">D130+D133</f>
        <v>33082.300000000003</v>
      </c>
      <c r="E129" s="201">
        <f t="shared" si="124"/>
        <v>32800.6</v>
      </c>
      <c r="F129" s="138">
        <f t="shared" ref="F129:F130" si="125">E129/D129*100</f>
        <v>99.148487257536502</v>
      </c>
      <c r="G129" s="164">
        <f t="shared" ref="G129:G130" si="126">E129/C129*100</f>
        <v>44.477380004800203</v>
      </c>
      <c r="H129" s="358"/>
      <c r="I129" s="359"/>
      <c r="J129" s="360"/>
      <c r="K129" s="28"/>
    </row>
    <row r="130" spans="2:11" s="25" customFormat="1" ht="29.45" customHeight="1">
      <c r="B130" s="148" t="s">
        <v>31</v>
      </c>
      <c r="C130" s="205">
        <f>C131+C132</f>
        <v>73460.700000000012</v>
      </c>
      <c r="D130" s="205">
        <f t="shared" ref="D130:E130" si="127">D131+D132</f>
        <v>32796.300000000003</v>
      </c>
      <c r="E130" s="205">
        <f t="shared" si="127"/>
        <v>32516.5</v>
      </c>
      <c r="F130" s="141">
        <f t="shared" si="125"/>
        <v>99.146854980592309</v>
      </c>
      <c r="G130" s="145">
        <f t="shared" si="126"/>
        <v>44.263803639224776</v>
      </c>
      <c r="H130" s="358"/>
      <c r="I130" s="359"/>
      <c r="J130" s="360"/>
      <c r="K130" s="27"/>
    </row>
    <row r="131" spans="2:11" s="20" customFormat="1" ht="27" customHeight="1">
      <c r="B131" s="155" t="s">
        <v>84</v>
      </c>
      <c r="C131" s="156">
        <v>72585.600000000006</v>
      </c>
      <c r="D131" s="156">
        <v>32520.3</v>
      </c>
      <c r="E131" s="160">
        <v>32516.5</v>
      </c>
      <c r="F131" s="160">
        <f t="shared" ref="F131:F135" si="128">E131/D131*100</f>
        <v>99.988314990944119</v>
      </c>
      <c r="G131" s="157">
        <f t="shared" ref="G131:G135" si="129">E131/C131*100</f>
        <v>44.79745293832385</v>
      </c>
      <c r="H131" s="358"/>
      <c r="I131" s="359"/>
      <c r="J131" s="360"/>
      <c r="K131" s="29"/>
    </row>
    <row r="132" spans="2:11" s="20" customFormat="1" ht="57.6" customHeight="1">
      <c r="B132" s="155" t="s">
        <v>198</v>
      </c>
      <c r="C132" s="156">
        <v>875.1</v>
      </c>
      <c r="D132" s="156">
        <v>276</v>
      </c>
      <c r="E132" s="158">
        <v>0</v>
      </c>
      <c r="F132" s="158">
        <f t="shared" si="128"/>
        <v>0</v>
      </c>
      <c r="G132" s="157">
        <f t="shared" si="129"/>
        <v>0</v>
      </c>
      <c r="H132" s="361" t="s">
        <v>199</v>
      </c>
      <c r="I132" s="362"/>
      <c r="J132" s="363"/>
      <c r="K132" s="29"/>
    </row>
    <row r="133" spans="2:11" s="25" customFormat="1" ht="79.900000000000006" customHeight="1">
      <c r="B133" s="147" t="s">
        <v>89</v>
      </c>
      <c r="C133" s="205">
        <v>286</v>
      </c>
      <c r="D133" s="205">
        <v>286</v>
      </c>
      <c r="E133" s="146">
        <v>284.10000000000002</v>
      </c>
      <c r="F133" s="146">
        <f t="shared" si="128"/>
        <v>99.335664335664347</v>
      </c>
      <c r="G133" s="145">
        <f t="shared" si="129"/>
        <v>99.335664335664347</v>
      </c>
      <c r="H133" s="347"/>
      <c r="I133" s="348"/>
      <c r="J133" s="349"/>
      <c r="K133" s="27"/>
    </row>
    <row r="134" spans="2:11" s="26" customFormat="1" ht="85.9" customHeight="1">
      <c r="B134" s="134" t="s">
        <v>88</v>
      </c>
      <c r="C134" s="215">
        <f>C135</f>
        <v>36087.699999999997</v>
      </c>
      <c r="D134" s="215">
        <f t="shared" ref="D134:E134" si="130">D135</f>
        <v>23421.100000000002</v>
      </c>
      <c r="E134" s="215">
        <f t="shared" si="130"/>
        <v>22431</v>
      </c>
      <c r="F134" s="135">
        <f t="shared" si="128"/>
        <v>95.772615291339847</v>
      </c>
      <c r="G134" s="135">
        <f t="shared" si="129"/>
        <v>62.156912188917559</v>
      </c>
      <c r="H134" s="364"/>
      <c r="I134" s="365"/>
      <c r="J134" s="366"/>
      <c r="K134" s="28"/>
    </row>
    <row r="135" spans="2:11" ht="84" customHeight="1">
      <c r="B135" s="186" t="s">
        <v>25</v>
      </c>
      <c r="C135" s="201">
        <f>C136+C137+C138+C139+C140+C141+C142</f>
        <v>36087.699999999997</v>
      </c>
      <c r="D135" s="201">
        <f t="shared" ref="D135:E135" si="131">D136+D137+D138+D139+D140+D141+D142</f>
        <v>23421.100000000002</v>
      </c>
      <c r="E135" s="201">
        <f t="shared" si="131"/>
        <v>22431</v>
      </c>
      <c r="F135" s="138">
        <f t="shared" si="128"/>
        <v>95.772615291339847</v>
      </c>
      <c r="G135" s="164">
        <f t="shared" si="129"/>
        <v>62.156912188917559</v>
      </c>
      <c r="H135" s="358"/>
      <c r="I135" s="359"/>
      <c r="J135" s="360"/>
      <c r="K135" s="28"/>
    </row>
    <row r="136" spans="2:11" s="20" customFormat="1" ht="98.45" customHeight="1">
      <c r="B136" s="155" t="s">
        <v>262</v>
      </c>
      <c r="C136" s="205">
        <v>8957.5</v>
      </c>
      <c r="D136" s="205">
        <v>1424</v>
      </c>
      <c r="E136" s="141">
        <v>1424</v>
      </c>
      <c r="F136" s="141">
        <f t="shared" ref="F136:F142" si="132">E136/D136*100</f>
        <v>100</v>
      </c>
      <c r="G136" s="145">
        <f t="shared" ref="G136:G142" si="133">E136/C136*100</f>
        <v>15.897292771420599</v>
      </c>
      <c r="H136" s="435" t="s">
        <v>217</v>
      </c>
      <c r="I136" s="436"/>
      <c r="J136" s="437"/>
      <c r="K136" s="29"/>
    </row>
    <row r="137" spans="2:11" s="25" customFormat="1" ht="91.5" customHeight="1">
      <c r="B137" s="147" t="s">
        <v>90</v>
      </c>
      <c r="C137" s="205">
        <v>12078.1</v>
      </c>
      <c r="D137" s="205">
        <v>12078.1</v>
      </c>
      <c r="E137" s="141">
        <v>12078.1</v>
      </c>
      <c r="F137" s="141">
        <f t="shared" ref="F137:F138" si="134">E137/D137*100</f>
        <v>100</v>
      </c>
      <c r="G137" s="145">
        <f t="shared" ref="G137:G138" si="135">E137/C137*100</f>
        <v>100</v>
      </c>
      <c r="H137" s="438"/>
      <c r="I137" s="439"/>
      <c r="J137" s="440"/>
      <c r="K137" s="27"/>
    </row>
    <row r="138" spans="2:11" s="25" customFormat="1" ht="75" customHeight="1">
      <c r="B138" s="147" t="s">
        <v>91</v>
      </c>
      <c r="C138" s="205">
        <v>4886.6000000000004</v>
      </c>
      <c r="D138" s="205">
        <v>4886.6000000000004</v>
      </c>
      <c r="E138" s="141">
        <v>4886.6000000000004</v>
      </c>
      <c r="F138" s="141">
        <f t="shared" si="134"/>
        <v>100</v>
      </c>
      <c r="G138" s="145">
        <f t="shared" si="135"/>
        <v>100</v>
      </c>
      <c r="H138" s="350" t="s">
        <v>189</v>
      </c>
      <c r="I138" s="351"/>
      <c r="J138" s="352"/>
      <c r="K138" s="27"/>
    </row>
    <row r="139" spans="2:11" s="25" customFormat="1" ht="105.6" customHeight="1">
      <c r="B139" s="147" t="s">
        <v>92</v>
      </c>
      <c r="C139" s="205">
        <v>543</v>
      </c>
      <c r="D139" s="205">
        <v>542.9</v>
      </c>
      <c r="E139" s="141">
        <v>542.9</v>
      </c>
      <c r="F139" s="141">
        <f t="shared" ref="F139" si="136">E139/D139*100</f>
        <v>100</v>
      </c>
      <c r="G139" s="145">
        <f t="shared" ref="G139" si="137">E139/C139*100</f>
        <v>99.98158379373848</v>
      </c>
      <c r="H139" s="353"/>
      <c r="I139" s="354"/>
      <c r="J139" s="355"/>
      <c r="K139" s="27"/>
    </row>
    <row r="140" spans="2:11" s="25" customFormat="1" ht="75.75" customHeight="1">
      <c r="B140" s="189" t="s">
        <v>85</v>
      </c>
      <c r="C140" s="205">
        <v>4718.3</v>
      </c>
      <c r="D140" s="205">
        <v>1916</v>
      </c>
      <c r="E140" s="142">
        <v>1672.6</v>
      </c>
      <c r="F140" s="142">
        <f t="shared" si="132"/>
        <v>87.296450939457188</v>
      </c>
      <c r="G140" s="145">
        <f t="shared" si="133"/>
        <v>35.449208401330985</v>
      </c>
      <c r="H140" s="441" t="s">
        <v>297</v>
      </c>
      <c r="I140" s="442"/>
      <c r="J140" s="443"/>
      <c r="K140" s="27"/>
    </row>
    <row r="141" spans="2:11" s="25" customFormat="1" ht="294" customHeight="1">
      <c r="B141" s="147" t="s">
        <v>86</v>
      </c>
      <c r="C141" s="205">
        <f>2120.7+1193.6</f>
        <v>3314.2999999999997</v>
      </c>
      <c r="D141" s="205">
        <f>736.9+976.4</f>
        <v>1713.3</v>
      </c>
      <c r="E141" s="142">
        <f>623.6+931.1</f>
        <v>1554.7</v>
      </c>
      <c r="F141" s="142">
        <f t="shared" si="132"/>
        <v>90.743010564407882</v>
      </c>
      <c r="G141" s="145">
        <f t="shared" si="133"/>
        <v>46.908849530820994</v>
      </c>
      <c r="H141" s="444"/>
      <c r="I141" s="445"/>
      <c r="J141" s="446"/>
      <c r="K141" s="27"/>
    </row>
    <row r="142" spans="2:11" s="25" customFormat="1" ht="70.900000000000006" customHeight="1">
      <c r="B142" s="189" t="s">
        <v>87</v>
      </c>
      <c r="C142" s="205">
        <v>1589.9</v>
      </c>
      <c r="D142" s="205">
        <v>860.2</v>
      </c>
      <c r="E142" s="141">
        <v>272.10000000000002</v>
      </c>
      <c r="F142" s="141">
        <f t="shared" si="132"/>
        <v>31.632178563124857</v>
      </c>
      <c r="G142" s="145">
        <f t="shared" si="133"/>
        <v>17.1142839172275</v>
      </c>
      <c r="H142" s="344" t="s">
        <v>195</v>
      </c>
      <c r="I142" s="345"/>
      <c r="J142" s="346"/>
      <c r="K142" s="27"/>
    </row>
    <row r="143" spans="2:11" ht="18.600000000000001" customHeight="1">
      <c r="B143" s="171" t="s">
        <v>1</v>
      </c>
      <c r="C143" s="172">
        <f>C92+C101+C105+C117+C128+C134</f>
        <v>258146.5</v>
      </c>
      <c r="D143" s="172">
        <f t="shared" ref="D143:E143" si="138">D92+D101+D105+D117+D128+D134</f>
        <v>110798.6</v>
      </c>
      <c r="E143" s="172">
        <f t="shared" si="138"/>
        <v>104777.79999999999</v>
      </c>
      <c r="F143" s="172">
        <f t="shared" si="88"/>
        <v>94.565996321253138</v>
      </c>
      <c r="G143" s="172">
        <f t="shared" si="89"/>
        <v>40.588503039940491</v>
      </c>
      <c r="H143" s="356"/>
      <c r="I143" s="356"/>
      <c r="J143" s="356"/>
      <c r="K143" s="19"/>
    </row>
    <row r="144" spans="2:11" s="42" customFormat="1" ht="46.9" customHeight="1">
      <c r="B144" s="566" t="s">
        <v>298</v>
      </c>
      <c r="C144" s="566"/>
      <c r="D144" s="566"/>
      <c r="E144" s="566"/>
      <c r="F144" s="566"/>
      <c r="G144" s="566"/>
      <c r="H144" s="566"/>
      <c r="I144" s="566"/>
      <c r="J144" s="566"/>
      <c r="K144" s="41"/>
    </row>
    <row r="145" spans="2:11" s="23" customFormat="1" ht="8.4499999999999993" customHeight="1">
      <c r="B145" s="66"/>
      <c r="C145" s="70"/>
      <c r="D145" s="70"/>
      <c r="E145" s="70"/>
      <c r="F145" s="70"/>
      <c r="G145" s="70"/>
      <c r="H145" s="62"/>
      <c r="I145" s="62"/>
      <c r="J145" s="62"/>
      <c r="K145" s="40"/>
    </row>
    <row r="146" spans="2:11" ht="41.45" customHeight="1">
      <c r="B146" s="357" t="s">
        <v>263</v>
      </c>
      <c r="C146" s="357"/>
      <c r="D146" s="357"/>
      <c r="E146" s="357"/>
      <c r="F146" s="357"/>
      <c r="G146" s="357"/>
      <c r="H146" s="357"/>
      <c r="I146" s="357"/>
      <c r="J146" s="357"/>
      <c r="K146" s="11"/>
    </row>
    <row r="147" spans="2:11" ht="15.6" customHeight="1">
      <c r="B147" s="149"/>
      <c r="C147" s="150"/>
      <c r="D147" s="150"/>
      <c r="E147" s="150"/>
      <c r="F147" s="150"/>
      <c r="G147" s="151"/>
      <c r="H147" s="151"/>
      <c r="I147" s="376" t="s">
        <v>6</v>
      </c>
      <c r="J147" s="376"/>
      <c r="K147" s="19"/>
    </row>
    <row r="148" spans="2:11" ht="57" customHeight="1">
      <c r="B148" s="152" t="s">
        <v>2</v>
      </c>
      <c r="C148" s="152" t="s">
        <v>40</v>
      </c>
      <c r="D148" s="152" t="s">
        <v>221</v>
      </c>
      <c r="E148" s="152" t="s">
        <v>220</v>
      </c>
      <c r="F148" s="153" t="s">
        <v>9</v>
      </c>
      <c r="G148" s="153" t="s">
        <v>12</v>
      </c>
      <c r="H148" s="398" t="s">
        <v>205</v>
      </c>
      <c r="I148" s="398"/>
      <c r="J148" s="398"/>
    </row>
    <row r="149" spans="2:11" s="26" customFormat="1" ht="94.5" customHeight="1">
      <c r="B149" s="154" t="s">
        <v>162</v>
      </c>
      <c r="C149" s="135">
        <f>C150+C153</f>
        <v>90232.999999999985</v>
      </c>
      <c r="D149" s="135">
        <f t="shared" ref="D149:E149" si="139">D150+D153</f>
        <v>48410</v>
      </c>
      <c r="E149" s="135">
        <f t="shared" si="139"/>
        <v>43651</v>
      </c>
      <c r="F149" s="135">
        <f t="shared" ref="F149" si="140">E149/D149*100</f>
        <v>90.169386490394544</v>
      </c>
      <c r="G149" s="135">
        <f t="shared" ref="G149" si="141">E149/C149*100</f>
        <v>48.375871355269148</v>
      </c>
      <c r="H149" s="399"/>
      <c r="I149" s="400"/>
      <c r="J149" s="401"/>
    </row>
    <row r="150" spans="2:11" ht="89.25" customHeight="1">
      <c r="B150" s="186" t="s">
        <v>25</v>
      </c>
      <c r="C150" s="142">
        <f>C151+C152</f>
        <v>81717.099999999991</v>
      </c>
      <c r="D150" s="142">
        <f t="shared" ref="D150:E150" si="142">D151+D152</f>
        <v>42644.800000000003</v>
      </c>
      <c r="E150" s="142">
        <f t="shared" si="142"/>
        <v>38457.1</v>
      </c>
      <c r="F150" s="141">
        <f t="shared" ref="F150:F186" si="143">E150/D150*100</f>
        <v>90.1800453982666</v>
      </c>
      <c r="G150" s="142">
        <f t="shared" ref="G150:G172" si="144">E150/C150*100</f>
        <v>47.061263799131396</v>
      </c>
      <c r="H150" s="344"/>
      <c r="I150" s="345"/>
      <c r="J150" s="346"/>
    </row>
    <row r="151" spans="2:11" s="25" customFormat="1" ht="157.5" customHeight="1">
      <c r="B151" s="212" t="s">
        <v>93</v>
      </c>
      <c r="C151" s="221">
        <v>81712.2</v>
      </c>
      <c r="D151" s="221">
        <v>42644.800000000003</v>
      </c>
      <c r="E151" s="221">
        <v>38457.1</v>
      </c>
      <c r="F151" s="141">
        <f t="shared" si="143"/>
        <v>90.1800453982666</v>
      </c>
      <c r="G151" s="142">
        <f t="shared" si="144"/>
        <v>47.064085901493293</v>
      </c>
      <c r="H151" s="373" t="s">
        <v>349</v>
      </c>
      <c r="I151" s="374"/>
      <c r="J151" s="375"/>
    </row>
    <row r="152" spans="2:11" ht="193.5" customHeight="1">
      <c r="B152" s="144" t="s">
        <v>107</v>
      </c>
      <c r="C152" s="141">
        <v>4.9000000000000004</v>
      </c>
      <c r="D152" s="146">
        <v>0</v>
      </c>
      <c r="E152" s="146">
        <v>0</v>
      </c>
      <c r="F152" s="146">
        <v>0</v>
      </c>
      <c r="G152" s="145">
        <f t="shared" ref="G152" si="145">E152/C152*100</f>
        <v>0</v>
      </c>
      <c r="H152" s="370"/>
      <c r="I152" s="371"/>
      <c r="J152" s="372"/>
      <c r="K152" s="19"/>
    </row>
    <row r="153" spans="2:11" ht="81" customHeight="1">
      <c r="B153" s="178" t="s">
        <v>30</v>
      </c>
      <c r="C153" s="138">
        <f>C154</f>
        <v>8515.9</v>
      </c>
      <c r="D153" s="138">
        <f t="shared" ref="D153:E153" si="146">D154</f>
        <v>5765.2</v>
      </c>
      <c r="E153" s="138">
        <f t="shared" si="146"/>
        <v>5193.8999999999996</v>
      </c>
      <c r="F153" s="138">
        <f t="shared" si="143"/>
        <v>90.090543259557336</v>
      </c>
      <c r="G153" s="139">
        <f t="shared" si="144"/>
        <v>60.990617550699277</v>
      </c>
      <c r="H153" s="341"/>
      <c r="I153" s="342"/>
      <c r="J153" s="343"/>
    </row>
    <row r="154" spans="2:11" s="25" customFormat="1" ht="25.9" customHeight="1">
      <c r="B154" s="212" t="s">
        <v>31</v>
      </c>
      <c r="C154" s="141">
        <f>C155+C156</f>
        <v>8515.9</v>
      </c>
      <c r="D154" s="141">
        <f t="shared" ref="D154:E154" si="147">D155+D156</f>
        <v>5765.2</v>
      </c>
      <c r="E154" s="141">
        <f t="shared" si="147"/>
        <v>5193.8999999999996</v>
      </c>
      <c r="F154" s="141">
        <f t="shared" ref="F154" si="148">E154/D154*100</f>
        <v>90.090543259557336</v>
      </c>
      <c r="G154" s="142">
        <f t="shared" ref="G154" si="149">E154/C154*100</f>
        <v>60.990617550699277</v>
      </c>
      <c r="H154" s="344"/>
      <c r="I154" s="345"/>
      <c r="J154" s="346"/>
    </row>
    <row r="155" spans="2:11" s="25" customFormat="1" ht="38.450000000000003" customHeight="1">
      <c r="B155" s="155" t="s">
        <v>94</v>
      </c>
      <c r="C155" s="156">
        <v>7993</v>
      </c>
      <c r="D155" s="156">
        <v>5585.2</v>
      </c>
      <c r="E155" s="160">
        <v>5088.8999999999996</v>
      </c>
      <c r="F155" s="160">
        <f t="shared" si="143"/>
        <v>91.114015612690679</v>
      </c>
      <c r="G155" s="157">
        <f t="shared" ref="G155" si="150">E155/C155*100</f>
        <v>63.666958588765169</v>
      </c>
      <c r="H155" s="344" t="s">
        <v>201</v>
      </c>
      <c r="I155" s="345"/>
      <c r="J155" s="346"/>
      <c r="K155" s="27"/>
    </row>
    <row r="156" spans="2:11" s="25" customFormat="1" ht="75" customHeight="1">
      <c r="B156" s="155" t="s">
        <v>95</v>
      </c>
      <c r="C156" s="160">
        <f>417.9+105</f>
        <v>522.9</v>
      </c>
      <c r="D156" s="160">
        <v>180</v>
      </c>
      <c r="E156" s="159">
        <v>105</v>
      </c>
      <c r="F156" s="160">
        <f t="shared" si="143"/>
        <v>58.333333333333336</v>
      </c>
      <c r="G156" s="159">
        <f t="shared" si="144"/>
        <v>20.080321285140563</v>
      </c>
      <c r="H156" s="344" t="s">
        <v>113</v>
      </c>
      <c r="I156" s="345"/>
      <c r="J156" s="346"/>
    </row>
    <row r="157" spans="2:11" s="26" customFormat="1" ht="121.5" customHeight="1">
      <c r="B157" s="154" t="s">
        <v>96</v>
      </c>
      <c r="C157" s="135">
        <f>C158+C162</f>
        <v>101917.3</v>
      </c>
      <c r="D157" s="135">
        <f t="shared" ref="D157:E157" si="151">D158+D162</f>
        <v>49078.5</v>
      </c>
      <c r="E157" s="135">
        <f t="shared" si="151"/>
        <v>44238.700000000004</v>
      </c>
      <c r="F157" s="135">
        <f t="shared" si="143"/>
        <v>90.138655419379162</v>
      </c>
      <c r="G157" s="135">
        <f t="shared" si="144"/>
        <v>43.406467793004722</v>
      </c>
      <c r="H157" s="338"/>
      <c r="I157" s="339"/>
      <c r="J157" s="340"/>
    </row>
    <row r="158" spans="2:11" ht="112.5" customHeight="1">
      <c r="B158" s="186" t="s">
        <v>97</v>
      </c>
      <c r="C158" s="201">
        <f>C159+C160+C161</f>
        <v>95325</v>
      </c>
      <c r="D158" s="201">
        <f t="shared" ref="D158:E158" si="152">D159+D160+D161</f>
        <v>46867.5</v>
      </c>
      <c r="E158" s="201">
        <f t="shared" si="152"/>
        <v>42583.700000000004</v>
      </c>
      <c r="F158" s="138">
        <f t="shared" ref="F158:F161" si="153">E158/D158*100</f>
        <v>90.859764228943305</v>
      </c>
      <c r="G158" s="164">
        <f t="shared" si="144"/>
        <v>44.672121688958832</v>
      </c>
      <c r="H158" s="341"/>
      <c r="I158" s="342"/>
      <c r="J158" s="343"/>
      <c r="K158" s="28"/>
    </row>
    <row r="159" spans="2:11" s="25" customFormat="1" ht="147.75" customHeight="1">
      <c r="B159" s="147" t="s">
        <v>264</v>
      </c>
      <c r="C159" s="141">
        <v>21736.3</v>
      </c>
      <c r="D159" s="141">
        <v>11304.8</v>
      </c>
      <c r="E159" s="142">
        <v>10767.7</v>
      </c>
      <c r="F159" s="141">
        <f t="shared" si="153"/>
        <v>95.248920812398282</v>
      </c>
      <c r="G159" s="142">
        <f t="shared" ref="G159:G162" si="154">E159/C159*100</f>
        <v>49.537869830651957</v>
      </c>
      <c r="H159" s="370" t="s">
        <v>209</v>
      </c>
      <c r="I159" s="371"/>
      <c r="J159" s="372"/>
    </row>
    <row r="160" spans="2:11" s="25" customFormat="1" ht="133.15" customHeight="1">
      <c r="B160" s="293" t="s">
        <v>305</v>
      </c>
      <c r="C160" s="294">
        <f>3082.7+1949.5+120.7+61768.5</f>
        <v>66921.399999999994</v>
      </c>
      <c r="D160" s="294">
        <f>1363.5+1332.5+120.7+30046</f>
        <v>32862.699999999997</v>
      </c>
      <c r="E160" s="294">
        <f>978.2+721.1+120.7+27879.2</f>
        <v>29699.200000000001</v>
      </c>
      <c r="F160" s="295">
        <f t="shared" si="153"/>
        <v>90.373584641554118</v>
      </c>
      <c r="G160" s="295">
        <f t="shared" si="154"/>
        <v>44.379226973733374</v>
      </c>
      <c r="H160" s="389" t="s">
        <v>208</v>
      </c>
      <c r="I160" s="390"/>
      <c r="J160" s="391"/>
    </row>
    <row r="161" spans="2:10" s="25" customFormat="1" ht="167.25" customHeight="1">
      <c r="B161" s="293" t="s">
        <v>100</v>
      </c>
      <c r="C161" s="294">
        <f>5809+858.3</f>
        <v>6667.3</v>
      </c>
      <c r="D161" s="294">
        <v>2700</v>
      </c>
      <c r="E161" s="294">
        <v>2116.8000000000002</v>
      </c>
      <c r="F161" s="295">
        <f t="shared" si="153"/>
        <v>78.400000000000006</v>
      </c>
      <c r="G161" s="295">
        <f t="shared" si="154"/>
        <v>31.748983846534578</v>
      </c>
      <c r="H161" s="561" t="s">
        <v>315</v>
      </c>
      <c r="I161" s="562"/>
      <c r="J161" s="563"/>
    </row>
    <row r="162" spans="2:10" ht="96.75" customHeight="1">
      <c r="B162" s="161" t="s">
        <v>98</v>
      </c>
      <c r="C162" s="138">
        <f>C163+C164</f>
        <v>6592.3</v>
      </c>
      <c r="D162" s="163">
        <f t="shared" ref="D162:E162" si="155">D163+D164</f>
        <v>2211</v>
      </c>
      <c r="E162" s="163">
        <f t="shared" si="155"/>
        <v>1655</v>
      </c>
      <c r="F162" s="163">
        <v>0</v>
      </c>
      <c r="G162" s="164">
        <f t="shared" si="154"/>
        <v>25.105046797020762</v>
      </c>
      <c r="H162" s="341"/>
      <c r="I162" s="342"/>
      <c r="J162" s="343"/>
    </row>
    <row r="163" spans="2:10" s="25" customFormat="1" ht="79.150000000000006" customHeight="1">
      <c r="B163" s="148" t="s">
        <v>99</v>
      </c>
      <c r="C163" s="141">
        <v>6392.3</v>
      </c>
      <c r="D163" s="146">
        <v>2111</v>
      </c>
      <c r="E163" s="146">
        <v>1565</v>
      </c>
      <c r="F163" s="146">
        <f>E163/D163*100</f>
        <v>74.135480814779726</v>
      </c>
      <c r="G163" s="145">
        <f t="shared" ref="G163:G165" si="156">E163/C163*100</f>
        <v>24.482580604790137</v>
      </c>
      <c r="H163" s="344" t="s">
        <v>266</v>
      </c>
      <c r="I163" s="345"/>
      <c r="J163" s="346"/>
    </row>
    <row r="164" spans="2:10" s="25" customFormat="1" ht="63" customHeight="1">
      <c r="B164" s="222" t="s">
        <v>265</v>
      </c>
      <c r="C164" s="141">
        <v>200</v>
      </c>
      <c r="D164" s="146">
        <v>100</v>
      </c>
      <c r="E164" s="146">
        <v>90</v>
      </c>
      <c r="F164" s="146">
        <f>E164/D164*100</f>
        <v>90</v>
      </c>
      <c r="G164" s="145">
        <f t="shared" si="156"/>
        <v>45</v>
      </c>
      <c r="H164" s="344"/>
      <c r="I164" s="345"/>
      <c r="J164" s="346"/>
    </row>
    <row r="165" spans="2:10" s="26" customFormat="1" ht="105.75" customHeight="1">
      <c r="B165" s="134" t="s">
        <v>101</v>
      </c>
      <c r="C165" s="135">
        <f>C166+C167+C168+C169+C170</f>
        <v>79221.7</v>
      </c>
      <c r="D165" s="135">
        <f t="shared" ref="D165:E165" si="157">D166+D167+D168+D169+D170</f>
        <v>27506.799999999999</v>
      </c>
      <c r="E165" s="199">
        <f t="shared" si="157"/>
        <v>24680.400000000001</v>
      </c>
      <c r="F165" s="199">
        <f t="shared" ref="F165" si="158">E165/D165*100</f>
        <v>89.724722614044538</v>
      </c>
      <c r="G165" s="199">
        <f t="shared" si="156"/>
        <v>31.153585444392135</v>
      </c>
      <c r="H165" s="392"/>
      <c r="I165" s="393"/>
      <c r="J165" s="394"/>
    </row>
    <row r="166" spans="2:10" s="25" customFormat="1" ht="70.900000000000006" customHeight="1">
      <c r="B166" s="287" t="s">
        <v>308</v>
      </c>
      <c r="C166" s="142">
        <v>40068.199999999997</v>
      </c>
      <c r="D166" s="142">
        <v>24338.1</v>
      </c>
      <c r="E166" s="145">
        <v>21511.7</v>
      </c>
      <c r="F166" s="146">
        <f t="shared" si="143"/>
        <v>88.386932422826774</v>
      </c>
      <c r="G166" s="145">
        <f t="shared" si="144"/>
        <v>53.687712450272294</v>
      </c>
      <c r="H166" s="361" t="s">
        <v>200</v>
      </c>
      <c r="I166" s="362"/>
      <c r="J166" s="363"/>
    </row>
    <row r="167" spans="2:10" s="20" customFormat="1" ht="93.6" customHeight="1">
      <c r="B167" s="140" t="s">
        <v>306</v>
      </c>
      <c r="C167" s="142">
        <v>20887</v>
      </c>
      <c r="D167" s="145">
        <v>0</v>
      </c>
      <c r="E167" s="145">
        <v>0</v>
      </c>
      <c r="F167" s="146">
        <v>0</v>
      </c>
      <c r="G167" s="146">
        <f t="shared" si="144"/>
        <v>0</v>
      </c>
      <c r="H167" s="332"/>
      <c r="I167" s="333"/>
      <c r="J167" s="334"/>
    </row>
    <row r="168" spans="2:10" ht="114.75" customHeight="1">
      <c r="B168" s="222" t="s">
        <v>102</v>
      </c>
      <c r="C168" s="141">
        <v>1099.3</v>
      </c>
      <c r="D168" s="145">
        <v>0</v>
      </c>
      <c r="E168" s="145">
        <v>0</v>
      </c>
      <c r="F168" s="146">
        <v>0</v>
      </c>
      <c r="G168" s="146">
        <f t="shared" ref="G168" si="159">E168/C168*100</f>
        <v>0</v>
      </c>
      <c r="H168" s="341"/>
      <c r="I168" s="342"/>
      <c r="J168" s="343"/>
    </row>
    <row r="169" spans="2:10" s="25" customFormat="1" ht="123.75" customHeight="1">
      <c r="B169" s="222" t="s">
        <v>103</v>
      </c>
      <c r="C169" s="141">
        <v>16995.5</v>
      </c>
      <c r="D169" s="145">
        <v>3137</v>
      </c>
      <c r="E169" s="145">
        <v>3137</v>
      </c>
      <c r="F169" s="146">
        <f>E169/D169*100</f>
        <v>100</v>
      </c>
      <c r="G169" s="146">
        <f t="shared" ref="G169:G170" si="160">E169/C169*100</f>
        <v>18.457827071871964</v>
      </c>
      <c r="H169" s="350" t="s">
        <v>307</v>
      </c>
      <c r="I169" s="351"/>
      <c r="J169" s="352"/>
    </row>
    <row r="170" spans="2:10" s="25" customFormat="1" ht="117.75" customHeight="1">
      <c r="B170" s="147" t="s">
        <v>104</v>
      </c>
      <c r="C170" s="141">
        <v>171.7</v>
      </c>
      <c r="D170" s="145">
        <v>31.7</v>
      </c>
      <c r="E170" s="145">
        <v>31.7</v>
      </c>
      <c r="F170" s="146">
        <f>E170/D170*100</f>
        <v>100</v>
      </c>
      <c r="G170" s="146">
        <f t="shared" si="160"/>
        <v>18.462434478741994</v>
      </c>
      <c r="H170" s="558"/>
      <c r="I170" s="559"/>
      <c r="J170" s="560"/>
    </row>
    <row r="171" spans="2:10" s="26" customFormat="1" ht="130.5" customHeight="1">
      <c r="B171" s="134" t="s">
        <v>105</v>
      </c>
      <c r="C171" s="135">
        <f>C172+C173+C174+C175+C176</f>
        <v>29294.600000000002</v>
      </c>
      <c r="D171" s="135">
        <f t="shared" ref="D171:E171" si="161">D172+D173+D174+D175+D176</f>
        <v>11598.8</v>
      </c>
      <c r="E171" s="135">
        <f t="shared" si="161"/>
        <v>11360.2</v>
      </c>
      <c r="F171" s="199">
        <f t="shared" ref="F171" si="162">E171/D171*100</f>
        <v>97.942890643859727</v>
      </c>
      <c r="G171" s="199">
        <f t="shared" ref="G171" si="163">E171/C171*100</f>
        <v>38.779160664422797</v>
      </c>
      <c r="H171" s="395"/>
      <c r="I171" s="396"/>
      <c r="J171" s="397"/>
    </row>
    <row r="172" spans="2:10" ht="96.6" customHeight="1">
      <c r="B172" s="287" t="s">
        <v>311</v>
      </c>
      <c r="C172" s="142">
        <v>16656</v>
      </c>
      <c r="D172" s="145">
        <v>6785.1</v>
      </c>
      <c r="E172" s="145">
        <v>6785.2</v>
      </c>
      <c r="F172" s="146">
        <f>E172/D172*100</f>
        <v>100.0014738176298</v>
      </c>
      <c r="G172" s="145">
        <f t="shared" si="144"/>
        <v>40.737271853986549</v>
      </c>
      <c r="H172" s="344"/>
      <c r="I172" s="345"/>
      <c r="J172" s="346"/>
    </row>
    <row r="173" spans="2:10" s="25" customFormat="1" ht="113.25" customHeight="1">
      <c r="B173" s="140" t="s">
        <v>106</v>
      </c>
      <c r="C173" s="141">
        <v>4164</v>
      </c>
      <c r="D173" s="145">
        <v>1696.3</v>
      </c>
      <c r="E173" s="145">
        <v>1696.3</v>
      </c>
      <c r="F173" s="146">
        <f>E173/D173*100</f>
        <v>100</v>
      </c>
      <c r="G173" s="145">
        <f t="shared" ref="G173" si="164">E173/C173*100</f>
        <v>40.737271853986549</v>
      </c>
      <c r="H173" s="367"/>
      <c r="I173" s="368"/>
      <c r="J173" s="369"/>
    </row>
    <row r="174" spans="2:10" ht="185.45" customHeight="1">
      <c r="B174" s="148" t="s">
        <v>312</v>
      </c>
      <c r="C174" s="141">
        <v>4358.8999999999996</v>
      </c>
      <c r="D174" s="145">
        <v>0</v>
      </c>
      <c r="E174" s="145">
        <v>0</v>
      </c>
      <c r="F174" s="146">
        <v>0</v>
      </c>
      <c r="G174" s="145">
        <f t="shared" ref="G174:G177" si="165">E174/C174*100</f>
        <v>0</v>
      </c>
      <c r="H174" s="367"/>
      <c r="I174" s="368"/>
      <c r="J174" s="369"/>
    </row>
    <row r="175" spans="2:10" ht="123" customHeight="1">
      <c r="B175" s="147" t="s">
        <v>112</v>
      </c>
      <c r="C175" s="141">
        <v>44</v>
      </c>
      <c r="D175" s="145">
        <v>0</v>
      </c>
      <c r="E175" s="145">
        <v>0</v>
      </c>
      <c r="F175" s="146">
        <v>0</v>
      </c>
      <c r="G175" s="145">
        <f t="shared" si="165"/>
        <v>0</v>
      </c>
      <c r="H175" s="367"/>
      <c r="I175" s="368"/>
      <c r="J175" s="369"/>
    </row>
    <row r="176" spans="2:10" s="25" customFormat="1" ht="135" customHeight="1">
      <c r="B176" s="212" t="s">
        <v>313</v>
      </c>
      <c r="C176" s="141">
        <v>4071.7</v>
      </c>
      <c r="D176" s="146">
        <v>3117.4</v>
      </c>
      <c r="E176" s="145">
        <v>2878.7</v>
      </c>
      <c r="F176" s="146">
        <f t="shared" ref="F176" si="166">E176/D176*100</f>
        <v>92.342978122794634</v>
      </c>
      <c r="G176" s="145">
        <f t="shared" si="165"/>
        <v>70.700198934106155</v>
      </c>
      <c r="H176" s="370" t="s">
        <v>190</v>
      </c>
      <c r="I176" s="371"/>
      <c r="J176" s="372"/>
    </row>
    <row r="177" spans="2:10" s="26" customFormat="1" ht="99" customHeight="1">
      <c r="B177" s="134" t="s">
        <v>108</v>
      </c>
      <c r="C177" s="215">
        <f>C178+C179+C180</f>
        <v>149520.4</v>
      </c>
      <c r="D177" s="297">
        <f t="shared" ref="D177:E177" si="167">D178+D179+D180</f>
        <v>55090.5</v>
      </c>
      <c r="E177" s="297">
        <f t="shared" si="167"/>
        <v>41306.5</v>
      </c>
      <c r="F177" s="199">
        <v>0</v>
      </c>
      <c r="G177" s="199">
        <f t="shared" si="165"/>
        <v>27.625996185135943</v>
      </c>
      <c r="H177" s="338"/>
      <c r="I177" s="339"/>
      <c r="J177" s="340"/>
    </row>
    <row r="178" spans="2:10" ht="80.45" customHeight="1">
      <c r="B178" s="189" t="s">
        <v>310</v>
      </c>
      <c r="C178" s="205">
        <v>115537.3</v>
      </c>
      <c r="D178" s="217">
        <v>49559.4</v>
      </c>
      <c r="E178" s="217">
        <v>37046.5</v>
      </c>
      <c r="F178" s="146">
        <f>E178/D178*100</f>
        <v>74.751712086909848</v>
      </c>
      <c r="G178" s="145">
        <f t="shared" ref="G178:G179" si="168">E178/C178*100</f>
        <v>32.064536734024422</v>
      </c>
      <c r="H178" s="508" t="s">
        <v>314</v>
      </c>
      <c r="I178" s="509"/>
      <c r="J178" s="510"/>
    </row>
    <row r="179" spans="2:10" s="25" customFormat="1" ht="81.599999999999994" customHeight="1">
      <c r="B179" s="147" t="s">
        <v>109</v>
      </c>
      <c r="C179" s="205">
        <v>13826.7</v>
      </c>
      <c r="D179" s="217">
        <v>5531.1</v>
      </c>
      <c r="E179" s="146">
        <v>4260</v>
      </c>
      <c r="F179" s="146">
        <f>E179/D179*100</f>
        <v>77.019037804415021</v>
      </c>
      <c r="G179" s="145">
        <f t="shared" si="168"/>
        <v>30.809954652954062</v>
      </c>
      <c r="H179" s="511"/>
      <c r="I179" s="512"/>
      <c r="J179" s="513"/>
    </row>
    <row r="180" spans="2:10" s="25" customFormat="1" ht="67.900000000000006" customHeight="1">
      <c r="B180" s="189" t="s">
        <v>210</v>
      </c>
      <c r="C180" s="296">
        <v>20156.400000000001</v>
      </c>
      <c r="D180" s="217">
        <v>0</v>
      </c>
      <c r="E180" s="146">
        <v>0</v>
      </c>
      <c r="F180" s="146">
        <v>0</v>
      </c>
      <c r="G180" s="145">
        <f t="shared" ref="G180:G181" si="169">E180/C180*100</f>
        <v>0</v>
      </c>
      <c r="H180" s="344"/>
      <c r="I180" s="345"/>
      <c r="J180" s="346"/>
    </row>
    <row r="181" spans="2:10" s="30" customFormat="1" ht="84.6" customHeight="1">
      <c r="B181" s="174" t="s">
        <v>114</v>
      </c>
      <c r="C181" s="215">
        <f>C182</f>
        <v>32734.399999999998</v>
      </c>
      <c r="D181" s="215">
        <f t="shared" ref="D181:E181" si="170">D182</f>
        <v>1969.1</v>
      </c>
      <c r="E181" s="215">
        <f t="shared" si="170"/>
        <v>1757.1</v>
      </c>
      <c r="F181" s="199">
        <f t="shared" ref="F181" si="171">E181/D181*100</f>
        <v>89.233660047737544</v>
      </c>
      <c r="G181" s="199">
        <f t="shared" si="169"/>
        <v>5.3677476905029575</v>
      </c>
      <c r="H181" s="364"/>
      <c r="I181" s="365"/>
      <c r="J181" s="366"/>
    </row>
    <row r="182" spans="2:10" ht="45.6" customHeight="1">
      <c r="B182" s="186" t="s">
        <v>110</v>
      </c>
      <c r="C182" s="201">
        <f>C183+C184+C185</f>
        <v>32734.399999999998</v>
      </c>
      <c r="D182" s="201">
        <f t="shared" ref="D182:E182" si="172">D183+D184+D185</f>
        <v>1969.1</v>
      </c>
      <c r="E182" s="201">
        <f t="shared" si="172"/>
        <v>1757.1</v>
      </c>
      <c r="F182" s="138">
        <f t="shared" ref="F182" si="173">E182/D182*100</f>
        <v>89.233660047737544</v>
      </c>
      <c r="G182" s="164">
        <f t="shared" ref="G182" si="174">E182/C182*100</f>
        <v>5.3677476905029575</v>
      </c>
      <c r="H182" s="358"/>
      <c r="I182" s="359"/>
      <c r="J182" s="360"/>
    </row>
    <row r="183" spans="2:10" s="25" customFormat="1" ht="91.15" customHeight="1">
      <c r="B183" s="189" t="s">
        <v>309</v>
      </c>
      <c r="C183" s="141">
        <v>30472.5</v>
      </c>
      <c r="D183" s="205">
        <v>1969.1</v>
      </c>
      <c r="E183" s="141">
        <v>1757.1</v>
      </c>
      <c r="F183" s="141">
        <f t="shared" ref="F183" si="175">E183/D183*100</f>
        <v>89.233660047737544</v>
      </c>
      <c r="G183" s="145">
        <f t="shared" ref="G183:G185" si="176">E183/C183*100</f>
        <v>5.7661826236770857</v>
      </c>
      <c r="H183" s="370" t="s">
        <v>211</v>
      </c>
      <c r="I183" s="371"/>
      <c r="J183" s="372"/>
    </row>
    <row r="184" spans="2:10" s="25" customFormat="1" ht="118.9" customHeight="1">
      <c r="B184" s="148" t="s">
        <v>111</v>
      </c>
      <c r="C184" s="141">
        <v>2239.3000000000002</v>
      </c>
      <c r="D184" s="217">
        <v>0</v>
      </c>
      <c r="E184" s="146">
        <v>0</v>
      </c>
      <c r="F184" s="146">
        <v>0</v>
      </c>
      <c r="G184" s="145">
        <f t="shared" si="176"/>
        <v>0</v>
      </c>
      <c r="H184" s="367"/>
      <c r="I184" s="368"/>
      <c r="J184" s="369"/>
    </row>
    <row r="185" spans="2:10" s="25" customFormat="1" ht="135" customHeight="1">
      <c r="B185" s="148" t="s">
        <v>112</v>
      </c>
      <c r="C185" s="141">
        <v>22.6</v>
      </c>
      <c r="D185" s="217">
        <v>0</v>
      </c>
      <c r="E185" s="146">
        <v>0</v>
      </c>
      <c r="F185" s="146">
        <v>0</v>
      </c>
      <c r="G185" s="145">
        <f t="shared" si="176"/>
        <v>0</v>
      </c>
      <c r="H185" s="367"/>
      <c r="I185" s="368"/>
      <c r="J185" s="369"/>
    </row>
    <row r="186" spans="2:10" ht="15.6" customHeight="1">
      <c r="B186" s="171" t="s">
        <v>1</v>
      </c>
      <c r="C186" s="291">
        <f>C149+C157+C165+C171+C177+C181</f>
        <v>482921.4</v>
      </c>
      <c r="D186" s="291">
        <f t="shared" ref="D186:E186" si="177">D149+D157+D165+D171+D177+D181</f>
        <v>193653.7</v>
      </c>
      <c r="E186" s="291">
        <f t="shared" si="177"/>
        <v>166993.9</v>
      </c>
      <c r="F186" s="291">
        <f t="shared" si="143"/>
        <v>86.233260712292093</v>
      </c>
      <c r="G186" s="198">
        <f>E186/C186*100</f>
        <v>34.579933711780008</v>
      </c>
      <c r="H186" s="335"/>
      <c r="I186" s="336"/>
      <c r="J186" s="337"/>
    </row>
    <row r="187" spans="2:10" ht="18.600000000000001" customHeight="1">
      <c r="B187" s="71"/>
      <c r="C187" s="72"/>
      <c r="D187" s="72"/>
      <c r="E187" s="72"/>
      <c r="F187" s="72"/>
      <c r="G187" s="72"/>
      <c r="H187" s="72"/>
      <c r="I187" s="72"/>
      <c r="J187" s="72"/>
    </row>
    <row r="188" spans="2:10" ht="34.15" customHeight="1">
      <c r="B188" s="357" t="s">
        <v>267</v>
      </c>
      <c r="C188" s="357"/>
      <c r="D188" s="357"/>
      <c r="E188" s="357"/>
      <c r="F188" s="357"/>
      <c r="G188" s="357"/>
      <c r="H188" s="357"/>
      <c r="I188" s="357"/>
      <c r="J188" s="357"/>
    </row>
    <row r="189" spans="2:10" ht="12.6" customHeight="1">
      <c r="B189" s="223"/>
      <c r="C189" s="224"/>
      <c r="D189" s="224"/>
      <c r="E189" s="224"/>
      <c r="F189" s="224"/>
      <c r="G189" s="224"/>
      <c r="H189" s="224"/>
      <c r="I189" s="376" t="s">
        <v>6</v>
      </c>
      <c r="J189" s="376"/>
    </row>
    <row r="190" spans="2:10" ht="52.9" customHeight="1">
      <c r="B190" s="152" t="s">
        <v>2</v>
      </c>
      <c r="C190" s="152" t="s">
        <v>40</v>
      </c>
      <c r="D190" s="152" t="s">
        <v>221</v>
      </c>
      <c r="E190" s="152" t="s">
        <v>220</v>
      </c>
      <c r="F190" s="153" t="s">
        <v>9</v>
      </c>
      <c r="G190" s="153" t="s">
        <v>12</v>
      </c>
      <c r="H190" s="377" t="s">
        <v>205</v>
      </c>
      <c r="I190" s="378"/>
      <c r="J190" s="379"/>
    </row>
    <row r="191" spans="2:10" s="26" customFormat="1" ht="70.5" customHeight="1">
      <c r="B191" s="154" t="s">
        <v>115</v>
      </c>
      <c r="C191" s="215">
        <f>C192</f>
        <v>4447.1000000000004</v>
      </c>
      <c r="D191" s="225">
        <f t="shared" ref="D191:E191" si="178">D192</f>
        <v>252</v>
      </c>
      <c r="E191" s="225">
        <f t="shared" si="178"/>
        <v>250</v>
      </c>
      <c r="F191" s="199">
        <f>F192</f>
        <v>99.206349206349216</v>
      </c>
      <c r="G191" s="225">
        <f t="shared" ref="G191:G192" si="179">E191/C191*100</f>
        <v>5.6216410694609964</v>
      </c>
      <c r="H191" s="338"/>
      <c r="I191" s="339"/>
      <c r="J191" s="340"/>
    </row>
    <row r="192" spans="2:10" ht="35.25" customHeight="1">
      <c r="B192" s="189" t="s">
        <v>31</v>
      </c>
      <c r="C192" s="141">
        <f>C193+C194</f>
        <v>4447.1000000000004</v>
      </c>
      <c r="D192" s="146">
        <f t="shared" ref="D192:E192" si="180">D193+D194</f>
        <v>252</v>
      </c>
      <c r="E192" s="146">
        <f t="shared" si="180"/>
        <v>250</v>
      </c>
      <c r="F192" s="146">
        <f>F193+F194</f>
        <v>99.206349206349216</v>
      </c>
      <c r="G192" s="145">
        <f t="shared" si="179"/>
        <v>5.6216410694609964</v>
      </c>
      <c r="H192" s="370"/>
      <c r="I192" s="371"/>
      <c r="J192" s="372"/>
    </row>
    <row r="193" spans="2:11" s="20" customFormat="1" ht="51">
      <c r="B193" s="226" t="s">
        <v>117</v>
      </c>
      <c r="C193" s="227">
        <v>3380.1</v>
      </c>
      <c r="D193" s="228">
        <v>252</v>
      </c>
      <c r="E193" s="229">
        <v>250</v>
      </c>
      <c r="F193" s="229">
        <f>E193/D193*100</f>
        <v>99.206349206349216</v>
      </c>
      <c r="G193" s="230">
        <f t="shared" ref="G193" si="181">E193/C193*100</f>
        <v>7.3962308807431736</v>
      </c>
      <c r="H193" s="508"/>
      <c r="I193" s="556"/>
      <c r="J193" s="557"/>
    </row>
    <row r="194" spans="2:11" s="20" customFormat="1" ht="78.75" customHeight="1">
      <c r="B194" s="211" t="s">
        <v>116</v>
      </c>
      <c r="C194" s="160">
        <v>1067</v>
      </c>
      <c r="D194" s="157">
        <v>0</v>
      </c>
      <c r="E194" s="158">
        <v>0</v>
      </c>
      <c r="F194" s="158">
        <v>0</v>
      </c>
      <c r="G194" s="157">
        <f t="shared" ref="G194" si="182">E194/C194*100</f>
        <v>0</v>
      </c>
      <c r="H194" s="555" t="s">
        <v>250</v>
      </c>
      <c r="I194" s="555"/>
      <c r="J194" s="555"/>
    </row>
    <row r="195" spans="2:11" ht="17.25" customHeight="1">
      <c r="B195" s="171" t="s">
        <v>1</v>
      </c>
      <c r="C195" s="197">
        <f>C191</f>
        <v>4447.1000000000004</v>
      </c>
      <c r="D195" s="231">
        <f>D191</f>
        <v>252</v>
      </c>
      <c r="E195" s="231">
        <f>E191</f>
        <v>250</v>
      </c>
      <c r="F195" s="231">
        <f>F191</f>
        <v>99.206349206349216</v>
      </c>
      <c r="G195" s="198">
        <f>E195/C195*100</f>
        <v>5.6216410694609964</v>
      </c>
      <c r="H195" s="335"/>
      <c r="I195" s="336"/>
      <c r="J195" s="337"/>
    </row>
    <row r="196" spans="2:11" ht="17.25" customHeight="1">
      <c r="B196" s="71"/>
      <c r="C196" s="72"/>
      <c r="D196" s="72"/>
      <c r="E196" s="72"/>
      <c r="F196" s="72"/>
      <c r="G196" s="72"/>
      <c r="H196" s="72"/>
      <c r="I196" s="72"/>
      <c r="J196" s="72"/>
    </row>
    <row r="197" spans="2:11" ht="39.6" customHeight="1">
      <c r="B197" s="357" t="s">
        <v>268</v>
      </c>
      <c r="C197" s="357"/>
      <c r="D197" s="357"/>
      <c r="E197" s="357"/>
      <c r="F197" s="357"/>
      <c r="G197" s="357"/>
      <c r="H197" s="357"/>
      <c r="I197" s="357"/>
      <c r="J197" s="357"/>
      <c r="K197" s="15"/>
    </row>
    <row r="198" spans="2:11" ht="12" customHeight="1">
      <c r="B198" s="149"/>
      <c r="C198" s="150"/>
      <c r="D198" s="150"/>
      <c r="E198" s="150"/>
      <c r="F198" s="150"/>
      <c r="G198" s="151"/>
      <c r="H198" s="151"/>
      <c r="I198" s="376" t="s">
        <v>6</v>
      </c>
      <c r="J198" s="376"/>
      <c r="K198" s="13"/>
    </row>
    <row r="199" spans="2:11" ht="57" customHeight="1">
      <c r="B199" s="152" t="s">
        <v>2</v>
      </c>
      <c r="C199" s="152" t="s">
        <v>40</v>
      </c>
      <c r="D199" s="152" t="s">
        <v>221</v>
      </c>
      <c r="E199" s="152" t="s">
        <v>220</v>
      </c>
      <c r="F199" s="153" t="s">
        <v>9</v>
      </c>
      <c r="G199" s="153" t="s">
        <v>12</v>
      </c>
      <c r="H199" s="377" t="s">
        <v>205</v>
      </c>
      <c r="I199" s="378"/>
      <c r="J199" s="379"/>
      <c r="K199" s="13"/>
    </row>
    <row r="200" spans="2:11" s="26" customFormat="1" ht="57" customHeight="1">
      <c r="B200" s="154" t="s">
        <v>157</v>
      </c>
      <c r="C200" s="215">
        <f>C201+C202</f>
        <v>18011.3</v>
      </c>
      <c r="D200" s="215">
        <f t="shared" ref="D200:E200" si="183">D201+D202</f>
        <v>8588.4</v>
      </c>
      <c r="E200" s="215">
        <f t="shared" si="183"/>
        <v>7888.2</v>
      </c>
      <c r="F200" s="135">
        <f t="shared" ref="F200:F257" si="184">E200/D200*100</f>
        <v>91.847142657538072</v>
      </c>
      <c r="G200" s="215">
        <f t="shared" ref="G200:G257" si="185">E200/C200*100</f>
        <v>43.795839278675054</v>
      </c>
      <c r="H200" s="386"/>
      <c r="I200" s="387"/>
      <c r="J200" s="388"/>
      <c r="K200" s="34"/>
    </row>
    <row r="201" spans="2:11" s="25" customFormat="1" ht="58.15" customHeight="1">
      <c r="B201" s="169" t="s">
        <v>269</v>
      </c>
      <c r="C201" s="142">
        <v>14113.1</v>
      </c>
      <c r="D201" s="142">
        <v>7160.9</v>
      </c>
      <c r="E201" s="142">
        <v>6660.9</v>
      </c>
      <c r="F201" s="141">
        <f t="shared" si="184"/>
        <v>93.017637447806848</v>
      </c>
      <c r="G201" s="205">
        <f t="shared" si="185"/>
        <v>47.196576230594268</v>
      </c>
      <c r="H201" s="380"/>
      <c r="I201" s="381"/>
      <c r="J201" s="382"/>
      <c r="K201" s="35"/>
    </row>
    <row r="202" spans="2:11" s="25" customFormat="1" ht="93" customHeight="1">
      <c r="B202" s="232" t="s">
        <v>270</v>
      </c>
      <c r="C202" s="233">
        <v>3898.2</v>
      </c>
      <c r="D202" s="233">
        <v>1427.5</v>
      </c>
      <c r="E202" s="233">
        <v>1227.3</v>
      </c>
      <c r="F202" s="141">
        <f t="shared" si="184"/>
        <v>85.975481611208409</v>
      </c>
      <c r="G202" s="234">
        <f t="shared" si="185"/>
        <v>31.483761736185933</v>
      </c>
      <c r="H202" s="544"/>
      <c r="I202" s="545"/>
      <c r="J202" s="546"/>
      <c r="K202" s="35"/>
    </row>
    <row r="203" spans="2:11" ht="58.15" customHeight="1">
      <c r="B203" s="241" t="s">
        <v>161</v>
      </c>
      <c r="C203" s="242">
        <f>C204</f>
        <v>67584.399999999994</v>
      </c>
      <c r="D203" s="242">
        <f t="shared" ref="D203:E203" si="186">D204</f>
        <v>37660.5</v>
      </c>
      <c r="E203" s="242">
        <f t="shared" si="186"/>
        <v>35397.699999999997</v>
      </c>
      <c r="F203" s="135">
        <f t="shared" ref="F203" si="187">E203/D203*100</f>
        <v>93.99158269274173</v>
      </c>
      <c r="G203" s="243">
        <f t="shared" ref="G203" si="188">E203/C203*100</f>
        <v>52.375548203431563</v>
      </c>
      <c r="H203" s="386"/>
      <c r="I203" s="387"/>
      <c r="J203" s="388"/>
      <c r="K203" s="34"/>
    </row>
    <row r="204" spans="2:11" ht="43.9" customHeight="1">
      <c r="B204" s="136" t="s">
        <v>158</v>
      </c>
      <c r="C204" s="244">
        <f>C205+C206+C207+C208+C209+C210+C211</f>
        <v>67584.399999999994</v>
      </c>
      <c r="D204" s="244">
        <f t="shared" ref="D204:E204" si="189">D205+D206+D207+D208+D209+D210+D211</f>
        <v>37660.5</v>
      </c>
      <c r="E204" s="244">
        <f t="shared" si="189"/>
        <v>35397.699999999997</v>
      </c>
      <c r="F204" s="138">
        <f t="shared" si="184"/>
        <v>93.99158269274173</v>
      </c>
      <c r="G204" s="245">
        <f t="shared" si="185"/>
        <v>52.375548203431563</v>
      </c>
      <c r="H204" s="383"/>
      <c r="I204" s="384"/>
      <c r="J204" s="385"/>
      <c r="K204" s="34"/>
    </row>
    <row r="205" spans="2:11" s="25" customFormat="1" ht="55.9" customHeight="1">
      <c r="B205" s="165" t="s">
        <v>272</v>
      </c>
      <c r="C205" s="238">
        <v>29072.5</v>
      </c>
      <c r="D205" s="238">
        <v>17083.5</v>
      </c>
      <c r="E205" s="238">
        <v>16956.599999999999</v>
      </c>
      <c r="F205" s="141">
        <f t="shared" si="184"/>
        <v>99.257177978751415</v>
      </c>
      <c r="G205" s="235">
        <f t="shared" si="185"/>
        <v>58.325221429185646</v>
      </c>
      <c r="H205" s="538"/>
      <c r="I205" s="539"/>
      <c r="J205" s="540"/>
      <c r="K205" s="35"/>
    </row>
    <row r="206" spans="2:11" s="25" customFormat="1" ht="53.45" customHeight="1">
      <c r="B206" s="165" t="s">
        <v>273</v>
      </c>
      <c r="C206" s="246">
        <v>31341.3</v>
      </c>
      <c r="D206" s="246">
        <v>18028.099999999999</v>
      </c>
      <c r="E206" s="247">
        <v>16673.599999999999</v>
      </c>
      <c r="F206" s="141">
        <f t="shared" si="184"/>
        <v>92.486729050759635</v>
      </c>
      <c r="G206" s="234">
        <f t="shared" si="185"/>
        <v>53.200090615258453</v>
      </c>
      <c r="H206" s="380"/>
      <c r="I206" s="564"/>
      <c r="J206" s="565"/>
      <c r="K206" s="35"/>
    </row>
    <row r="207" spans="2:11" ht="159.6" customHeight="1">
      <c r="B207" s="240" t="s">
        <v>165</v>
      </c>
      <c r="C207" s="235">
        <f>2072</f>
        <v>2072</v>
      </c>
      <c r="D207" s="235">
        <v>764.8</v>
      </c>
      <c r="E207" s="235">
        <v>764.8</v>
      </c>
      <c r="F207" s="141">
        <f t="shared" ref="F207" si="190">E207/D207*100</f>
        <v>100</v>
      </c>
      <c r="G207" s="234">
        <f t="shared" ref="G207" si="191">E207/C207*100</f>
        <v>36.91119691119691</v>
      </c>
      <c r="H207" s="373" t="s">
        <v>299</v>
      </c>
      <c r="I207" s="374"/>
      <c r="J207" s="375"/>
      <c r="K207" s="13"/>
    </row>
    <row r="208" spans="2:11" s="25" customFormat="1" ht="67.150000000000006" customHeight="1">
      <c r="B208" s="169" t="s">
        <v>159</v>
      </c>
      <c r="C208" s="235">
        <v>366.5</v>
      </c>
      <c r="D208" s="236">
        <v>0</v>
      </c>
      <c r="E208" s="237">
        <v>0</v>
      </c>
      <c r="F208" s="146">
        <v>0</v>
      </c>
      <c r="G208" s="236">
        <f t="shared" ref="G208:G209" si="192">E208/C208*100</f>
        <v>0</v>
      </c>
      <c r="H208" s="367"/>
      <c r="I208" s="368"/>
      <c r="J208" s="369"/>
      <c r="K208" s="35"/>
    </row>
    <row r="209" spans="2:11" s="25" customFormat="1" ht="91.15" customHeight="1">
      <c r="B209" s="212" t="s">
        <v>160</v>
      </c>
      <c r="C209" s="238">
        <v>64.7</v>
      </c>
      <c r="D209" s="239">
        <v>0</v>
      </c>
      <c r="E209" s="239">
        <v>0</v>
      </c>
      <c r="F209" s="146">
        <v>0</v>
      </c>
      <c r="G209" s="236">
        <f t="shared" si="192"/>
        <v>0</v>
      </c>
      <c r="H209" s="344"/>
      <c r="I209" s="345"/>
      <c r="J209" s="346"/>
      <c r="K209" s="35"/>
    </row>
    <row r="210" spans="2:11" s="25" customFormat="1" ht="76.150000000000006" customHeight="1">
      <c r="B210" s="169" t="s">
        <v>271</v>
      </c>
      <c r="C210" s="235">
        <f>861.1+200+3506.3</f>
        <v>4567.3999999999996</v>
      </c>
      <c r="D210" s="235">
        <f>1534.1+150</f>
        <v>1684.1</v>
      </c>
      <c r="E210" s="235">
        <f>752.7+150</f>
        <v>902.7</v>
      </c>
      <c r="F210" s="141">
        <f t="shared" si="184"/>
        <v>53.601330087286982</v>
      </c>
      <c r="G210" s="234">
        <f t="shared" si="185"/>
        <v>19.763979506940494</v>
      </c>
      <c r="H210" s="344"/>
      <c r="I210" s="345"/>
      <c r="J210" s="346"/>
      <c r="K210" s="35"/>
    </row>
    <row r="211" spans="2:11" s="25" customFormat="1" ht="64.900000000000006" customHeight="1">
      <c r="B211" s="222" t="s">
        <v>163</v>
      </c>
      <c r="C211" s="235">
        <v>100</v>
      </c>
      <c r="D211" s="236">
        <v>100</v>
      </c>
      <c r="E211" s="236">
        <v>100</v>
      </c>
      <c r="F211" s="146">
        <f>E211/D211*100</f>
        <v>100</v>
      </c>
      <c r="G211" s="217">
        <f t="shared" ref="G211" si="193">E211/C211*100</f>
        <v>100</v>
      </c>
      <c r="H211" s="344" t="s">
        <v>202</v>
      </c>
      <c r="I211" s="550"/>
      <c r="J211" s="551"/>
      <c r="K211" s="35"/>
    </row>
    <row r="212" spans="2:11" s="26" customFormat="1" ht="71.45" customHeight="1">
      <c r="B212" s="174" t="s">
        <v>164</v>
      </c>
      <c r="C212" s="243">
        <f>C213</f>
        <v>108923.90000000001</v>
      </c>
      <c r="D212" s="243">
        <f t="shared" ref="D212:E212" si="194">D213</f>
        <v>56878.1</v>
      </c>
      <c r="E212" s="243">
        <f t="shared" si="194"/>
        <v>55562.400000000001</v>
      </c>
      <c r="F212" s="135">
        <f t="shared" si="184"/>
        <v>97.686807400387849</v>
      </c>
      <c r="G212" s="243">
        <f t="shared" si="185"/>
        <v>51.010292506970458</v>
      </c>
      <c r="H212" s="338"/>
      <c r="I212" s="536"/>
      <c r="J212" s="537"/>
      <c r="K212" s="34"/>
    </row>
    <row r="213" spans="2:11" ht="50.25" customHeight="1">
      <c r="B213" s="186" t="s">
        <v>121</v>
      </c>
      <c r="C213" s="245">
        <f>C214+C215+C216+C217+C218</f>
        <v>108923.90000000001</v>
      </c>
      <c r="D213" s="245">
        <f t="shared" ref="D213:E213" si="195">D214+D215+D216+D217+D218</f>
        <v>56878.1</v>
      </c>
      <c r="E213" s="245">
        <f t="shared" si="195"/>
        <v>55562.400000000001</v>
      </c>
      <c r="F213" s="141">
        <f t="shared" si="184"/>
        <v>97.686807400387849</v>
      </c>
      <c r="G213" s="234">
        <f t="shared" si="185"/>
        <v>51.010292506970458</v>
      </c>
      <c r="H213" s="341"/>
      <c r="I213" s="342"/>
      <c r="J213" s="343"/>
      <c r="K213" s="34"/>
    </row>
    <row r="214" spans="2:11" s="25" customFormat="1" ht="51.6" customHeight="1">
      <c r="B214" s="212" t="s">
        <v>287</v>
      </c>
      <c r="C214" s="246">
        <v>57848.9</v>
      </c>
      <c r="D214" s="246">
        <v>31515.5</v>
      </c>
      <c r="E214" s="247">
        <v>31515.5</v>
      </c>
      <c r="F214" s="141">
        <f t="shared" si="184"/>
        <v>100</v>
      </c>
      <c r="G214" s="234">
        <f t="shared" si="185"/>
        <v>54.478996143401169</v>
      </c>
      <c r="H214" s="373"/>
      <c r="I214" s="572"/>
      <c r="J214" s="573"/>
      <c r="K214" s="35"/>
    </row>
    <row r="215" spans="2:11" s="25" customFormat="1" ht="64.150000000000006" customHeight="1">
      <c r="B215" s="278" t="s">
        <v>285</v>
      </c>
      <c r="C215" s="246">
        <v>47999.3</v>
      </c>
      <c r="D215" s="235">
        <v>24196.1</v>
      </c>
      <c r="E215" s="247">
        <v>22958.1</v>
      </c>
      <c r="F215" s="141">
        <f t="shared" si="184"/>
        <v>94.883472956385532</v>
      </c>
      <c r="G215" s="234">
        <f t="shared" si="185"/>
        <v>47.830072521890941</v>
      </c>
      <c r="H215" s="380"/>
      <c r="I215" s="381"/>
      <c r="J215" s="382"/>
      <c r="K215" s="35"/>
    </row>
    <row r="216" spans="2:11" ht="180.75" customHeight="1">
      <c r="B216" s="240" t="s">
        <v>165</v>
      </c>
      <c r="C216" s="246">
        <f>1083+894.7</f>
        <v>1977.7</v>
      </c>
      <c r="D216" s="146">
        <f>325.5+281</f>
        <v>606.5</v>
      </c>
      <c r="E216" s="146">
        <f>325.5+240</f>
        <v>565.5</v>
      </c>
      <c r="F216" s="141">
        <f t="shared" si="184"/>
        <v>93.239901071722997</v>
      </c>
      <c r="G216" s="234">
        <f t="shared" si="185"/>
        <v>28.59382110532437</v>
      </c>
      <c r="H216" s="373" t="s">
        <v>300</v>
      </c>
      <c r="I216" s="374"/>
      <c r="J216" s="375"/>
      <c r="K216" s="13"/>
    </row>
    <row r="217" spans="2:11" s="25" customFormat="1" ht="58.5" customHeight="1">
      <c r="B217" s="278" t="s">
        <v>284</v>
      </c>
      <c r="C217" s="279">
        <v>30</v>
      </c>
      <c r="D217" s="146">
        <v>30</v>
      </c>
      <c r="E217" s="280">
        <v>0</v>
      </c>
      <c r="F217" s="146">
        <f>E217/D217*100</f>
        <v>0</v>
      </c>
      <c r="G217" s="217">
        <f t="shared" si="185"/>
        <v>0</v>
      </c>
      <c r="H217" s="373" t="s">
        <v>301</v>
      </c>
      <c r="I217" s="374"/>
      <c r="J217" s="375"/>
      <c r="K217" s="35"/>
    </row>
    <row r="218" spans="2:11" ht="77.25" customHeight="1">
      <c r="B218" s="222" t="s">
        <v>163</v>
      </c>
      <c r="C218" s="235">
        <f>1068</f>
        <v>1068</v>
      </c>
      <c r="D218" s="235">
        <v>530</v>
      </c>
      <c r="E218" s="235">
        <v>523.29999999999995</v>
      </c>
      <c r="F218" s="141">
        <f t="shared" si="184"/>
        <v>98.735849056603769</v>
      </c>
      <c r="G218" s="234">
        <f t="shared" si="185"/>
        <v>48.998127340823963</v>
      </c>
      <c r="H218" s="541" t="s">
        <v>286</v>
      </c>
      <c r="I218" s="542"/>
      <c r="J218" s="543"/>
      <c r="K218" s="13"/>
    </row>
    <row r="219" spans="2:11" s="26" customFormat="1" ht="85.15" customHeight="1">
      <c r="B219" s="268" t="s">
        <v>166</v>
      </c>
      <c r="C219" s="242">
        <f>C220</f>
        <v>5900</v>
      </c>
      <c r="D219" s="242">
        <f t="shared" ref="D219:E219" si="196">D220</f>
        <v>4083.1</v>
      </c>
      <c r="E219" s="242">
        <f t="shared" si="196"/>
        <v>4083.1</v>
      </c>
      <c r="F219" s="135">
        <f t="shared" si="184"/>
        <v>100</v>
      </c>
      <c r="G219" s="243">
        <f t="shared" si="185"/>
        <v>69.205084745762719</v>
      </c>
      <c r="H219" s="338"/>
      <c r="I219" s="536"/>
      <c r="J219" s="537"/>
      <c r="K219" s="34"/>
    </row>
    <row r="220" spans="2:11" ht="29.45" customHeight="1">
      <c r="B220" s="136" t="s">
        <v>142</v>
      </c>
      <c r="C220" s="269">
        <f>C221+C222</f>
        <v>5900</v>
      </c>
      <c r="D220" s="269">
        <f t="shared" ref="D220:E220" si="197">D221+D222</f>
        <v>4083.1</v>
      </c>
      <c r="E220" s="269">
        <f t="shared" si="197"/>
        <v>4083.1</v>
      </c>
      <c r="F220" s="138">
        <f t="shared" si="184"/>
        <v>100</v>
      </c>
      <c r="G220" s="270">
        <f t="shared" si="185"/>
        <v>69.205084745762719</v>
      </c>
      <c r="H220" s="341"/>
      <c r="I220" s="342"/>
      <c r="J220" s="343"/>
      <c r="K220" s="34"/>
    </row>
    <row r="221" spans="2:11" s="20" customFormat="1" ht="83.45" customHeight="1">
      <c r="B221" s="271" t="s">
        <v>167</v>
      </c>
      <c r="C221" s="272">
        <v>5400</v>
      </c>
      <c r="D221" s="272">
        <v>3757.1</v>
      </c>
      <c r="E221" s="273">
        <v>3757.1</v>
      </c>
      <c r="F221" s="160">
        <f t="shared" ref="F221" si="198">E221/D221*100</f>
        <v>100</v>
      </c>
      <c r="G221" s="274">
        <f t="shared" ref="G221" si="199">E221/C221*100</f>
        <v>69.575925925925915</v>
      </c>
      <c r="H221" s="332"/>
      <c r="I221" s="333"/>
      <c r="J221" s="334"/>
      <c r="K221" s="36"/>
    </row>
    <row r="222" spans="2:11" s="20" customFormat="1" ht="81.599999999999994" customHeight="1">
      <c r="B222" s="275" t="s">
        <v>168</v>
      </c>
      <c r="C222" s="272">
        <v>500</v>
      </c>
      <c r="D222" s="276">
        <v>326</v>
      </c>
      <c r="E222" s="277">
        <v>326</v>
      </c>
      <c r="F222" s="160">
        <f t="shared" ref="F222:F223" si="200">E222/D222*100</f>
        <v>100</v>
      </c>
      <c r="G222" s="274">
        <f t="shared" ref="G222:G223" si="201">E222/C222*100</f>
        <v>65.2</v>
      </c>
      <c r="H222" s="547"/>
      <c r="I222" s="548"/>
      <c r="J222" s="549"/>
      <c r="K222" s="36"/>
    </row>
    <row r="223" spans="2:11" s="26" customFormat="1" ht="56.45" customHeight="1">
      <c r="B223" s="241" t="s">
        <v>169</v>
      </c>
      <c r="C223" s="242">
        <f>C224+C238+C240+C249</f>
        <v>1364798.9</v>
      </c>
      <c r="D223" s="242">
        <f t="shared" ref="D223:E223" si="202">D224+D238+D240+D249</f>
        <v>627099.39999999991</v>
      </c>
      <c r="E223" s="242">
        <f t="shared" si="202"/>
        <v>619262.69999999995</v>
      </c>
      <c r="F223" s="135">
        <f t="shared" si="200"/>
        <v>98.750325705940725</v>
      </c>
      <c r="G223" s="243">
        <f t="shared" si="201"/>
        <v>45.373915527042115</v>
      </c>
      <c r="H223" s="338"/>
      <c r="I223" s="536"/>
      <c r="J223" s="537"/>
      <c r="K223" s="34"/>
    </row>
    <row r="224" spans="2:11" ht="28.9" customHeight="1">
      <c r="B224" s="308" t="s">
        <v>170</v>
      </c>
      <c r="C224" s="269">
        <f>C225+C226+C227+C228+C229+C230+C231+C232+C233+C234+C235+C236+C237</f>
        <v>1164439.0999999999</v>
      </c>
      <c r="D224" s="269">
        <f t="shared" ref="D224:E224" si="203">D225+D226+D227+D228+D229+D230+D231+D232+D233+D234+D235+D236+D237</f>
        <v>578164.09999999986</v>
      </c>
      <c r="E224" s="269">
        <f t="shared" si="203"/>
        <v>577582.6</v>
      </c>
      <c r="F224" s="138">
        <f t="shared" si="184"/>
        <v>99.899423018482153</v>
      </c>
      <c r="G224" s="245">
        <f t="shared" si="185"/>
        <v>49.601786817361251</v>
      </c>
      <c r="H224" s="341"/>
      <c r="I224" s="342"/>
      <c r="J224" s="343"/>
      <c r="K224" s="34"/>
    </row>
    <row r="225" spans="2:11" s="25" customFormat="1" ht="64.150000000000006" customHeight="1">
      <c r="B225" s="222" t="s">
        <v>316</v>
      </c>
      <c r="C225" s="233">
        <v>92935.8</v>
      </c>
      <c r="D225" s="233">
        <v>42821.4</v>
      </c>
      <c r="E225" s="233">
        <v>42821.4</v>
      </c>
      <c r="F225" s="141">
        <f t="shared" si="184"/>
        <v>100</v>
      </c>
      <c r="G225" s="235">
        <f>E225/C225*100</f>
        <v>46.076323655684895</v>
      </c>
      <c r="H225" s="370"/>
      <c r="I225" s="499"/>
      <c r="J225" s="500"/>
      <c r="K225" s="35"/>
    </row>
    <row r="226" spans="2:11" s="25" customFormat="1" ht="103.15" customHeight="1">
      <c r="B226" s="298" t="s">
        <v>171</v>
      </c>
      <c r="C226" s="233">
        <v>431355.3</v>
      </c>
      <c r="D226" s="233">
        <v>203210</v>
      </c>
      <c r="E226" s="247">
        <v>203210</v>
      </c>
      <c r="F226" s="141">
        <f t="shared" ref="F226" si="204">E226/D226*100</f>
        <v>100</v>
      </c>
      <c r="G226" s="235">
        <f t="shared" ref="G226" si="205">E226/C226*100</f>
        <v>47.109656471127167</v>
      </c>
      <c r="H226" s="370" t="s">
        <v>317</v>
      </c>
      <c r="I226" s="371"/>
      <c r="J226" s="372"/>
      <c r="K226" s="35"/>
    </row>
    <row r="227" spans="2:11" s="25" customFormat="1" ht="51" customHeight="1">
      <c r="B227" s="212" t="s">
        <v>318</v>
      </c>
      <c r="C227" s="233">
        <v>48697.7</v>
      </c>
      <c r="D227" s="299">
        <v>24475.9</v>
      </c>
      <c r="E227" s="280">
        <v>24475.9</v>
      </c>
      <c r="F227" s="141">
        <f t="shared" ref="F227" si="206">E227/D227*100</f>
        <v>100</v>
      </c>
      <c r="G227" s="235">
        <f t="shared" ref="G227" si="207">E227/C227*100</f>
        <v>50.260895278421778</v>
      </c>
      <c r="H227" s="344"/>
      <c r="I227" s="345"/>
      <c r="J227" s="346"/>
      <c r="K227" s="35"/>
    </row>
    <row r="228" spans="2:11" s="25" customFormat="1" ht="156" customHeight="1">
      <c r="B228" s="300" t="s">
        <v>165</v>
      </c>
      <c r="C228" s="233">
        <v>1459.8</v>
      </c>
      <c r="D228" s="233">
        <v>539</v>
      </c>
      <c r="E228" s="233">
        <v>539</v>
      </c>
      <c r="F228" s="141">
        <f t="shared" si="184"/>
        <v>100</v>
      </c>
      <c r="G228" s="236">
        <f t="shared" ref="G228:G230" si="208">E228/C228*100</f>
        <v>36.922866146047404</v>
      </c>
      <c r="H228" s="370" t="s">
        <v>192</v>
      </c>
      <c r="I228" s="371"/>
      <c r="J228" s="372"/>
      <c r="K228" s="35"/>
    </row>
    <row r="229" spans="2:11" s="25" customFormat="1" ht="51.6" customHeight="1">
      <c r="B229" s="147" t="s">
        <v>319</v>
      </c>
      <c r="C229" s="205">
        <v>52136.1</v>
      </c>
      <c r="D229" s="205">
        <v>24599.599999999999</v>
      </c>
      <c r="E229" s="205">
        <v>24599.599999999999</v>
      </c>
      <c r="F229" s="141">
        <f t="shared" ref="F229:F230" si="209">E229/D229*100</f>
        <v>100</v>
      </c>
      <c r="G229" s="205">
        <f t="shared" si="208"/>
        <v>47.183429523880768</v>
      </c>
      <c r="H229" s="370"/>
      <c r="I229" s="371"/>
      <c r="J229" s="372"/>
    </row>
    <row r="230" spans="2:11" s="25" customFormat="1" ht="99.6" customHeight="1">
      <c r="B230" s="222" t="s">
        <v>172</v>
      </c>
      <c r="C230" s="205">
        <v>489984.6</v>
      </c>
      <c r="D230" s="205">
        <v>258986</v>
      </c>
      <c r="E230" s="205">
        <v>258986</v>
      </c>
      <c r="F230" s="141">
        <f t="shared" si="209"/>
        <v>100</v>
      </c>
      <c r="G230" s="205">
        <f t="shared" si="208"/>
        <v>52.855946901188325</v>
      </c>
      <c r="H230" s="370" t="s">
        <v>320</v>
      </c>
      <c r="I230" s="371"/>
      <c r="J230" s="372"/>
    </row>
    <row r="231" spans="2:11" s="25" customFormat="1" ht="82.9" customHeight="1">
      <c r="B231" s="300" t="s">
        <v>173</v>
      </c>
      <c r="C231" s="233">
        <v>1283.7</v>
      </c>
      <c r="D231" s="233">
        <v>381.9</v>
      </c>
      <c r="E231" s="247">
        <v>381.9</v>
      </c>
      <c r="F231" s="141">
        <f t="shared" si="184"/>
        <v>100</v>
      </c>
      <c r="G231" s="279">
        <f t="shared" si="185"/>
        <v>29.749941575134375</v>
      </c>
      <c r="H231" s="344"/>
      <c r="I231" s="345"/>
      <c r="J231" s="346"/>
      <c r="K231" s="35"/>
    </row>
    <row r="232" spans="2:11" s="25" customFormat="1" ht="69" customHeight="1">
      <c r="B232" s="300" t="s">
        <v>321</v>
      </c>
      <c r="C232" s="233">
        <v>16783.8</v>
      </c>
      <c r="D232" s="301">
        <v>7656.2</v>
      </c>
      <c r="E232" s="302">
        <v>7656.2</v>
      </c>
      <c r="F232" s="141">
        <f t="shared" ref="F232" si="210">E232/D232*100</f>
        <v>100</v>
      </c>
      <c r="G232" s="279">
        <f t="shared" ref="G232" si="211">E232/C232*100</f>
        <v>45.616606489591156</v>
      </c>
      <c r="H232" s="344"/>
      <c r="I232" s="345"/>
      <c r="J232" s="346"/>
      <c r="K232" s="35"/>
    </row>
    <row r="233" spans="2:11" s="25" customFormat="1" ht="92.45" customHeight="1">
      <c r="B233" s="300" t="s">
        <v>322</v>
      </c>
      <c r="C233" s="233">
        <v>25942.5</v>
      </c>
      <c r="D233" s="301">
        <v>13866.5</v>
      </c>
      <c r="E233" s="302">
        <v>13296.8</v>
      </c>
      <c r="F233" s="141">
        <f t="shared" ref="F233" si="212">E233/D233*100</f>
        <v>95.891537157898526</v>
      </c>
      <c r="G233" s="279">
        <f t="shared" ref="G233" si="213">E233/C233*100</f>
        <v>51.254890623494262</v>
      </c>
      <c r="H233" s="370" t="s">
        <v>206</v>
      </c>
      <c r="I233" s="371"/>
      <c r="J233" s="372"/>
      <c r="K233" s="35"/>
    </row>
    <row r="234" spans="2:11" s="25" customFormat="1" ht="120" customHeight="1">
      <c r="B234" s="240" t="s">
        <v>219</v>
      </c>
      <c r="C234" s="233">
        <f>100+1248.5+86.3</f>
        <v>1434.8</v>
      </c>
      <c r="D234" s="301">
        <f>100+926.6</f>
        <v>1026.5999999999999</v>
      </c>
      <c r="E234" s="302">
        <f>100+915</f>
        <v>1015</v>
      </c>
      <c r="F234" s="141">
        <f t="shared" ref="F234:F235" si="214">E234/D234*100</f>
        <v>98.870056497175156</v>
      </c>
      <c r="G234" s="279">
        <f t="shared" ref="G234:G236" si="215">E234/C234*100</f>
        <v>70.741566768887651</v>
      </c>
      <c r="H234" s="373" t="s">
        <v>324</v>
      </c>
      <c r="I234" s="374"/>
      <c r="J234" s="375"/>
      <c r="K234" s="35"/>
    </row>
    <row r="235" spans="2:11" s="25" customFormat="1" ht="106.15" customHeight="1">
      <c r="B235" s="240" t="s">
        <v>323</v>
      </c>
      <c r="C235" s="233">
        <v>1525</v>
      </c>
      <c r="D235" s="301">
        <v>601</v>
      </c>
      <c r="E235" s="302">
        <v>600.79999999999995</v>
      </c>
      <c r="F235" s="141">
        <f t="shared" si="214"/>
        <v>99.96672212978369</v>
      </c>
      <c r="G235" s="279">
        <f t="shared" si="215"/>
        <v>39.39672131147541</v>
      </c>
      <c r="H235" s="370"/>
      <c r="I235" s="371"/>
      <c r="J235" s="372"/>
      <c r="K235" s="35"/>
    </row>
    <row r="236" spans="2:11" s="25" customFormat="1" ht="106.15" customHeight="1">
      <c r="B236" s="303" t="s">
        <v>325</v>
      </c>
      <c r="C236" s="233">
        <v>300</v>
      </c>
      <c r="D236" s="304">
        <v>0</v>
      </c>
      <c r="E236" s="305">
        <v>0</v>
      </c>
      <c r="F236" s="282">
        <v>0</v>
      </c>
      <c r="G236" s="306">
        <f t="shared" si="215"/>
        <v>0</v>
      </c>
      <c r="H236" s="288"/>
      <c r="I236" s="289"/>
      <c r="J236" s="290"/>
      <c r="K236" s="35"/>
    </row>
    <row r="237" spans="2:11" s="25" customFormat="1" ht="51">
      <c r="B237" s="307" t="s">
        <v>326</v>
      </c>
      <c r="C237" s="233">
        <v>600</v>
      </c>
      <c r="D237" s="304">
        <v>0</v>
      </c>
      <c r="E237" s="305">
        <v>0</v>
      </c>
      <c r="F237" s="282">
        <v>0</v>
      </c>
      <c r="G237" s="306">
        <f t="shared" ref="G237" si="216">E237/C237*100</f>
        <v>0</v>
      </c>
      <c r="H237" s="288"/>
      <c r="I237" s="289"/>
      <c r="J237" s="290"/>
      <c r="K237" s="35"/>
    </row>
    <row r="238" spans="2:11" ht="29.45" customHeight="1">
      <c r="B238" s="309" t="s">
        <v>174</v>
      </c>
      <c r="C238" s="269">
        <f>C239</f>
        <v>883.2</v>
      </c>
      <c r="D238" s="269">
        <f t="shared" ref="D238:E238" si="217">D239</f>
        <v>298.5</v>
      </c>
      <c r="E238" s="269">
        <f t="shared" si="217"/>
        <v>201.7</v>
      </c>
      <c r="F238" s="138">
        <f t="shared" ref="F238:F239" si="218">E238/D238*100</f>
        <v>67.571189279731996</v>
      </c>
      <c r="G238" s="310">
        <f t="shared" ref="G238:G239" si="219">E238/C238*100</f>
        <v>22.837409420289852</v>
      </c>
      <c r="H238" s="383"/>
      <c r="I238" s="570"/>
      <c r="J238" s="571"/>
      <c r="K238" s="34"/>
    </row>
    <row r="239" spans="2:11" s="25" customFormat="1" ht="70.150000000000006" customHeight="1">
      <c r="B239" s="240" t="s">
        <v>327</v>
      </c>
      <c r="C239" s="301">
        <f>40.8+90.8+751.6</f>
        <v>883.2</v>
      </c>
      <c r="D239" s="301">
        <f>40.8+71.1+186.6</f>
        <v>298.5</v>
      </c>
      <c r="E239" s="302">
        <f>28.2+66.9+106.6</f>
        <v>201.7</v>
      </c>
      <c r="F239" s="141">
        <f t="shared" si="218"/>
        <v>67.571189279731996</v>
      </c>
      <c r="G239" s="279">
        <f t="shared" si="219"/>
        <v>22.837409420289852</v>
      </c>
      <c r="H239" s="380"/>
      <c r="I239" s="381"/>
      <c r="J239" s="382"/>
      <c r="K239" s="35"/>
    </row>
    <row r="240" spans="2:11" ht="45.6" customHeight="1">
      <c r="B240" s="309" t="s">
        <v>175</v>
      </c>
      <c r="C240" s="314">
        <f>C241+C242+C243+C247+C248</f>
        <v>181674</v>
      </c>
      <c r="D240" s="314">
        <f t="shared" ref="D240:E240" si="220">D241+D242+D243+D247+D248</f>
        <v>37873.899999999994</v>
      </c>
      <c r="E240" s="314">
        <f t="shared" si="220"/>
        <v>30823</v>
      </c>
      <c r="F240" s="138">
        <f t="shared" ref="F240" si="221">E240/D240*100</f>
        <v>81.383221690927016</v>
      </c>
      <c r="G240" s="310">
        <f t="shared" ref="G240" si="222">E240/C240*100</f>
        <v>16.966104120567611</v>
      </c>
      <c r="H240" s="341"/>
      <c r="I240" s="342"/>
      <c r="J240" s="343"/>
      <c r="K240" s="34"/>
    </row>
    <row r="241" spans="2:11" s="25" customFormat="1" ht="57" customHeight="1">
      <c r="B241" s="240" t="s">
        <v>176</v>
      </c>
      <c r="C241" s="301">
        <v>29110.400000000001</v>
      </c>
      <c r="D241" s="301">
        <v>12430.2</v>
      </c>
      <c r="E241" s="302">
        <v>12430.2</v>
      </c>
      <c r="F241" s="141">
        <f t="shared" ref="F241:F246" si="223">E241/D241*100</f>
        <v>100</v>
      </c>
      <c r="G241" s="279">
        <f t="shared" ref="G241:G246" si="224">E241/C241*100</f>
        <v>42.70020336374629</v>
      </c>
      <c r="H241" s="344"/>
      <c r="I241" s="345"/>
      <c r="J241" s="346"/>
      <c r="K241" s="35"/>
    </row>
    <row r="242" spans="2:11" s="25" customFormat="1" ht="213.6" customHeight="1">
      <c r="B242" s="240" t="s">
        <v>328</v>
      </c>
      <c r="C242" s="301">
        <v>23063</v>
      </c>
      <c r="D242" s="301">
        <v>14563.9</v>
      </c>
      <c r="E242" s="302">
        <v>14563.9</v>
      </c>
      <c r="F242" s="141">
        <f t="shared" si="223"/>
        <v>100</v>
      </c>
      <c r="G242" s="279">
        <f t="shared" si="224"/>
        <v>63.148332827472572</v>
      </c>
      <c r="H242" s="344"/>
      <c r="I242" s="345"/>
      <c r="J242" s="346"/>
      <c r="K242" s="35"/>
    </row>
    <row r="243" spans="2:11" s="25" customFormat="1" ht="30" customHeight="1">
      <c r="B243" s="240" t="s">
        <v>31</v>
      </c>
      <c r="C243" s="301">
        <f>C244+C245+C246</f>
        <v>129050.6</v>
      </c>
      <c r="D243" s="301">
        <f t="shared" ref="D243:E243" si="225">D244+D245+D246</f>
        <v>10429.799999999999</v>
      </c>
      <c r="E243" s="301">
        <f t="shared" si="225"/>
        <v>3378.9</v>
      </c>
      <c r="F243" s="141">
        <f t="shared" si="223"/>
        <v>32.3965943738135</v>
      </c>
      <c r="G243" s="279">
        <f t="shared" si="224"/>
        <v>2.6182753121643758</v>
      </c>
      <c r="H243" s="344"/>
      <c r="I243" s="345"/>
      <c r="J243" s="346"/>
      <c r="K243" s="35"/>
    </row>
    <row r="244" spans="2:11" s="20" customFormat="1" ht="92.45" customHeight="1">
      <c r="B244" s="311" t="s">
        <v>177</v>
      </c>
      <c r="C244" s="284">
        <v>2781.1</v>
      </c>
      <c r="D244" s="284">
        <v>1033.4000000000001</v>
      </c>
      <c r="E244" s="312">
        <v>1033.4000000000001</v>
      </c>
      <c r="F244" s="160">
        <f t="shared" si="223"/>
        <v>100</v>
      </c>
      <c r="G244" s="313">
        <f t="shared" si="224"/>
        <v>37.1579590809392</v>
      </c>
      <c r="H244" s="332"/>
      <c r="I244" s="333"/>
      <c r="J244" s="334"/>
      <c r="K244" s="36"/>
    </row>
    <row r="245" spans="2:11" s="20" customFormat="1" ht="95.45" customHeight="1">
      <c r="B245" s="311" t="s">
        <v>179</v>
      </c>
      <c r="C245" s="284">
        <v>100</v>
      </c>
      <c r="D245" s="284">
        <v>100</v>
      </c>
      <c r="E245" s="312">
        <v>25</v>
      </c>
      <c r="F245" s="160">
        <f t="shared" si="223"/>
        <v>25</v>
      </c>
      <c r="G245" s="313">
        <f t="shared" si="224"/>
        <v>25</v>
      </c>
      <c r="H245" s="361"/>
      <c r="I245" s="427"/>
      <c r="J245" s="428"/>
      <c r="K245" s="36"/>
    </row>
    <row r="246" spans="2:11" s="20" customFormat="1" ht="55.15" customHeight="1">
      <c r="B246" s="311" t="s">
        <v>178</v>
      </c>
      <c r="C246" s="284">
        <f>129050.6-2781.1-100</f>
        <v>126169.5</v>
      </c>
      <c r="D246" s="284">
        <f>10429.8-1033.4-100</f>
        <v>9296.4</v>
      </c>
      <c r="E246" s="312">
        <f>3378.9-1033.4-25</f>
        <v>2320.5</v>
      </c>
      <c r="F246" s="160">
        <f t="shared" si="223"/>
        <v>24.96127533238673</v>
      </c>
      <c r="G246" s="313">
        <f t="shared" si="224"/>
        <v>1.8391925148312389</v>
      </c>
      <c r="H246" s="370" t="s">
        <v>212</v>
      </c>
      <c r="I246" s="371"/>
      <c r="J246" s="372"/>
      <c r="K246" s="36"/>
    </row>
    <row r="247" spans="2:11" ht="76.5" customHeight="1">
      <c r="B247" s="309" t="s">
        <v>180</v>
      </c>
      <c r="C247" s="314">
        <v>50</v>
      </c>
      <c r="D247" s="316">
        <v>50</v>
      </c>
      <c r="E247" s="317">
        <v>50</v>
      </c>
      <c r="F247" s="146">
        <f>E247/D247*100</f>
        <v>100</v>
      </c>
      <c r="G247" s="145">
        <f t="shared" ref="G247:G248" si="226">E247/C247*100</f>
        <v>100</v>
      </c>
      <c r="H247" s="358"/>
      <c r="I247" s="359"/>
      <c r="J247" s="360"/>
      <c r="K247" s="34"/>
    </row>
    <row r="248" spans="2:11" ht="148.5" customHeight="1">
      <c r="B248" s="309" t="s">
        <v>163</v>
      </c>
      <c r="C248" s="314">
        <v>400</v>
      </c>
      <c r="D248" s="314">
        <v>400</v>
      </c>
      <c r="E248" s="315">
        <v>400</v>
      </c>
      <c r="F248" s="141">
        <f t="shared" ref="F248" si="227">E248/D248*100</f>
        <v>100</v>
      </c>
      <c r="G248" s="279">
        <f t="shared" si="226"/>
        <v>100</v>
      </c>
      <c r="H248" s="432" t="s">
        <v>203</v>
      </c>
      <c r="I248" s="433"/>
      <c r="J248" s="434"/>
      <c r="K248" s="34"/>
    </row>
    <row r="249" spans="2:11" ht="51.75" customHeight="1">
      <c r="B249" s="309" t="s">
        <v>181</v>
      </c>
      <c r="C249" s="314">
        <f>C250+C251+C252+C253</f>
        <v>17802.599999999999</v>
      </c>
      <c r="D249" s="314">
        <f t="shared" ref="D249:E249" si="228">D250+D251+D252+D253</f>
        <v>10762.9</v>
      </c>
      <c r="E249" s="314">
        <f t="shared" si="228"/>
        <v>10655.4</v>
      </c>
      <c r="F249" s="141">
        <f t="shared" ref="F249:F254" si="229">E249/D249*100</f>
        <v>99.001198561725928</v>
      </c>
      <c r="G249" s="279">
        <f t="shared" ref="G249:G256" si="230">E249/C249*100</f>
        <v>59.853055171716498</v>
      </c>
      <c r="H249" s="358"/>
      <c r="I249" s="359"/>
      <c r="J249" s="360"/>
      <c r="K249" s="34"/>
    </row>
    <row r="250" spans="2:11" s="25" customFormat="1" ht="67.900000000000006" customHeight="1">
      <c r="B250" s="240" t="s">
        <v>182</v>
      </c>
      <c r="C250" s="301">
        <v>6089.4</v>
      </c>
      <c r="D250" s="318">
        <v>1927.1</v>
      </c>
      <c r="E250" s="237">
        <v>1927.1</v>
      </c>
      <c r="F250" s="146">
        <f>E250/D250*100</f>
        <v>100</v>
      </c>
      <c r="G250" s="145">
        <f t="shared" si="230"/>
        <v>31.646796071862582</v>
      </c>
      <c r="H250" s="358"/>
      <c r="I250" s="359"/>
      <c r="J250" s="360"/>
      <c r="K250" s="35"/>
    </row>
    <row r="251" spans="2:11" s="25" customFormat="1" ht="94.9" customHeight="1">
      <c r="B251" s="240" t="s">
        <v>183</v>
      </c>
      <c r="C251" s="301">
        <v>1522.4</v>
      </c>
      <c r="D251" s="318">
        <v>1312.4</v>
      </c>
      <c r="E251" s="237">
        <v>1312.4</v>
      </c>
      <c r="F251" s="146">
        <f>E251/D251*100</f>
        <v>100</v>
      </c>
      <c r="G251" s="145">
        <f t="shared" si="230"/>
        <v>86.205990541250657</v>
      </c>
      <c r="H251" s="358"/>
      <c r="I251" s="359"/>
      <c r="J251" s="360"/>
      <c r="K251" s="35"/>
    </row>
    <row r="252" spans="2:11" s="25" customFormat="1" ht="28.9" customHeight="1">
      <c r="B252" s="240" t="s">
        <v>184</v>
      </c>
      <c r="C252" s="301">
        <v>6975.4</v>
      </c>
      <c r="D252" s="304">
        <v>5664</v>
      </c>
      <c r="E252" s="305">
        <v>5664</v>
      </c>
      <c r="F252" s="146">
        <f>E252/D252*100</f>
        <v>100</v>
      </c>
      <c r="G252" s="145">
        <f t="shared" si="230"/>
        <v>81.199644464833568</v>
      </c>
      <c r="H252" s="358"/>
      <c r="I252" s="359"/>
      <c r="J252" s="360"/>
      <c r="K252" s="35"/>
    </row>
    <row r="253" spans="2:11" s="25" customFormat="1" ht="28.9" customHeight="1">
      <c r="B253" s="240" t="s">
        <v>31</v>
      </c>
      <c r="C253" s="301">
        <f>C254+C255+C256</f>
        <v>3215.4000000000005</v>
      </c>
      <c r="D253" s="301">
        <f t="shared" ref="D253:E253" si="231">D254+D255+D256</f>
        <v>1859.3999999999999</v>
      </c>
      <c r="E253" s="301">
        <f t="shared" si="231"/>
        <v>1751.8999999999999</v>
      </c>
      <c r="F253" s="141">
        <f t="shared" si="229"/>
        <v>94.218565128536085</v>
      </c>
      <c r="G253" s="279">
        <f t="shared" si="230"/>
        <v>54.484667537475886</v>
      </c>
      <c r="H253" s="358"/>
      <c r="I253" s="359"/>
      <c r="J253" s="360"/>
      <c r="K253" s="35"/>
    </row>
    <row r="254" spans="2:11" s="20" customFormat="1" ht="28.9" customHeight="1">
      <c r="B254" s="311" t="s">
        <v>186</v>
      </c>
      <c r="C254" s="284">
        <f>3215.4-425.2-494.2-200</f>
        <v>2096.0000000000005</v>
      </c>
      <c r="D254" s="284">
        <v>1062.0999999999999</v>
      </c>
      <c r="E254" s="312">
        <v>1062.0999999999999</v>
      </c>
      <c r="F254" s="160">
        <f t="shared" si="229"/>
        <v>100</v>
      </c>
      <c r="G254" s="313">
        <f t="shared" si="230"/>
        <v>50.672709923664108</v>
      </c>
      <c r="H254" s="358"/>
      <c r="I254" s="359"/>
      <c r="J254" s="360"/>
      <c r="K254" s="36"/>
    </row>
    <row r="255" spans="2:11" s="20" customFormat="1" ht="28.9" customHeight="1">
      <c r="B255" s="311" t="s">
        <v>185</v>
      </c>
      <c r="C255" s="284">
        <v>425.2</v>
      </c>
      <c r="D255" s="285">
        <v>127.1</v>
      </c>
      <c r="E255" s="319">
        <v>127.1</v>
      </c>
      <c r="F255" s="158">
        <f>E255/D255*100</f>
        <v>100</v>
      </c>
      <c r="G255" s="157">
        <f t="shared" si="230"/>
        <v>29.891815616180622</v>
      </c>
      <c r="H255" s="358"/>
      <c r="I255" s="359"/>
      <c r="J255" s="360"/>
      <c r="K255" s="36"/>
    </row>
    <row r="256" spans="2:11" s="20" customFormat="1" ht="54.6" customHeight="1">
      <c r="B256" s="311" t="s">
        <v>187</v>
      </c>
      <c r="C256" s="284">
        <f>200+494.2</f>
        <v>694.2</v>
      </c>
      <c r="D256" s="285">
        <f>494.2+176</f>
        <v>670.2</v>
      </c>
      <c r="E256" s="319">
        <f>386.7+176</f>
        <v>562.70000000000005</v>
      </c>
      <c r="F256" s="158">
        <f>E256/D256*100</f>
        <v>83.960011936735299</v>
      </c>
      <c r="G256" s="157">
        <f t="shared" si="230"/>
        <v>81.057332180927688</v>
      </c>
      <c r="H256" s="358"/>
      <c r="I256" s="359"/>
      <c r="J256" s="360"/>
      <c r="K256" s="36"/>
    </row>
    <row r="257" spans="2:11" ht="18" customHeight="1">
      <c r="B257" s="206" t="s">
        <v>1</v>
      </c>
      <c r="C257" s="207">
        <f>C200+C203+C212+C219+C223</f>
        <v>1565218.5</v>
      </c>
      <c r="D257" s="207">
        <f>D200+D203+D212+D219+D223</f>
        <v>734309.49999999988</v>
      </c>
      <c r="E257" s="207">
        <f>E200+E203+E212+E219+E223</f>
        <v>722194.1</v>
      </c>
      <c r="F257" s="172">
        <f t="shared" si="184"/>
        <v>98.350096246882288</v>
      </c>
      <c r="G257" s="207">
        <f t="shared" si="185"/>
        <v>46.140145928507742</v>
      </c>
      <c r="H257" s="420"/>
      <c r="I257" s="421"/>
      <c r="J257" s="422"/>
      <c r="K257" s="13"/>
    </row>
    <row r="258" spans="2:11" s="23" customFormat="1" ht="18" customHeight="1">
      <c r="B258" s="59"/>
      <c r="C258" s="70"/>
      <c r="D258" s="70"/>
      <c r="E258" s="70"/>
      <c r="F258" s="70"/>
      <c r="G258" s="70"/>
      <c r="H258" s="73"/>
      <c r="I258" s="73"/>
      <c r="J258" s="73"/>
      <c r="K258" s="43"/>
    </row>
    <row r="259" spans="2:11" ht="40.9" customHeight="1">
      <c r="B259" s="357" t="s">
        <v>274</v>
      </c>
      <c r="C259" s="357"/>
      <c r="D259" s="357"/>
      <c r="E259" s="357"/>
      <c r="F259" s="357"/>
      <c r="G259" s="357"/>
      <c r="H259" s="357"/>
      <c r="I259" s="357"/>
      <c r="J259" s="357"/>
      <c r="K259" s="15"/>
    </row>
    <row r="260" spans="2:11" ht="13.15" customHeight="1">
      <c r="B260" s="248"/>
      <c r="C260" s="249"/>
      <c r="D260" s="249"/>
      <c r="E260" s="249"/>
      <c r="F260" s="249"/>
      <c r="G260" s="250"/>
      <c r="H260" s="250"/>
      <c r="I260" s="485" t="s">
        <v>6</v>
      </c>
      <c r="J260" s="485"/>
      <c r="K260" s="1"/>
    </row>
    <row r="261" spans="2:11" ht="57" customHeight="1">
      <c r="B261" s="152" t="s">
        <v>2</v>
      </c>
      <c r="C261" s="152" t="s">
        <v>40</v>
      </c>
      <c r="D261" s="152" t="s">
        <v>221</v>
      </c>
      <c r="E261" s="152" t="s">
        <v>220</v>
      </c>
      <c r="F261" s="153" t="s">
        <v>9</v>
      </c>
      <c r="G261" s="153" t="s">
        <v>12</v>
      </c>
      <c r="H261" s="377" t="s">
        <v>205</v>
      </c>
      <c r="I261" s="378"/>
      <c r="J261" s="379"/>
    </row>
    <row r="262" spans="2:11" s="26" customFormat="1" ht="58.15" customHeight="1">
      <c r="B262" s="218" t="s">
        <v>128</v>
      </c>
      <c r="C262" s="259">
        <f>C263+C270+C274</f>
        <v>306010.89999999997</v>
      </c>
      <c r="D262" s="259">
        <f>D263+D270+D274</f>
        <v>226291.60000000003</v>
      </c>
      <c r="E262" s="259">
        <f>E263+E270+E274</f>
        <v>224320.00000000003</v>
      </c>
      <c r="F262" s="135">
        <f t="shared" ref="F262:F287" si="232">E262/D262*100</f>
        <v>99.128734782908424</v>
      </c>
      <c r="G262" s="215">
        <f t="shared" ref="G262:G268" si="233">E262/C262*100</f>
        <v>73.304578366326183</v>
      </c>
      <c r="H262" s="338"/>
      <c r="I262" s="339"/>
      <c r="J262" s="340"/>
    </row>
    <row r="263" spans="2:11" ht="30" customHeight="1">
      <c r="B263" s="186" t="s">
        <v>129</v>
      </c>
      <c r="C263" s="201">
        <f>C264+C265+C266+C267+C268+C269</f>
        <v>27945.5</v>
      </c>
      <c r="D263" s="201">
        <f t="shared" ref="D263:E263" si="234">D264+D265+D266+D267+D268+D269</f>
        <v>13834.2</v>
      </c>
      <c r="E263" s="201">
        <f t="shared" si="234"/>
        <v>12956.6</v>
      </c>
      <c r="F263" s="138">
        <f t="shared" ref="F263" si="235">E263/D263*100</f>
        <v>93.656301051018488</v>
      </c>
      <c r="G263" s="201">
        <f t="shared" ref="G263" si="236">E263/C263*100</f>
        <v>46.363815283319319</v>
      </c>
      <c r="H263" s="432"/>
      <c r="I263" s="433"/>
      <c r="J263" s="434"/>
    </row>
    <row r="264" spans="2:11" s="25" customFormat="1" ht="91.9" customHeight="1">
      <c r="B264" s="222" t="s">
        <v>276</v>
      </c>
      <c r="C264" s="205">
        <v>23760.5</v>
      </c>
      <c r="D264" s="205">
        <v>11870</v>
      </c>
      <c r="E264" s="205">
        <v>11002.6</v>
      </c>
      <c r="F264" s="141">
        <f t="shared" si="232"/>
        <v>92.692502106149959</v>
      </c>
      <c r="G264" s="205">
        <f t="shared" si="233"/>
        <v>46.306264598808951</v>
      </c>
      <c r="H264" s="370" t="s">
        <v>206</v>
      </c>
      <c r="I264" s="371"/>
      <c r="J264" s="372"/>
    </row>
    <row r="265" spans="2:11" s="25" customFormat="1" ht="149.44999999999999" customHeight="1">
      <c r="B265" s="148" t="s">
        <v>193</v>
      </c>
      <c r="C265" s="205">
        <v>2724</v>
      </c>
      <c r="D265" s="253">
        <v>1550</v>
      </c>
      <c r="E265" s="253">
        <v>1550</v>
      </c>
      <c r="F265" s="146">
        <f t="shared" si="232"/>
        <v>100</v>
      </c>
      <c r="G265" s="217">
        <f t="shared" si="233"/>
        <v>56.901615271659324</v>
      </c>
      <c r="H265" s="373" t="s">
        <v>302</v>
      </c>
      <c r="I265" s="374"/>
      <c r="J265" s="375"/>
    </row>
    <row r="266" spans="2:11" s="25" customFormat="1" ht="69" customHeight="1">
      <c r="B266" s="222" t="s">
        <v>277</v>
      </c>
      <c r="C266" s="205">
        <v>50</v>
      </c>
      <c r="D266" s="205">
        <v>50</v>
      </c>
      <c r="E266" s="205">
        <v>50</v>
      </c>
      <c r="F266" s="141">
        <f t="shared" ref="F266" si="237">E266/D266*100</f>
        <v>100</v>
      </c>
      <c r="G266" s="205">
        <f t="shared" ref="G266" si="238">E266/C266*100</f>
        <v>100</v>
      </c>
      <c r="H266" s="367"/>
      <c r="I266" s="368"/>
      <c r="J266" s="369"/>
    </row>
    <row r="267" spans="2:11" s="25" customFormat="1" ht="39.6" customHeight="1">
      <c r="B267" s="147" t="s">
        <v>130</v>
      </c>
      <c r="C267" s="205">
        <v>1190.7</v>
      </c>
      <c r="D267" s="205">
        <v>312.89999999999998</v>
      </c>
      <c r="E267" s="217">
        <v>312.89999999999998</v>
      </c>
      <c r="F267" s="146">
        <f t="shared" si="232"/>
        <v>100</v>
      </c>
      <c r="G267" s="217">
        <f t="shared" si="233"/>
        <v>26.278659611992943</v>
      </c>
      <c r="H267" s="370"/>
      <c r="I267" s="371"/>
      <c r="J267" s="372"/>
    </row>
    <row r="268" spans="2:11" s="25" customFormat="1" ht="66.599999999999994" customHeight="1">
      <c r="B268" s="147" t="s">
        <v>131</v>
      </c>
      <c r="C268" s="205">
        <v>210.1</v>
      </c>
      <c r="D268" s="217">
        <v>41.1</v>
      </c>
      <c r="E268" s="217">
        <v>41.1</v>
      </c>
      <c r="F268" s="146">
        <f>E268/D268*100</f>
        <v>100</v>
      </c>
      <c r="G268" s="217">
        <f t="shared" si="233"/>
        <v>19.562113279390765</v>
      </c>
      <c r="H268" s="370"/>
      <c r="I268" s="371"/>
      <c r="J268" s="372"/>
    </row>
    <row r="269" spans="2:11" s="25" customFormat="1" ht="54" customHeight="1">
      <c r="B269" s="222" t="s">
        <v>132</v>
      </c>
      <c r="C269" s="205">
        <v>10.199999999999999</v>
      </c>
      <c r="D269" s="217">
        <v>10.199999999999999</v>
      </c>
      <c r="E269" s="217">
        <v>0</v>
      </c>
      <c r="F269" s="146">
        <v>0</v>
      </c>
      <c r="G269" s="217">
        <f t="shared" ref="G269:G272" si="239">E269/C269*100</f>
        <v>0</v>
      </c>
      <c r="H269" s="373"/>
      <c r="I269" s="374"/>
      <c r="J269" s="375"/>
    </row>
    <row r="270" spans="2:11" ht="29.45" customHeight="1">
      <c r="B270" s="161" t="s">
        <v>133</v>
      </c>
      <c r="C270" s="201">
        <f>C271+C272+C273</f>
        <v>6972.1</v>
      </c>
      <c r="D270" s="201">
        <f t="shared" ref="D270:E270" si="240">D271+D272+D273</f>
        <v>3685</v>
      </c>
      <c r="E270" s="201">
        <f t="shared" si="240"/>
        <v>3685</v>
      </c>
      <c r="F270" s="163">
        <f t="shared" ref="F270:F272" si="241">E270/D270*100</f>
        <v>100</v>
      </c>
      <c r="G270" s="252">
        <f t="shared" si="239"/>
        <v>52.853516157255342</v>
      </c>
      <c r="H270" s="414"/>
      <c r="I270" s="415"/>
      <c r="J270" s="416"/>
    </row>
    <row r="271" spans="2:11" s="25" customFormat="1" ht="94.15" customHeight="1">
      <c r="B271" s="148" t="s">
        <v>279</v>
      </c>
      <c r="C271" s="205">
        <v>6046.1</v>
      </c>
      <c r="D271" s="236">
        <v>3065</v>
      </c>
      <c r="E271" s="236">
        <v>3065</v>
      </c>
      <c r="F271" s="146">
        <f t="shared" si="241"/>
        <v>100</v>
      </c>
      <c r="G271" s="217">
        <f t="shared" si="239"/>
        <v>50.693835695737747</v>
      </c>
      <c r="H271" s="370"/>
      <c r="I271" s="371"/>
      <c r="J271" s="372"/>
    </row>
    <row r="272" spans="2:11" s="25" customFormat="1" ht="149.44999999999999" customHeight="1">
      <c r="B272" s="148" t="s">
        <v>193</v>
      </c>
      <c r="C272" s="205">
        <v>876</v>
      </c>
      <c r="D272" s="253">
        <v>600</v>
      </c>
      <c r="E272" s="253">
        <v>600</v>
      </c>
      <c r="F272" s="146">
        <f t="shared" si="241"/>
        <v>100</v>
      </c>
      <c r="G272" s="217">
        <f t="shared" si="239"/>
        <v>68.493150684931507</v>
      </c>
      <c r="H272" s="373" t="s">
        <v>302</v>
      </c>
      <c r="I272" s="374"/>
      <c r="J272" s="375"/>
    </row>
    <row r="273" spans="2:10" s="25" customFormat="1" ht="55.15" customHeight="1">
      <c r="B273" s="148" t="s">
        <v>278</v>
      </c>
      <c r="C273" s="205">
        <v>50</v>
      </c>
      <c r="D273" s="236">
        <v>20</v>
      </c>
      <c r="E273" s="236">
        <v>20</v>
      </c>
      <c r="F273" s="146">
        <f t="shared" ref="F273:F274" si="242">E273/D273*100</f>
        <v>100</v>
      </c>
      <c r="G273" s="217">
        <f t="shared" ref="G273:G274" si="243">E273/C273*100</f>
        <v>40</v>
      </c>
      <c r="H273" s="414"/>
      <c r="I273" s="415"/>
      <c r="J273" s="416"/>
    </row>
    <row r="274" spans="2:10" ht="59.45" customHeight="1">
      <c r="B274" s="161" t="s">
        <v>138</v>
      </c>
      <c r="C274" s="201">
        <f>C275+C276+C280+C281</f>
        <v>271093.3</v>
      </c>
      <c r="D274" s="201">
        <f t="shared" ref="D274:E274" si="244">D275+D276+D280+D281</f>
        <v>208772.40000000002</v>
      </c>
      <c r="E274" s="201">
        <f t="shared" si="244"/>
        <v>207678.40000000002</v>
      </c>
      <c r="F274" s="163">
        <f t="shared" si="242"/>
        <v>99.47598437341334</v>
      </c>
      <c r="G274" s="252">
        <f t="shared" si="243"/>
        <v>76.607721400713345</v>
      </c>
      <c r="H274" s="414"/>
      <c r="I274" s="415"/>
      <c r="J274" s="416"/>
    </row>
    <row r="275" spans="2:10" s="25" customFormat="1" ht="54" customHeight="1">
      <c r="B275" s="148" t="s">
        <v>280</v>
      </c>
      <c r="C275" s="205">
        <v>63816.5</v>
      </c>
      <c r="D275" s="253">
        <v>32359.7</v>
      </c>
      <c r="E275" s="253">
        <v>32359.7</v>
      </c>
      <c r="F275" s="146">
        <f t="shared" ref="F275:F276" si="245">E275/D275*100</f>
        <v>100</v>
      </c>
      <c r="G275" s="217">
        <f t="shared" ref="G275:G276" si="246">E275/C275*100</f>
        <v>50.707418927706783</v>
      </c>
      <c r="H275" s="414"/>
      <c r="I275" s="415"/>
      <c r="J275" s="416"/>
    </row>
    <row r="276" spans="2:10" s="25" customFormat="1" ht="28.15" customHeight="1">
      <c r="B276" s="148" t="s">
        <v>281</v>
      </c>
      <c r="C276" s="205">
        <f>C277+C278+C279</f>
        <v>194969.1</v>
      </c>
      <c r="D276" s="205">
        <f t="shared" ref="D276:E276" si="247">D277+D278+D279</f>
        <v>171476.7</v>
      </c>
      <c r="E276" s="205">
        <f t="shared" si="247"/>
        <v>170382.7</v>
      </c>
      <c r="F276" s="146">
        <f t="shared" si="245"/>
        <v>99.362012448338461</v>
      </c>
      <c r="G276" s="217">
        <f t="shared" si="246"/>
        <v>87.389591478854854</v>
      </c>
      <c r="H276" s="414"/>
      <c r="I276" s="415"/>
      <c r="J276" s="416"/>
    </row>
    <row r="277" spans="2:10" s="25" customFormat="1" ht="136.9" customHeight="1">
      <c r="B277" s="254" t="s">
        <v>135</v>
      </c>
      <c r="C277" s="156">
        <f>969.1+200</f>
        <v>1169.0999999999999</v>
      </c>
      <c r="D277" s="255">
        <f>50+70+500+298.7</f>
        <v>918.7</v>
      </c>
      <c r="E277" s="255">
        <f>50+70+298.7+500</f>
        <v>918.7</v>
      </c>
      <c r="F277" s="158">
        <f t="shared" ref="F277" si="248">E277/D277*100</f>
        <v>100</v>
      </c>
      <c r="G277" s="214">
        <f t="shared" ref="G277" si="249">E277/C277*100</f>
        <v>78.581815071422469</v>
      </c>
      <c r="H277" s="414"/>
      <c r="I277" s="415"/>
      <c r="J277" s="416"/>
    </row>
    <row r="278" spans="2:10" s="20" customFormat="1" ht="27.6" customHeight="1">
      <c r="B278" s="254" t="s">
        <v>137</v>
      </c>
      <c r="C278" s="156">
        <f>10317.8+482.2</f>
        <v>10800</v>
      </c>
      <c r="D278" s="255">
        <v>2000</v>
      </c>
      <c r="E278" s="255">
        <v>906</v>
      </c>
      <c r="F278" s="158">
        <f>E278/D278*100</f>
        <v>45.300000000000004</v>
      </c>
      <c r="G278" s="214">
        <f t="shared" ref="G278:G283" si="250">E278/C278*100</f>
        <v>8.3888888888888893</v>
      </c>
      <c r="H278" s="414"/>
      <c r="I278" s="415"/>
      <c r="J278" s="416"/>
    </row>
    <row r="279" spans="2:10" s="25" customFormat="1" ht="82.15" customHeight="1">
      <c r="B279" s="254" t="s">
        <v>136</v>
      </c>
      <c r="C279" s="156">
        <f>168292.8+13823.2+884</f>
        <v>183000</v>
      </c>
      <c r="D279" s="256">
        <f>168292.8+265.2</f>
        <v>168558</v>
      </c>
      <c r="E279" s="256">
        <f>168292.8+265.2</f>
        <v>168558</v>
      </c>
      <c r="F279" s="158">
        <f t="shared" ref="F279:F281" si="251">E279/D279*100</f>
        <v>100</v>
      </c>
      <c r="G279" s="214">
        <f t="shared" si="250"/>
        <v>92.108196721311472</v>
      </c>
      <c r="H279" s="373" t="s">
        <v>213</v>
      </c>
      <c r="I279" s="374"/>
      <c r="J279" s="375"/>
    </row>
    <row r="280" spans="2:10" s="25" customFormat="1" ht="149.44999999999999" customHeight="1">
      <c r="B280" s="148" t="s">
        <v>193</v>
      </c>
      <c r="C280" s="205">
        <v>11912</v>
      </c>
      <c r="D280" s="253">
        <v>4540.3</v>
      </c>
      <c r="E280" s="253">
        <v>4540.3</v>
      </c>
      <c r="F280" s="146">
        <f t="shared" si="251"/>
        <v>100</v>
      </c>
      <c r="G280" s="217">
        <f t="shared" si="250"/>
        <v>38.115345869711213</v>
      </c>
      <c r="H280" s="373" t="s">
        <v>302</v>
      </c>
      <c r="I280" s="374"/>
      <c r="J280" s="375"/>
    </row>
    <row r="281" spans="2:10" s="25" customFormat="1" ht="109.5" customHeight="1">
      <c r="B281" s="161" t="s">
        <v>140</v>
      </c>
      <c r="C281" s="201">
        <f>177+218.7</f>
        <v>395.7</v>
      </c>
      <c r="D281" s="162">
        <v>395.7</v>
      </c>
      <c r="E281" s="162">
        <v>395.7</v>
      </c>
      <c r="F281" s="146">
        <f t="shared" si="251"/>
        <v>100</v>
      </c>
      <c r="G281" s="217">
        <f t="shared" si="250"/>
        <v>100</v>
      </c>
      <c r="H281" s="414" t="s">
        <v>275</v>
      </c>
      <c r="I281" s="415"/>
      <c r="J281" s="416"/>
    </row>
    <row r="282" spans="2:10" s="26" customFormat="1" ht="90.6" customHeight="1">
      <c r="B282" s="251" t="s">
        <v>24</v>
      </c>
      <c r="C282" s="215">
        <f t="shared" ref="C282:E283" si="252">C283</f>
        <v>252.6</v>
      </c>
      <c r="D282" s="225">
        <f t="shared" si="252"/>
        <v>10</v>
      </c>
      <c r="E282" s="225">
        <f t="shared" si="252"/>
        <v>0</v>
      </c>
      <c r="F282" s="199">
        <v>0</v>
      </c>
      <c r="G282" s="225">
        <f t="shared" si="250"/>
        <v>0</v>
      </c>
      <c r="H282" s="423"/>
      <c r="I282" s="424"/>
      <c r="J282" s="425"/>
    </row>
    <row r="283" spans="2:10" s="23" customFormat="1" ht="79.5" customHeight="1">
      <c r="B283" s="161" t="s">
        <v>25</v>
      </c>
      <c r="C283" s="201">
        <f t="shared" si="252"/>
        <v>252.6</v>
      </c>
      <c r="D283" s="252">
        <f t="shared" si="252"/>
        <v>10</v>
      </c>
      <c r="E283" s="252">
        <f t="shared" si="252"/>
        <v>0</v>
      </c>
      <c r="F283" s="164">
        <v>0</v>
      </c>
      <c r="G283" s="252">
        <f t="shared" si="250"/>
        <v>0</v>
      </c>
      <c r="H283" s="533"/>
      <c r="I283" s="534"/>
      <c r="J283" s="535"/>
    </row>
    <row r="284" spans="2:10" s="25" customFormat="1" ht="120.75" customHeight="1">
      <c r="B284" s="148" t="s">
        <v>134</v>
      </c>
      <c r="C284" s="205">
        <v>252.6</v>
      </c>
      <c r="D284" s="236">
        <v>10</v>
      </c>
      <c r="E284" s="236">
        <v>0</v>
      </c>
      <c r="F284" s="146">
        <v>0</v>
      </c>
      <c r="G284" s="217">
        <f t="shared" ref="G284:G285" si="253">E284/C284*100</f>
        <v>0</v>
      </c>
      <c r="H284" s="373"/>
      <c r="I284" s="374"/>
      <c r="J284" s="375"/>
    </row>
    <row r="285" spans="2:10" s="26" customFormat="1" ht="105.75" customHeight="1">
      <c r="B285" s="251" t="s">
        <v>139</v>
      </c>
      <c r="C285" s="215">
        <f>C286</f>
        <v>491</v>
      </c>
      <c r="D285" s="215">
        <f t="shared" ref="D285:E285" si="254">D286</f>
        <v>491</v>
      </c>
      <c r="E285" s="215">
        <f t="shared" si="254"/>
        <v>491</v>
      </c>
      <c r="F285" s="135">
        <f t="shared" ref="F285" si="255">E285/D285*100</f>
        <v>100</v>
      </c>
      <c r="G285" s="215">
        <f t="shared" si="253"/>
        <v>100</v>
      </c>
      <c r="H285" s="423"/>
      <c r="I285" s="424"/>
      <c r="J285" s="425"/>
    </row>
    <row r="286" spans="2:10" ht="77.25" customHeight="1">
      <c r="B286" s="161" t="s">
        <v>140</v>
      </c>
      <c r="C286" s="201">
        <v>491</v>
      </c>
      <c r="D286" s="162">
        <v>491</v>
      </c>
      <c r="E286" s="162">
        <v>491</v>
      </c>
      <c r="F286" s="146">
        <f t="shared" ref="F286" si="256">E286/D286*100</f>
        <v>100</v>
      </c>
      <c r="G286" s="217">
        <f t="shared" ref="G286" si="257">E286/C286*100</f>
        <v>100</v>
      </c>
      <c r="H286" s="414" t="s">
        <v>282</v>
      </c>
      <c r="I286" s="415"/>
      <c r="J286" s="416"/>
    </row>
    <row r="287" spans="2:10" ht="19.5" customHeight="1">
      <c r="B287" s="206" t="s">
        <v>1</v>
      </c>
      <c r="C287" s="207">
        <f>C262+C282+C285</f>
        <v>306754.49999999994</v>
      </c>
      <c r="D287" s="207">
        <f>D262+D282+D285</f>
        <v>226792.60000000003</v>
      </c>
      <c r="E287" s="207">
        <f>E262+E282+E285</f>
        <v>224811.00000000003</v>
      </c>
      <c r="F287" s="172">
        <f t="shared" si="232"/>
        <v>99.126250151019036</v>
      </c>
      <c r="G287" s="207">
        <f t="shared" ref="G287" si="258">E287/C287*100</f>
        <v>73.286944445802774</v>
      </c>
      <c r="H287" s="420"/>
      <c r="I287" s="421"/>
      <c r="J287" s="422"/>
    </row>
    <row r="288" spans="2:10" ht="8.4499999999999993" customHeight="1">
      <c r="B288" s="260"/>
      <c r="C288" s="261"/>
      <c r="D288" s="261"/>
      <c r="E288" s="261"/>
      <c r="F288" s="261"/>
      <c r="G288" s="262"/>
      <c r="H288" s="263"/>
      <c r="I288" s="263"/>
      <c r="J288" s="263"/>
    </row>
    <row r="289" spans="2:11" ht="43.9" customHeight="1">
      <c r="B289" s="357" t="s">
        <v>249</v>
      </c>
      <c r="C289" s="357"/>
      <c r="D289" s="357"/>
      <c r="E289" s="357"/>
      <c r="F289" s="357"/>
      <c r="G289" s="357"/>
      <c r="H289" s="357"/>
      <c r="I289" s="357"/>
      <c r="J289" s="357"/>
      <c r="K289" s="12"/>
    </row>
    <row r="290" spans="2:11" ht="13.15" customHeight="1">
      <c r="B290" s="149"/>
      <c r="C290" s="150"/>
      <c r="D290" s="150"/>
      <c r="E290" s="150"/>
      <c r="F290" s="150"/>
      <c r="G290" s="151"/>
      <c r="H290" s="151"/>
      <c r="I290" s="376" t="s">
        <v>6</v>
      </c>
      <c r="J290" s="376"/>
      <c r="K290" s="1"/>
    </row>
    <row r="291" spans="2:11" ht="54.6" customHeight="1">
      <c r="B291" s="152" t="s">
        <v>2</v>
      </c>
      <c r="C291" s="152" t="s">
        <v>40</v>
      </c>
      <c r="D291" s="152" t="s">
        <v>221</v>
      </c>
      <c r="E291" s="152" t="s">
        <v>220</v>
      </c>
      <c r="F291" s="153" t="s">
        <v>9</v>
      </c>
      <c r="G291" s="153" t="s">
        <v>12</v>
      </c>
      <c r="H291" s="377" t="s">
        <v>205</v>
      </c>
      <c r="I291" s="378"/>
      <c r="J291" s="379"/>
    </row>
    <row r="292" spans="2:11" s="26" customFormat="1" ht="100.15" customHeight="1">
      <c r="B292" s="175" t="s">
        <v>126</v>
      </c>
      <c r="C292" s="259">
        <f>C293</f>
        <v>11627</v>
      </c>
      <c r="D292" s="259">
        <f t="shared" ref="D292:E292" si="259">D293</f>
        <v>9525.2999999999993</v>
      </c>
      <c r="E292" s="259">
        <f t="shared" si="259"/>
        <v>8872.4</v>
      </c>
      <c r="F292" s="199">
        <f t="shared" ref="F292:F297" si="260">E292/D292*100</f>
        <v>93.145622710045885</v>
      </c>
      <c r="G292" s="200">
        <f>E292/C292*100</f>
        <v>76.308592070181476</v>
      </c>
      <c r="H292" s="567"/>
      <c r="I292" s="568"/>
      <c r="J292" s="569"/>
    </row>
    <row r="293" spans="2:11" s="23" customFormat="1" ht="69" customHeight="1">
      <c r="B293" s="178" t="s">
        <v>127</v>
      </c>
      <c r="C293" s="264">
        <f>C294+C295+C296</f>
        <v>11627</v>
      </c>
      <c r="D293" s="264">
        <f t="shared" ref="D293:E293" si="261">D294+D295+D296</f>
        <v>9525.2999999999993</v>
      </c>
      <c r="E293" s="264">
        <f t="shared" si="261"/>
        <v>8872.4</v>
      </c>
      <c r="F293" s="138">
        <f t="shared" si="260"/>
        <v>93.145622710045885</v>
      </c>
      <c r="G293" s="201">
        <f t="shared" ref="G293" si="262">E293/C293*100</f>
        <v>76.308592070181476</v>
      </c>
      <c r="H293" s="373"/>
      <c r="I293" s="374"/>
      <c r="J293" s="375"/>
    </row>
    <row r="294" spans="2:11" s="25" customFormat="1" ht="40.9" customHeight="1">
      <c r="B294" s="202" t="s">
        <v>124</v>
      </c>
      <c r="C294" s="203">
        <v>50.9</v>
      </c>
      <c r="D294" s="203">
        <v>50.8</v>
      </c>
      <c r="E294" s="204">
        <v>50.8</v>
      </c>
      <c r="F294" s="141">
        <f t="shared" ref="F294" si="263">E294/D294*100</f>
        <v>100</v>
      </c>
      <c r="G294" s="205">
        <f t="shared" ref="G294" si="264">E294/C294*100</f>
        <v>99.803536345776038</v>
      </c>
      <c r="H294" s="508" t="s">
        <v>218</v>
      </c>
      <c r="I294" s="525"/>
      <c r="J294" s="526"/>
    </row>
    <row r="295" spans="2:11" s="25" customFormat="1" ht="78.75" customHeight="1">
      <c r="B295" s="147" t="s">
        <v>125</v>
      </c>
      <c r="C295" s="205">
        <v>2.7</v>
      </c>
      <c r="D295" s="205">
        <v>2.7</v>
      </c>
      <c r="E295" s="205">
        <v>2.7</v>
      </c>
      <c r="F295" s="141">
        <f t="shared" si="260"/>
        <v>100</v>
      </c>
      <c r="G295" s="205">
        <f t="shared" ref="G295:G297" si="265">E295/C295*100</f>
        <v>100</v>
      </c>
      <c r="H295" s="527"/>
      <c r="I295" s="528"/>
      <c r="J295" s="529"/>
    </row>
    <row r="296" spans="2:11" s="25" customFormat="1" ht="70.900000000000006" customHeight="1">
      <c r="B296" s="189" t="s">
        <v>214</v>
      </c>
      <c r="C296" s="205">
        <v>11573.4</v>
      </c>
      <c r="D296" s="205">
        <v>9471.7999999999993</v>
      </c>
      <c r="E296" s="205">
        <v>8818.9</v>
      </c>
      <c r="F296" s="141">
        <f t="shared" ref="F296" si="266">E296/D296*100</f>
        <v>93.106906818133822</v>
      </c>
      <c r="G296" s="205">
        <f t="shared" ref="G296" si="267">E296/C296*100</f>
        <v>76.19973387250073</v>
      </c>
      <c r="H296" s="530"/>
      <c r="I296" s="531"/>
      <c r="J296" s="532"/>
    </row>
    <row r="297" spans="2:11" ht="19.5" customHeight="1">
      <c r="B297" s="206" t="s">
        <v>1</v>
      </c>
      <c r="C297" s="207">
        <f>C292</f>
        <v>11627</v>
      </c>
      <c r="D297" s="207">
        <f>D292</f>
        <v>9525.2999999999993</v>
      </c>
      <c r="E297" s="207">
        <f>E292</f>
        <v>8872.4</v>
      </c>
      <c r="F297" s="172">
        <f t="shared" si="260"/>
        <v>93.145622710045885</v>
      </c>
      <c r="G297" s="207">
        <f t="shared" si="265"/>
        <v>76.308592070181476</v>
      </c>
      <c r="H297" s="420"/>
      <c r="I297" s="421"/>
      <c r="J297" s="422"/>
    </row>
    <row r="298" spans="2:11" ht="42" customHeight="1">
      <c r="B298" s="357" t="s">
        <v>283</v>
      </c>
      <c r="C298" s="357"/>
      <c r="D298" s="357"/>
      <c r="E298" s="357"/>
      <c r="F298" s="357"/>
      <c r="G298" s="357"/>
      <c r="H298" s="357"/>
      <c r="I298" s="357"/>
      <c r="J298" s="357"/>
      <c r="K298" s="14"/>
    </row>
    <row r="299" spans="2:11" ht="13.5" customHeight="1">
      <c r="B299" s="248"/>
      <c r="C299" s="249"/>
      <c r="D299" s="249"/>
      <c r="E299" s="249"/>
      <c r="F299" s="249"/>
      <c r="G299" s="250"/>
      <c r="H299" s="250"/>
      <c r="I299" s="485" t="s">
        <v>6</v>
      </c>
      <c r="J299" s="485"/>
      <c r="K299" s="10"/>
    </row>
    <row r="300" spans="2:11" ht="54" customHeight="1">
      <c r="B300" s="220" t="s">
        <v>2</v>
      </c>
      <c r="C300" s="220" t="s">
        <v>40</v>
      </c>
      <c r="D300" s="220" t="s">
        <v>221</v>
      </c>
      <c r="E300" s="220" t="s">
        <v>220</v>
      </c>
      <c r="F300" s="153" t="s">
        <v>9</v>
      </c>
      <c r="G300" s="153" t="s">
        <v>12</v>
      </c>
      <c r="H300" s="377" t="s">
        <v>205</v>
      </c>
      <c r="I300" s="378"/>
      <c r="J300" s="379"/>
    </row>
    <row r="301" spans="2:11" s="26" customFormat="1" ht="103.5" customHeight="1">
      <c r="B301" s="134" t="s">
        <v>141</v>
      </c>
      <c r="C301" s="219">
        <f>C302</f>
        <v>5184</v>
      </c>
      <c r="D301" s="219">
        <f t="shared" ref="D301:E301" si="268">D302</f>
        <v>2885.1</v>
      </c>
      <c r="E301" s="219">
        <f t="shared" si="268"/>
        <v>2885.1</v>
      </c>
      <c r="F301" s="176">
        <f t="shared" ref="F301:F322" si="269">E301/D301*100</f>
        <v>100</v>
      </c>
      <c r="G301" s="219">
        <f t="shared" ref="G301:G303" si="270">E301/C301*100</f>
        <v>55.65393518518519</v>
      </c>
      <c r="H301" s="338"/>
      <c r="I301" s="339"/>
      <c r="J301" s="340"/>
    </row>
    <row r="302" spans="2:11" s="25" customFormat="1" ht="28.9" customHeight="1">
      <c r="B302" s="266" t="s">
        <v>142</v>
      </c>
      <c r="C302" s="267">
        <f>C303+C304+C305</f>
        <v>5184</v>
      </c>
      <c r="D302" s="267">
        <f t="shared" ref="D302:E302" si="271">D303+D304+D305</f>
        <v>2885.1</v>
      </c>
      <c r="E302" s="267">
        <f t="shared" si="271"/>
        <v>2885.1</v>
      </c>
      <c r="F302" s="191">
        <f t="shared" si="269"/>
        <v>100</v>
      </c>
      <c r="G302" s="253">
        <f t="shared" si="270"/>
        <v>55.65393518518519</v>
      </c>
      <c r="H302" s="370"/>
      <c r="I302" s="371"/>
      <c r="J302" s="372"/>
    </row>
    <row r="303" spans="2:11" s="20" customFormat="1" ht="93" customHeight="1">
      <c r="B303" s="165" t="s">
        <v>143</v>
      </c>
      <c r="C303" s="265">
        <v>4271.5</v>
      </c>
      <c r="D303" s="265">
        <v>2591.6</v>
      </c>
      <c r="E303" s="265">
        <v>2591.6</v>
      </c>
      <c r="F303" s="195">
        <f t="shared" si="269"/>
        <v>100</v>
      </c>
      <c r="G303" s="256">
        <f t="shared" si="270"/>
        <v>60.671895118810717</v>
      </c>
      <c r="H303" s="332"/>
      <c r="I303" s="333"/>
      <c r="J303" s="334"/>
    </row>
    <row r="304" spans="2:11" s="20" customFormat="1" ht="94.15" customHeight="1">
      <c r="B304" s="165" t="s">
        <v>144</v>
      </c>
      <c r="C304" s="265">
        <v>662.5</v>
      </c>
      <c r="D304" s="265">
        <v>293.5</v>
      </c>
      <c r="E304" s="265">
        <v>293.5</v>
      </c>
      <c r="F304" s="195">
        <f t="shared" ref="F304" si="272">E304/D304*100</f>
        <v>100</v>
      </c>
      <c r="G304" s="256">
        <f t="shared" ref="G304" si="273">E304/C304*100</f>
        <v>44.301886792452834</v>
      </c>
      <c r="H304" s="429"/>
      <c r="I304" s="430"/>
      <c r="J304" s="431"/>
    </row>
    <row r="305" spans="2:10" s="20" customFormat="1" ht="93" customHeight="1">
      <c r="B305" s="193" t="s">
        <v>145</v>
      </c>
      <c r="C305" s="284">
        <v>250</v>
      </c>
      <c r="D305" s="285">
        <v>0</v>
      </c>
      <c r="E305" s="285">
        <v>0</v>
      </c>
      <c r="F305" s="158">
        <v>0</v>
      </c>
      <c r="G305" s="255">
        <f t="shared" ref="G305:G307" si="274">E305/C305*100</f>
        <v>0</v>
      </c>
      <c r="H305" s="426"/>
      <c r="I305" s="427"/>
      <c r="J305" s="428"/>
    </row>
    <row r="306" spans="2:10" ht="87" customHeight="1">
      <c r="B306" s="281" t="s">
        <v>47</v>
      </c>
      <c r="C306" s="135">
        <f>C307</f>
        <v>92015.8</v>
      </c>
      <c r="D306" s="135">
        <f t="shared" ref="D306" si="275">D307</f>
        <v>38419.200000000004</v>
      </c>
      <c r="E306" s="135">
        <f t="shared" ref="E306" si="276">E307</f>
        <v>33797.599999999999</v>
      </c>
      <c r="F306" s="135">
        <f t="shared" ref="F306:F307" si="277">E306/D306*100</f>
        <v>87.970598034316154</v>
      </c>
      <c r="G306" s="215">
        <f t="shared" si="274"/>
        <v>36.730213724164763</v>
      </c>
      <c r="H306" s="395"/>
      <c r="I306" s="396"/>
      <c r="J306" s="397"/>
    </row>
    <row r="307" spans="2:10" ht="62.25" customHeight="1">
      <c r="B307" s="161" t="s">
        <v>25</v>
      </c>
      <c r="C307" s="138">
        <f>C308+C309+C310+C311</f>
        <v>92015.8</v>
      </c>
      <c r="D307" s="138">
        <f t="shared" ref="D307:E307" si="278">D308+D309+D310+D311</f>
        <v>38419.200000000004</v>
      </c>
      <c r="E307" s="138">
        <f t="shared" si="278"/>
        <v>33797.599999999999</v>
      </c>
      <c r="F307" s="138">
        <f t="shared" si="277"/>
        <v>87.970598034316154</v>
      </c>
      <c r="G307" s="137">
        <f t="shared" si="274"/>
        <v>36.730213724164763</v>
      </c>
      <c r="H307" s="341"/>
      <c r="I307" s="342"/>
      <c r="J307" s="343"/>
    </row>
    <row r="308" spans="2:10" s="25" customFormat="1" ht="54.75" customHeight="1">
      <c r="B308" s="222" t="s">
        <v>149</v>
      </c>
      <c r="C308" s="141">
        <v>3521.8</v>
      </c>
      <c r="D308" s="282">
        <v>1715.4</v>
      </c>
      <c r="E308" s="282">
        <v>1674.8</v>
      </c>
      <c r="F308" s="141">
        <f t="shared" ref="F308" si="279">E308/D308*100</f>
        <v>97.633205083362469</v>
      </c>
      <c r="G308" s="253">
        <f t="shared" ref="G308" si="280">E308/C308*100</f>
        <v>47.55522744051337</v>
      </c>
      <c r="H308" s="370" t="s">
        <v>288</v>
      </c>
      <c r="I308" s="371"/>
      <c r="J308" s="372"/>
    </row>
    <row r="309" spans="2:10" s="25" customFormat="1" ht="121.15" customHeight="1">
      <c r="B309" s="222" t="s">
        <v>150</v>
      </c>
      <c r="C309" s="141">
        <v>73879.600000000006</v>
      </c>
      <c r="D309" s="141">
        <v>29842</v>
      </c>
      <c r="E309" s="141">
        <v>26205.7</v>
      </c>
      <c r="F309" s="141">
        <f t="shared" ref="F309:F311" si="281">E309/D309*100</f>
        <v>87.814824743649893</v>
      </c>
      <c r="G309" s="253">
        <f t="shared" ref="G309:G311" si="282">E309/C309*100</f>
        <v>35.470820091067083</v>
      </c>
      <c r="H309" s="370" t="s">
        <v>289</v>
      </c>
      <c r="I309" s="371"/>
      <c r="J309" s="372"/>
    </row>
    <row r="310" spans="2:10" s="25" customFormat="1" ht="41.45" customHeight="1">
      <c r="B310" s="222" t="s">
        <v>151</v>
      </c>
      <c r="C310" s="141">
        <v>14500</v>
      </c>
      <c r="D310" s="141">
        <v>6819.8</v>
      </c>
      <c r="E310" s="141">
        <v>5899.9</v>
      </c>
      <c r="F310" s="141">
        <f t="shared" si="281"/>
        <v>86.511334643244666</v>
      </c>
      <c r="G310" s="253">
        <f t="shared" si="282"/>
        <v>40.688965517241378</v>
      </c>
      <c r="H310" s="370" t="s">
        <v>195</v>
      </c>
      <c r="I310" s="371"/>
      <c r="J310" s="372"/>
    </row>
    <row r="311" spans="2:10" s="25" customFormat="1" ht="106.9" customHeight="1">
      <c r="B311" s="222" t="s">
        <v>215</v>
      </c>
      <c r="C311" s="141">
        <v>114.4</v>
      </c>
      <c r="D311" s="141">
        <v>42</v>
      </c>
      <c r="E311" s="141">
        <v>17.2</v>
      </c>
      <c r="F311" s="141">
        <f t="shared" si="281"/>
        <v>40.952380952380949</v>
      </c>
      <c r="G311" s="253">
        <f t="shared" si="282"/>
        <v>15.034965034965033</v>
      </c>
      <c r="H311" s="370" t="s">
        <v>206</v>
      </c>
      <c r="I311" s="371"/>
      <c r="J311" s="372"/>
    </row>
    <row r="312" spans="2:10" s="26" customFormat="1" ht="66.75" customHeight="1">
      <c r="B312" s="175" t="s">
        <v>146</v>
      </c>
      <c r="C312" s="135">
        <f>C313</f>
        <v>34514</v>
      </c>
      <c r="D312" s="135">
        <f t="shared" ref="D312:E313" si="283">D313</f>
        <v>12534.2</v>
      </c>
      <c r="E312" s="135">
        <f t="shared" si="283"/>
        <v>12161.4</v>
      </c>
      <c r="F312" s="135">
        <f t="shared" ref="F312:F313" si="284">E312/D312*100</f>
        <v>97.025737581975704</v>
      </c>
      <c r="G312" s="215">
        <f t="shared" ref="G312:G313" si="285">E312/C312*100</f>
        <v>35.236136060728981</v>
      </c>
      <c r="H312" s="392"/>
      <c r="I312" s="393"/>
      <c r="J312" s="394"/>
    </row>
    <row r="313" spans="2:10" ht="55.5" customHeight="1">
      <c r="B313" s="178" t="s">
        <v>147</v>
      </c>
      <c r="C313" s="138">
        <f>C314</f>
        <v>34514</v>
      </c>
      <c r="D313" s="138">
        <f t="shared" si="283"/>
        <v>12534.2</v>
      </c>
      <c r="E313" s="138">
        <f t="shared" si="283"/>
        <v>12161.4</v>
      </c>
      <c r="F313" s="138">
        <f t="shared" si="284"/>
        <v>97.025737581975704</v>
      </c>
      <c r="G313" s="137">
        <f t="shared" si="285"/>
        <v>35.236136060728981</v>
      </c>
      <c r="H313" s="417"/>
      <c r="I313" s="418"/>
      <c r="J313" s="419"/>
    </row>
    <row r="314" spans="2:10" s="25" customFormat="1" ht="121.5" customHeight="1">
      <c r="B314" s="222" t="s">
        <v>148</v>
      </c>
      <c r="C314" s="141">
        <v>34514</v>
      </c>
      <c r="D314" s="141">
        <v>12534.2</v>
      </c>
      <c r="E314" s="141">
        <v>12161.4</v>
      </c>
      <c r="F314" s="141">
        <f t="shared" ref="F314:F315" si="286">E314/D314*100</f>
        <v>97.025737581975704</v>
      </c>
      <c r="G314" s="253">
        <f t="shared" ref="G314:G315" si="287">E314/C314*100</f>
        <v>35.236136060728981</v>
      </c>
      <c r="H314" s="370" t="s">
        <v>216</v>
      </c>
      <c r="I314" s="371"/>
      <c r="J314" s="372"/>
    </row>
    <row r="315" spans="2:10" s="26" customFormat="1" ht="120.75" customHeight="1">
      <c r="B315" s="175" t="s">
        <v>152</v>
      </c>
      <c r="C315" s="176">
        <f>C316+C317+C318+C319+C320+C321</f>
        <v>75884.899999999994</v>
      </c>
      <c r="D315" s="176">
        <f t="shared" ref="D315:E315" si="288">D316+D317+D318+D319+D320+D321</f>
        <v>42277.3</v>
      </c>
      <c r="E315" s="176">
        <f t="shared" si="288"/>
        <v>41575.600000000006</v>
      </c>
      <c r="F315" s="176">
        <f t="shared" si="286"/>
        <v>98.340244055320468</v>
      </c>
      <c r="G315" s="257">
        <f t="shared" si="287"/>
        <v>54.787711389222373</v>
      </c>
      <c r="H315" s="423"/>
      <c r="I315" s="424"/>
      <c r="J315" s="425"/>
    </row>
    <row r="316" spans="2:10" s="25" customFormat="1" ht="91.9" customHeight="1">
      <c r="B316" s="222" t="s">
        <v>292</v>
      </c>
      <c r="C316" s="141">
        <f>6435+26100+6122.5</f>
        <v>38657.5</v>
      </c>
      <c r="D316" s="141">
        <v>32591.4</v>
      </c>
      <c r="E316" s="141">
        <v>32591.4</v>
      </c>
      <c r="F316" s="141">
        <f t="shared" ref="F316" si="289">E316/D316*100</f>
        <v>100</v>
      </c>
      <c r="G316" s="253">
        <f t="shared" ref="G316:G320" si="290">E316/C316*100</f>
        <v>84.308090280023279</v>
      </c>
      <c r="H316" s="370" t="s">
        <v>291</v>
      </c>
      <c r="I316" s="371"/>
      <c r="J316" s="372"/>
    </row>
    <row r="317" spans="2:10" s="25" customFormat="1" ht="91.9" customHeight="1">
      <c r="B317" s="222" t="s">
        <v>293</v>
      </c>
      <c r="C317" s="141">
        <v>907.5</v>
      </c>
      <c r="D317" s="283">
        <v>0</v>
      </c>
      <c r="E317" s="146">
        <v>0</v>
      </c>
      <c r="F317" s="146">
        <v>0</v>
      </c>
      <c r="G317" s="236">
        <f t="shared" ref="G317" si="291">E317/C317*100</f>
        <v>0</v>
      </c>
      <c r="H317" s="514"/>
      <c r="I317" s="515"/>
      <c r="J317" s="516"/>
    </row>
    <row r="318" spans="2:10" s="25" customFormat="1" ht="79.5" customHeight="1">
      <c r="B318" s="222" t="s">
        <v>153</v>
      </c>
      <c r="C318" s="141">
        <v>6491</v>
      </c>
      <c r="D318" s="146">
        <v>662.8</v>
      </c>
      <c r="E318" s="146">
        <v>0</v>
      </c>
      <c r="F318" s="146">
        <v>0</v>
      </c>
      <c r="G318" s="236">
        <f t="shared" si="290"/>
        <v>0</v>
      </c>
      <c r="H318" s="508"/>
      <c r="I318" s="509"/>
      <c r="J318" s="510"/>
    </row>
    <row r="319" spans="2:10" s="25" customFormat="1" ht="93" customHeight="1">
      <c r="B319" s="222" t="s">
        <v>154</v>
      </c>
      <c r="C319" s="141">
        <v>393.5</v>
      </c>
      <c r="D319" s="146">
        <v>38.799999999999997</v>
      </c>
      <c r="E319" s="146">
        <v>0</v>
      </c>
      <c r="F319" s="146">
        <v>0</v>
      </c>
      <c r="G319" s="236">
        <f t="shared" si="290"/>
        <v>0</v>
      </c>
      <c r="H319" s="511"/>
      <c r="I319" s="512"/>
      <c r="J319" s="513"/>
    </row>
    <row r="320" spans="2:10" s="25" customFormat="1" ht="130.9" customHeight="1">
      <c r="B320" s="148" t="s">
        <v>156</v>
      </c>
      <c r="C320" s="141">
        <v>759.7</v>
      </c>
      <c r="D320" s="146">
        <v>0</v>
      </c>
      <c r="E320" s="146">
        <v>0</v>
      </c>
      <c r="F320" s="146">
        <v>0</v>
      </c>
      <c r="G320" s="236">
        <f t="shared" si="290"/>
        <v>0</v>
      </c>
      <c r="H320" s="504"/>
      <c r="I320" s="505"/>
      <c r="J320" s="506"/>
    </row>
    <row r="321" spans="2:11" s="25" customFormat="1" ht="91.15" customHeight="1">
      <c r="B321" s="222" t="s">
        <v>155</v>
      </c>
      <c r="C321" s="141">
        <v>28675.7</v>
      </c>
      <c r="D321" s="282">
        <v>8984.2999999999993</v>
      </c>
      <c r="E321" s="282">
        <v>8984.2000000000007</v>
      </c>
      <c r="F321" s="146">
        <f>E321/D321*100</f>
        <v>99.998886947230176</v>
      </c>
      <c r="G321" s="236">
        <f t="shared" ref="G321" si="292">E321/C321*100</f>
        <v>31.330359851721145</v>
      </c>
      <c r="H321" s="370" t="s">
        <v>290</v>
      </c>
      <c r="I321" s="371"/>
      <c r="J321" s="372"/>
    </row>
    <row r="322" spans="2:11" ht="19.5" customHeight="1">
      <c r="B322" s="171" t="s">
        <v>1</v>
      </c>
      <c r="C322" s="258">
        <f>C301+C306+C312+C315</f>
        <v>207598.69999999998</v>
      </c>
      <c r="D322" s="258">
        <f t="shared" ref="D322:E322" si="293">D301+D306+D312+D315</f>
        <v>96115.8</v>
      </c>
      <c r="E322" s="258">
        <f t="shared" si="293"/>
        <v>90419.700000000012</v>
      </c>
      <c r="F322" s="258">
        <f t="shared" si="269"/>
        <v>94.073711086002518</v>
      </c>
      <c r="G322" s="286">
        <f>E322/C322*100</f>
        <v>43.555041529643503</v>
      </c>
      <c r="H322" s="420"/>
      <c r="I322" s="421"/>
      <c r="J322" s="422"/>
    </row>
    <row r="323" spans="2:11" ht="16.149999999999999" customHeight="1">
      <c r="B323" s="63"/>
      <c r="C323" s="64"/>
      <c r="D323" s="64"/>
      <c r="E323" s="64"/>
      <c r="F323" s="64"/>
      <c r="G323" s="65"/>
      <c r="H323" s="65"/>
      <c r="I323" s="65"/>
      <c r="J323" s="65"/>
      <c r="K323" s="23"/>
    </row>
    <row r="324" spans="2:11" ht="55.5" customHeight="1">
      <c r="B324" s="413" t="s">
        <v>248</v>
      </c>
      <c r="C324" s="413"/>
      <c r="D324" s="413"/>
      <c r="E324" s="413"/>
      <c r="F324" s="413"/>
      <c r="G324" s="413"/>
      <c r="H324" s="413"/>
      <c r="I324" s="413"/>
      <c r="J324" s="413"/>
      <c r="K324" s="16"/>
    </row>
    <row r="325" spans="2:11" ht="12.75" customHeight="1">
      <c r="B325" s="53"/>
      <c r="C325" s="54"/>
      <c r="D325" s="54"/>
      <c r="E325" s="54"/>
      <c r="F325" s="54"/>
      <c r="G325" s="55"/>
      <c r="H325" s="55"/>
      <c r="I325" s="485" t="s">
        <v>6</v>
      </c>
      <c r="J325" s="485"/>
      <c r="K325" s="5"/>
    </row>
    <row r="326" spans="2:11" ht="54.75" customHeight="1">
      <c r="B326" s="152" t="s">
        <v>2</v>
      </c>
      <c r="C326" s="152" t="s">
        <v>40</v>
      </c>
      <c r="D326" s="152" t="s">
        <v>221</v>
      </c>
      <c r="E326" s="152" t="s">
        <v>220</v>
      </c>
      <c r="F326" s="153" t="s">
        <v>9</v>
      </c>
      <c r="G326" s="153" t="s">
        <v>12</v>
      </c>
      <c r="H326" s="377" t="s">
        <v>205</v>
      </c>
      <c r="I326" s="378"/>
      <c r="J326" s="379"/>
      <c r="K326" s="23"/>
    </row>
    <row r="327" spans="2:11" s="26" customFormat="1" ht="72" customHeight="1">
      <c r="B327" s="154" t="s">
        <v>120</v>
      </c>
      <c r="C327" s="176">
        <f>C328</f>
        <v>3616.8</v>
      </c>
      <c r="D327" s="176">
        <f t="shared" ref="D327:E328" si="294">D328</f>
        <v>809.3</v>
      </c>
      <c r="E327" s="176">
        <f t="shared" si="294"/>
        <v>711.3</v>
      </c>
      <c r="F327" s="176">
        <f t="shared" ref="F327:F334" si="295">E327/D327*100</f>
        <v>87.890769801062646</v>
      </c>
      <c r="G327" s="185">
        <f>E327/C327*100</f>
        <v>19.666556071665557</v>
      </c>
      <c r="H327" s="395"/>
      <c r="I327" s="396"/>
      <c r="J327" s="397"/>
      <c r="K327" s="32"/>
    </row>
    <row r="328" spans="2:11" ht="59.25" customHeight="1">
      <c r="B328" s="186" t="s">
        <v>121</v>
      </c>
      <c r="C328" s="187">
        <f>C329</f>
        <v>3616.8</v>
      </c>
      <c r="D328" s="187">
        <f t="shared" si="294"/>
        <v>809.3</v>
      </c>
      <c r="E328" s="187">
        <f t="shared" si="294"/>
        <v>711.3</v>
      </c>
      <c r="F328" s="179">
        <f t="shared" si="295"/>
        <v>87.890769801062646</v>
      </c>
      <c r="G328" s="188">
        <f t="shared" ref="G328:G334" si="296">E328/C328*100</f>
        <v>19.666556071665557</v>
      </c>
      <c r="H328" s="414"/>
      <c r="I328" s="415"/>
      <c r="J328" s="416"/>
      <c r="K328" s="23"/>
    </row>
    <row r="329" spans="2:11" s="25" customFormat="1" ht="28.15" customHeight="1">
      <c r="B329" s="189" t="s">
        <v>31</v>
      </c>
      <c r="C329" s="190">
        <f>C330+C331</f>
        <v>3616.8</v>
      </c>
      <c r="D329" s="190">
        <f t="shared" ref="D329:E329" si="297">D330+D331</f>
        <v>809.3</v>
      </c>
      <c r="E329" s="190">
        <f t="shared" si="297"/>
        <v>711.3</v>
      </c>
      <c r="F329" s="191">
        <f t="shared" ref="F329" si="298">E329/D329*100</f>
        <v>87.890769801062646</v>
      </c>
      <c r="G329" s="192">
        <f t="shared" ref="G329" si="299">E329/C329*100</f>
        <v>19.666556071665557</v>
      </c>
      <c r="H329" s="373"/>
      <c r="I329" s="374"/>
      <c r="J329" s="375"/>
      <c r="K329" s="33"/>
    </row>
    <row r="330" spans="2:11" s="25" customFormat="1" ht="57" customHeight="1">
      <c r="B330" s="193" t="s">
        <v>122</v>
      </c>
      <c r="C330" s="194">
        <f>332.4+40.6</f>
        <v>373</v>
      </c>
      <c r="D330" s="194">
        <v>328.5</v>
      </c>
      <c r="E330" s="194">
        <v>328.5</v>
      </c>
      <c r="F330" s="195">
        <f t="shared" si="295"/>
        <v>100</v>
      </c>
      <c r="G330" s="196">
        <f t="shared" si="296"/>
        <v>88.06970509383379</v>
      </c>
      <c r="H330" s="373"/>
      <c r="I330" s="374"/>
      <c r="J330" s="375"/>
      <c r="K330" s="33"/>
    </row>
    <row r="331" spans="2:11" s="25" customFormat="1" ht="66" customHeight="1">
      <c r="B331" s="165" t="s">
        <v>191</v>
      </c>
      <c r="C331" s="195">
        <v>3243.8</v>
      </c>
      <c r="D331" s="195">
        <v>480.8</v>
      </c>
      <c r="E331" s="195">
        <v>382.8</v>
      </c>
      <c r="F331" s="195">
        <f t="shared" si="295"/>
        <v>79.617304492512474</v>
      </c>
      <c r="G331" s="196">
        <f t="shared" si="296"/>
        <v>11.800974166101486</v>
      </c>
      <c r="H331" s="361" t="s">
        <v>196</v>
      </c>
      <c r="I331" s="362"/>
      <c r="J331" s="363"/>
    </row>
    <row r="332" spans="2:11" s="26" customFormat="1" ht="104.25" customHeight="1">
      <c r="B332" s="134" t="s">
        <v>123</v>
      </c>
      <c r="C332" s="176">
        <f>C333</f>
        <v>2690.1</v>
      </c>
      <c r="D332" s="176">
        <f t="shared" ref="D332:E332" si="300">D333</f>
        <v>717.6</v>
      </c>
      <c r="E332" s="176">
        <f t="shared" si="300"/>
        <v>717.6</v>
      </c>
      <c r="F332" s="176">
        <f t="shared" si="295"/>
        <v>100</v>
      </c>
      <c r="G332" s="185">
        <f t="shared" ref="G332:G333" si="301">E332/C332*100</f>
        <v>26.675588268094124</v>
      </c>
      <c r="H332" s="364"/>
      <c r="I332" s="365"/>
      <c r="J332" s="366"/>
    </row>
    <row r="333" spans="2:11" ht="149.25" customHeight="1">
      <c r="B333" s="136" t="s">
        <v>247</v>
      </c>
      <c r="C333" s="179">
        <v>2690.1</v>
      </c>
      <c r="D333" s="179">
        <v>717.6</v>
      </c>
      <c r="E333" s="179">
        <v>717.6</v>
      </c>
      <c r="F333" s="191">
        <f t="shared" si="295"/>
        <v>100</v>
      </c>
      <c r="G333" s="192">
        <f t="shared" si="301"/>
        <v>26.675588268094124</v>
      </c>
      <c r="H333" s="518" t="s">
        <v>204</v>
      </c>
      <c r="I333" s="519"/>
      <c r="J333" s="520"/>
    </row>
    <row r="334" spans="2:11" ht="17.25" customHeight="1">
      <c r="B334" s="171" t="s">
        <v>1</v>
      </c>
      <c r="C334" s="197">
        <f>C327+C332</f>
        <v>6306.9</v>
      </c>
      <c r="D334" s="197">
        <f t="shared" ref="D334:E334" si="302">D327+D332</f>
        <v>1526.9</v>
      </c>
      <c r="E334" s="197">
        <f t="shared" si="302"/>
        <v>1428.9</v>
      </c>
      <c r="F334" s="197">
        <f t="shared" si="295"/>
        <v>93.581766978846019</v>
      </c>
      <c r="G334" s="198">
        <f t="shared" si="296"/>
        <v>22.65613851495981</v>
      </c>
      <c r="H334" s="335"/>
      <c r="I334" s="336"/>
      <c r="J334" s="337"/>
    </row>
    <row r="335" spans="2:11" ht="9" customHeight="1">
      <c r="B335" s="507"/>
      <c r="C335" s="507"/>
      <c r="D335" s="507"/>
      <c r="E335" s="507"/>
      <c r="F335" s="507"/>
      <c r="G335" s="507"/>
      <c r="H335" s="507"/>
      <c r="I335" s="507"/>
      <c r="J335" s="507"/>
    </row>
    <row r="336" spans="2:11" ht="34.9" customHeight="1">
      <c r="B336" s="413" t="s">
        <v>245</v>
      </c>
      <c r="C336" s="413"/>
      <c r="D336" s="413"/>
      <c r="E336" s="413"/>
      <c r="F336" s="413"/>
      <c r="G336" s="413"/>
      <c r="H336" s="413"/>
      <c r="I336" s="413"/>
      <c r="J336" s="413"/>
      <c r="K336" s="16"/>
    </row>
    <row r="337" spans="2:11" ht="12.6" customHeight="1">
      <c r="B337" s="149"/>
      <c r="C337" s="150"/>
      <c r="D337" s="150"/>
      <c r="E337" s="150"/>
      <c r="F337" s="150"/>
      <c r="G337" s="151"/>
      <c r="H337" s="151"/>
      <c r="I337" s="376" t="s">
        <v>6</v>
      </c>
      <c r="J337" s="376"/>
      <c r="K337" s="1"/>
    </row>
    <row r="338" spans="2:11" ht="54" customHeight="1">
      <c r="B338" s="152" t="s">
        <v>3</v>
      </c>
      <c r="C338" s="152" t="s">
        <v>40</v>
      </c>
      <c r="D338" s="152" t="s">
        <v>221</v>
      </c>
      <c r="E338" s="152" t="s">
        <v>220</v>
      </c>
      <c r="F338" s="153" t="s">
        <v>9</v>
      </c>
      <c r="G338" s="153" t="s">
        <v>12</v>
      </c>
      <c r="H338" s="377" t="s">
        <v>205</v>
      </c>
      <c r="I338" s="378"/>
      <c r="J338" s="379"/>
      <c r="K338" s="1"/>
    </row>
    <row r="339" spans="2:11" s="26" customFormat="1" ht="82.5" customHeight="1">
      <c r="B339" s="175" t="s">
        <v>119</v>
      </c>
      <c r="C339" s="176">
        <f>C340</f>
        <v>13246.3</v>
      </c>
      <c r="D339" s="176">
        <f t="shared" ref="D339:E339" si="303">D340</f>
        <v>6403.5</v>
      </c>
      <c r="E339" s="176">
        <f t="shared" si="303"/>
        <v>5993.4</v>
      </c>
      <c r="F339" s="176">
        <f t="shared" ref="F339:F341" si="304">E339/D339*100</f>
        <v>93.595689857109392</v>
      </c>
      <c r="G339" s="177">
        <f t="shared" ref="G339:G341" si="305">E339/C339*100</f>
        <v>45.245842235190203</v>
      </c>
      <c r="H339" s="392"/>
      <c r="I339" s="393"/>
      <c r="J339" s="394"/>
      <c r="K339" s="32"/>
    </row>
    <row r="340" spans="2:11" ht="142.5" customHeight="1">
      <c r="B340" s="178" t="s">
        <v>246</v>
      </c>
      <c r="C340" s="179">
        <v>13246.3</v>
      </c>
      <c r="D340" s="180">
        <v>6403.5</v>
      </c>
      <c r="E340" s="181">
        <v>5993.4</v>
      </c>
      <c r="F340" s="179">
        <f t="shared" ref="F340" si="306">E340/D340*100</f>
        <v>93.595689857109392</v>
      </c>
      <c r="G340" s="181">
        <f t="shared" ref="G340" si="307">E340/C340*100</f>
        <v>45.245842235190203</v>
      </c>
      <c r="H340" s="370" t="s">
        <v>244</v>
      </c>
      <c r="I340" s="371"/>
      <c r="J340" s="372"/>
      <c r="K340" s="23"/>
    </row>
    <row r="341" spans="2:11" ht="17.25" customHeight="1">
      <c r="B341" s="182" t="s">
        <v>1</v>
      </c>
      <c r="C341" s="183">
        <f>C339</f>
        <v>13246.3</v>
      </c>
      <c r="D341" s="183">
        <f>D339</f>
        <v>6403.5</v>
      </c>
      <c r="E341" s="183">
        <f>E339</f>
        <v>5993.4</v>
      </c>
      <c r="F341" s="183">
        <f t="shared" si="304"/>
        <v>93.595689857109392</v>
      </c>
      <c r="G341" s="184">
        <f t="shared" si="305"/>
        <v>45.245842235190203</v>
      </c>
      <c r="H341" s="501"/>
      <c r="I341" s="502"/>
      <c r="J341" s="503"/>
      <c r="K341" s="23"/>
    </row>
    <row r="342" spans="2:11" ht="9.6" customHeight="1">
      <c r="B342" s="66"/>
      <c r="C342" s="62"/>
      <c r="D342" s="62"/>
      <c r="E342" s="62"/>
      <c r="F342" s="62"/>
      <c r="G342" s="74"/>
      <c r="H342" s="69"/>
      <c r="I342" s="69"/>
      <c r="J342" s="69"/>
      <c r="K342" s="23"/>
    </row>
    <row r="343" spans="2:11" ht="39.6" customHeight="1">
      <c r="B343" s="412" t="s">
        <v>225</v>
      </c>
      <c r="C343" s="412"/>
      <c r="D343" s="412"/>
      <c r="E343" s="412"/>
      <c r="F343" s="412"/>
      <c r="G343" s="412"/>
      <c r="H343" s="412"/>
      <c r="I343" s="412"/>
      <c r="J343" s="412"/>
      <c r="K343" s="17"/>
    </row>
    <row r="344" spans="2:11" ht="13.9" customHeight="1">
      <c r="B344" s="78"/>
      <c r="C344" s="79"/>
      <c r="D344" s="79"/>
      <c r="E344" s="79"/>
      <c r="F344" s="79"/>
      <c r="G344" s="80"/>
      <c r="H344" s="80"/>
      <c r="I344" s="405" t="s">
        <v>6</v>
      </c>
      <c r="J344" s="405"/>
      <c r="K344" s="4"/>
    </row>
    <row r="345" spans="2:11" ht="56.25" customHeight="1">
      <c r="B345" s="81" t="s">
        <v>3</v>
      </c>
      <c r="C345" s="81" t="s">
        <v>40</v>
      </c>
      <c r="D345" s="81" t="s">
        <v>221</v>
      </c>
      <c r="E345" s="81" t="s">
        <v>220</v>
      </c>
      <c r="F345" s="82" t="s">
        <v>9</v>
      </c>
      <c r="G345" s="82" t="s">
        <v>12</v>
      </c>
      <c r="H345" s="402" t="s">
        <v>224</v>
      </c>
      <c r="I345" s="403"/>
      <c r="J345" s="404"/>
      <c r="K345" s="4"/>
    </row>
    <row r="346" spans="2:11" s="26" customFormat="1" ht="226.5" customHeight="1">
      <c r="B346" s="83" t="s">
        <v>14</v>
      </c>
      <c r="C346" s="84">
        <f>C347</f>
        <v>4877.8</v>
      </c>
      <c r="D346" s="85">
        <v>0</v>
      </c>
      <c r="E346" s="85">
        <v>0</v>
      </c>
      <c r="F346" s="86">
        <v>0</v>
      </c>
      <c r="G346" s="85">
        <f t="shared" ref="G346:G347" si="308">E346/C346*100</f>
        <v>0</v>
      </c>
      <c r="H346" s="409"/>
      <c r="I346" s="410"/>
      <c r="J346" s="411"/>
      <c r="K346" s="31"/>
    </row>
    <row r="347" spans="2:11" s="23" customFormat="1" ht="93" customHeight="1">
      <c r="B347" s="87" t="s">
        <v>20</v>
      </c>
      <c r="C347" s="88">
        <f>C348</f>
        <v>4877.8</v>
      </c>
      <c r="D347" s="89">
        <f t="shared" ref="D347:E347" si="309">D348</f>
        <v>0</v>
      </c>
      <c r="E347" s="89">
        <f t="shared" si="309"/>
        <v>0</v>
      </c>
      <c r="F347" s="90">
        <v>0</v>
      </c>
      <c r="G347" s="91">
        <f t="shared" si="308"/>
        <v>0</v>
      </c>
      <c r="H347" s="473"/>
      <c r="I347" s="523"/>
      <c r="J347" s="524"/>
      <c r="K347" s="4"/>
    </row>
    <row r="348" spans="2:11" s="23" customFormat="1" ht="67.150000000000006" customHeight="1">
      <c r="B348" s="87" t="s">
        <v>118</v>
      </c>
      <c r="C348" s="88">
        <v>4877.8</v>
      </c>
      <c r="D348" s="91">
        <v>0</v>
      </c>
      <c r="E348" s="91">
        <v>0</v>
      </c>
      <c r="F348" s="90">
        <v>0</v>
      </c>
      <c r="G348" s="91">
        <f t="shared" ref="G348" si="310">E348/C348*100</f>
        <v>0</v>
      </c>
      <c r="H348" s="473" t="s">
        <v>197</v>
      </c>
      <c r="I348" s="523"/>
      <c r="J348" s="524"/>
      <c r="K348" s="4"/>
    </row>
    <row r="349" spans="2:11" ht="18" customHeight="1">
      <c r="B349" s="92" t="s">
        <v>1</v>
      </c>
      <c r="C349" s="93">
        <f>C346</f>
        <v>4877.8</v>
      </c>
      <c r="D349" s="94">
        <f>D346</f>
        <v>0</v>
      </c>
      <c r="E349" s="94">
        <f>E346</f>
        <v>0</v>
      </c>
      <c r="F349" s="94">
        <v>0</v>
      </c>
      <c r="G349" s="95">
        <f t="shared" ref="G349" si="311">E349/C349*100</f>
        <v>0</v>
      </c>
      <c r="H349" s="406"/>
      <c r="I349" s="407"/>
      <c r="J349" s="408"/>
    </row>
    <row r="350" spans="2:11" ht="36" customHeight="1">
      <c r="B350" s="44" t="s">
        <v>350</v>
      </c>
      <c r="C350" s="18"/>
      <c r="D350" s="18"/>
      <c r="E350" s="18"/>
      <c r="F350" s="18"/>
      <c r="G350" s="2"/>
    </row>
    <row r="351" spans="2:11" ht="15.75">
      <c r="B351" s="45"/>
      <c r="C351" s="18"/>
      <c r="D351" s="18"/>
      <c r="E351" s="18"/>
      <c r="F351" s="18"/>
      <c r="G351" s="2"/>
    </row>
    <row r="352" spans="2:11" ht="21" customHeight="1"/>
    <row r="353" ht="13.15" customHeight="1"/>
  </sheetData>
  <mergeCells count="336">
    <mergeCell ref="H169:J170"/>
    <mergeCell ref="I299:J299"/>
    <mergeCell ref="H231:J231"/>
    <mergeCell ref="H161:J161"/>
    <mergeCell ref="H185:J185"/>
    <mergeCell ref="H206:J206"/>
    <mergeCell ref="H207:J207"/>
    <mergeCell ref="H178:J179"/>
    <mergeCell ref="B144:J144"/>
    <mergeCell ref="H280:J280"/>
    <mergeCell ref="H297:J297"/>
    <mergeCell ref="H292:J292"/>
    <mergeCell ref="I260:J260"/>
    <mergeCell ref="H261:J261"/>
    <mergeCell ref="H262:J262"/>
    <mergeCell ref="H291:J291"/>
    <mergeCell ref="H221:J221"/>
    <mergeCell ref="H265:J265"/>
    <mergeCell ref="H272:J272"/>
    <mergeCell ref="H257:J257"/>
    <mergeCell ref="H270:J270"/>
    <mergeCell ref="H235:J235"/>
    <mergeCell ref="H238:J238"/>
    <mergeCell ref="H214:J214"/>
    <mergeCell ref="H215:J215"/>
    <mergeCell ref="H39:J39"/>
    <mergeCell ref="H50:J50"/>
    <mergeCell ref="H51:J51"/>
    <mergeCell ref="H52:J52"/>
    <mergeCell ref="H53:J53"/>
    <mergeCell ref="H194:J194"/>
    <mergeCell ref="H193:J193"/>
    <mergeCell ref="H110:J110"/>
    <mergeCell ref="H93:J93"/>
    <mergeCell ref="H97:J97"/>
    <mergeCell ref="B57:J57"/>
    <mergeCell ref="I58:J58"/>
    <mergeCell ref="H62:J63"/>
    <mergeCell ref="H64:J65"/>
    <mergeCell ref="H106:J106"/>
    <mergeCell ref="H109:J109"/>
    <mergeCell ref="H83:J83"/>
    <mergeCell ref="H84:J84"/>
    <mergeCell ref="H85:J85"/>
    <mergeCell ref="H74:J74"/>
    <mergeCell ref="H75:J75"/>
    <mergeCell ref="H91:J91"/>
    <mergeCell ref="H41:J41"/>
    <mergeCell ref="H42:J42"/>
    <mergeCell ref="H192:J192"/>
    <mergeCell ref="H226:J226"/>
    <mergeCell ref="B197:J197"/>
    <mergeCell ref="H232:J232"/>
    <mergeCell ref="H228:J228"/>
    <mergeCell ref="H219:J219"/>
    <mergeCell ref="H210:J210"/>
    <mergeCell ref="H216:J216"/>
    <mergeCell ref="H217:J217"/>
    <mergeCell ref="H209:J209"/>
    <mergeCell ref="H224:J224"/>
    <mergeCell ref="H227:J227"/>
    <mergeCell ref="H212:J212"/>
    <mergeCell ref="H205:J205"/>
    <mergeCell ref="H218:J218"/>
    <mergeCell ref="H202:J202"/>
    <mergeCell ref="H222:J222"/>
    <mergeCell ref="H213:J213"/>
    <mergeCell ref="H211:J211"/>
    <mergeCell ref="H203:J203"/>
    <mergeCell ref="H223:J223"/>
    <mergeCell ref="H230:J230"/>
    <mergeCell ref="H220:J220"/>
    <mergeCell ref="B19:D19"/>
    <mergeCell ref="B89:J89"/>
    <mergeCell ref="H99:J99"/>
    <mergeCell ref="H96:J96"/>
    <mergeCell ref="H100:J100"/>
    <mergeCell ref="H101:J101"/>
    <mergeCell ref="H103:J103"/>
    <mergeCell ref="H104:J104"/>
    <mergeCell ref="H348:J348"/>
    <mergeCell ref="H347:J347"/>
    <mergeCell ref="H340:J340"/>
    <mergeCell ref="H333:J333"/>
    <mergeCell ref="H293:J293"/>
    <mergeCell ref="H294:J296"/>
    <mergeCell ref="H271:J271"/>
    <mergeCell ref="H273:J273"/>
    <mergeCell ref="H253:J253"/>
    <mergeCell ref="H254:J254"/>
    <mergeCell ref="H276:J276"/>
    <mergeCell ref="H277:J277"/>
    <mergeCell ref="H278:J278"/>
    <mergeCell ref="H279:J279"/>
    <mergeCell ref="H282:J282"/>
    <mergeCell ref="H283:J283"/>
    <mergeCell ref="H314:J314"/>
    <mergeCell ref="H341:J341"/>
    <mergeCell ref="H326:J326"/>
    <mergeCell ref="I325:J325"/>
    <mergeCell ref="H327:J327"/>
    <mergeCell ref="H322:J322"/>
    <mergeCell ref="H312:J312"/>
    <mergeCell ref="H310:J310"/>
    <mergeCell ref="H311:J311"/>
    <mergeCell ref="H316:J316"/>
    <mergeCell ref="H315:J315"/>
    <mergeCell ref="H321:J321"/>
    <mergeCell ref="H320:J320"/>
    <mergeCell ref="I337:J337"/>
    <mergeCell ref="H338:J338"/>
    <mergeCell ref="H339:J339"/>
    <mergeCell ref="B335:J335"/>
    <mergeCell ref="H318:J319"/>
    <mergeCell ref="H317:J317"/>
    <mergeCell ref="B298:J298"/>
    <mergeCell ref="H266:J266"/>
    <mergeCell ref="H263:J263"/>
    <mergeCell ref="H268:J268"/>
    <mergeCell ref="H275:J275"/>
    <mergeCell ref="H107:J108"/>
    <mergeCell ref="H76:J76"/>
    <mergeCell ref="H77:J77"/>
    <mergeCell ref="H78:J78"/>
    <mergeCell ref="H79:J79"/>
    <mergeCell ref="H80:J80"/>
    <mergeCell ref="H81:J81"/>
    <mergeCell ref="H82:J82"/>
    <mergeCell ref="H225:J225"/>
    <mergeCell ref="H135:J135"/>
    <mergeCell ref="H142:J142"/>
    <mergeCell ref="H86:J86"/>
    <mergeCell ref="H105:J105"/>
    <mergeCell ref="H284:J284"/>
    <mergeCell ref="H233:J233"/>
    <mergeCell ref="H234:J234"/>
    <mergeCell ref="H92:J92"/>
    <mergeCell ref="I198:J198"/>
    <mergeCell ref="H195:J195"/>
    <mergeCell ref="H29:J29"/>
    <mergeCell ref="I23:J23"/>
    <mergeCell ref="H126:J126"/>
    <mergeCell ref="H128:J128"/>
    <mergeCell ref="I90:J90"/>
    <mergeCell ref="H98:J98"/>
    <mergeCell ref="H119:J119"/>
    <mergeCell ref="H120:J120"/>
    <mergeCell ref="H32:J32"/>
    <mergeCell ref="H34:J34"/>
    <mergeCell ref="H60:J60"/>
    <mergeCell ref="B55:J55"/>
    <mergeCell ref="H73:J73"/>
    <mergeCell ref="H66:J66"/>
    <mergeCell ref="H67:J67"/>
    <mergeCell ref="H68:J68"/>
    <mergeCell ref="H71:J71"/>
    <mergeCell ref="H72:J72"/>
    <mergeCell ref="H49:J49"/>
    <mergeCell ref="H44:J44"/>
    <mergeCell ref="H36:J36"/>
    <mergeCell ref="H37:J37"/>
    <mergeCell ref="H38:J38"/>
    <mergeCell ref="H40:J40"/>
    <mergeCell ref="B1:J1"/>
    <mergeCell ref="B4:J4"/>
    <mergeCell ref="B3:J3"/>
    <mergeCell ref="B20:D20"/>
    <mergeCell ref="B21:D21"/>
    <mergeCell ref="F8:G8"/>
    <mergeCell ref="F11:G11"/>
    <mergeCell ref="F20:G20"/>
    <mergeCell ref="F21:G21"/>
    <mergeCell ref="F10:G10"/>
    <mergeCell ref="B8:D8"/>
    <mergeCell ref="B9:D9"/>
    <mergeCell ref="B11:D11"/>
    <mergeCell ref="B12:D12"/>
    <mergeCell ref="B10:D10"/>
    <mergeCell ref="F12:G12"/>
    <mergeCell ref="F13:G13"/>
    <mergeCell ref="F14:G14"/>
    <mergeCell ref="F15:G15"/>
    <mergeCell ref="F16:G16"/>
    <mergeCell ref="F17:G17"/>
    <mergeCell ref="F18:G18"/>
    <mergeCell ref="F19:G19"/>
    <mergeCell ref="B13:D13"/>
    <mergeCell ref="H33:J33"/>
    <mergeCell ref="B6:J6"/>
    <mergeCell ref="H35:J35"/>
    <mergeCell ref="H43:J43"/>
    <mergeCell ref="B22:J22"/>
    <mergeCell ref="F9:G9"/>
    <mergeCell ref="H48:J48"/>
    <mergeCell ref="H59:J59"/>
    <mergeCell ref="H61:J61"/>
    <mergeCell ref="H45:J45"/>
    <mergeCell ref="H46:J46"/>
    <mergeCell ref="H47:J47"/>
    <mergeCell ref="H24:J24"/>
    <mergeCell ref="H25:J25"/>
    <mergeCell ref="H30:J30"/>
    <mergeCell ref="H28:J28"/>
    <mergeCell ref="H26:J26"/>
    <mergeCell ref="B14:D14"/>
    <mergeCell ref="B15:D15"/>
    <mergeCell ref="B16:D16"/>
    <mergeCell ref="B17:D17"/>
    <mergeCell ref="B18:D18"/>
    <mergeCell ref="H31:J31"/>
    <mergeCell ref="H27:J27"/>
    <mergeCell ref="H69:J69"/>
    <mergeCell ref="H70:J70"/>
    <mergeCell ref="H87:J87"/>
    <mergeCell ref="H94:J95"/>
    <mergeCell ref="H154:J154"/>
    <mergeCell ref="H155:J155"/>
    <mergeCell ref="I147:J147"/>
    <mergeCell ref="H153:J153"/>
    <mergeCell ref="H140:J141"/>
    <mergeCell ref="H124:J124"/>
    <mergeCell ref="H136:J137"/>
    <mergeCell ref="H111:J111"/>
    <mergeCell ref="H112:J112"/>
    <mergeCell ref="H125:J125"/>
    <mergeCell ref="H113:J113"/>
    <mergeCell ref="H114:J114"/>
    <mergeCell ref="H115:J115"/>
    <mergeCell ref="H122:J122"/>
    <mergeCell ref="H123:J123"/>
    <mergeCell ref="H127:J127"/>
    <mergeCell ref="H300:J300"/>
    <mergeCell ref="H301:J301"/>
    <mergeCell ref="H302:J302"/>
    <mergeCell ref="H303:J303"/>
    <mergeCell ref="H305:J305"/>
    <mergeCell ref="H240:J240"/>
    <mergeCell ref="H267:J267"/>
    <mergeCell ref="H269:J269"/>
    <mergeCell ref="H199:J199"/>
    <mergeCell ref="H304:J304"/>
    <mergeCell ref="H252:J252"/>
    <mergeCell ref="H247:J247"/>
    <mergeCell ref="H248:J248"/>
    <mergeCell ref="H241:J241"/>
    <mergeCell ref="H242:J242"/>
    <mergeCell ref="H243:J243"/>
    <mergeCell ref="H244:J244"/>
    <mergeCell ref="H245:J245"/>
    <mergeCell ref="H246:J246"/>
    <mergeCell ref="H249:J249"/>
    <mergeCell ref="H250:J250"/>
    <mergeCell ref="H251:J251"/>
    <mergeCell ref="H255:J255"/>
    <mergeCell ref="H256:J256"/>
    <mergeCell ref="I290:J290"/>
    <mergeCell ref="H264:J264"/>
    <mergeCell ref="H286:J286"/>
    <mergeCell ref="B289:J289"/>
    <mergeCell ref="H287:J287"/>
    <mergeCell ref="H274:J274"/>
    <mergeCell ref="H285:J285"/>
    <mergeCell ref="H281:J281"/>
    <mergeCell ref="B259:J259"/>
    <mergeCell ref="H183:J183"/>
    <mergeCell ref="H184:J184"/>
    <mergeCell ref="H182:J182"/>
    <mergeCell ref="H181:J181"/>
    <mergeCell ref="H345:J345"/>
    <mergeCell ref="I344:J344"/>
    <mergeCell ref="H349:J349"/>
    <mergeCell ref="H346:J346"/>
    <mergeCell ref="H307:J307"/>
    <mergeCell ref="B343:J343"/>
    <mergeCell ref="B324:J324"/>
    <mergeCell ref="B336:J336"/>
    <mergeCell ref="H330:J330"/>
    <mergeCell ref="H306:J306"/>
    <mergeCell ref="H308:J308"/>
    <mergeCell ref="H331:J331"/>
    <mergeCell ref="H328:J328"/>
    <mergeCell ref="H334:J334"/>
    <mergeCell ref="H332:J332"/>
    <mergeCell ref="H329:J329"/>
    <mergeCell ref="H309:J309"/>
    <mergeCell ref="H313:J313"/>
    <mergeCell ref="H239:J239"/>
    <mergeCell ref="H229:J229"/>
    <mergeCell ref="B188:J188"/>
    <mergeCell ref="I189:J189"/>
    <mergeCell ref="H190:J190"/>
    <mergeCell ref="H191:J191"/>
    <mergeCell ref="H201:J201"/>
    <mergeCell ref="H204:J204"/>
    <mergeCell ref="H102:J102"/>
    <mergeCell ref="H208:J208"/>
    <mergeCell ref="H200:J200"/>
    <mergeCell ref="H168:J168"/>
    <mergeCell ref="H172:J172"/>
    <mergeCell ref="H177:J177"/>
    <mergeCell ref="H158:J158"/>
    <mergeCell ref="H159:J159"/>
    <mergeCell ref="H160:J160"/>
    <mergeCell ref="H165:J165"/>
    <mergeCell ref="H180:J180"/>
    <mergeCell ref="H171:J171"/>
    <mergeCell ref="H148:J148"/>
    <mergeCell ref="H149:J149"/>
    <mergeCell ref="H150:J150"/>
    <mergeCell ref="H156:J156"/>
    <mergeCell ref="H157:J157"/>
    <mergeCell ref="H166:J166"/>
    <mergeCell ref="H167:J167"/>
    <mergeCell ref="H186:J186"/>
    <mergeCell ref="H116:J116"/>
    <mergeCell ref="H117:J117"/>
    <mergeCell ref="H118:J118"/>
    <mergeCell ref="H121:J121"/>
    <mergeCell ref="H133:J133"/>
    <mergeCell ref="H138:J139"/>
    <mergeCell ref="H143:J143"/>
    <mergeCell ref="B146:J146"/>
    <mergeCell ref="H129:J129"/>
    <mergeCell ref="H130:J130"/>
    <mergeCell ref="H132:J132"/>
    <mergeCell ref="H131:J131"/>
    <mergeCell ref="H134:J134"/>
    <mergeCell ref="H163:J163"/>
    <mergeCell ref="H164:J164"/>
    <mergeCell ref="H162:J162"/>
    <mergeCell ref="H173:J173"/>
    <mergeCell ref="H174:J174"/>
    <mergeCell ref="H152:J152"/>
    <mergeCell ref="H151:J151"/>
    <mergeCell ref="H175:J175"/>
    <mergeCell ref="H176:J176"/>
  </mergeCells>
  <pageMargins left="0.51181102362204722" right="0" top="0.47244094488188981" bottom="0.39370078740157483" header="0.31496062992125984" footer="0.31496062992125984"/>
  <pageSetup paperSize="9" scale="91" firstPageNumber="9" fitToHeight="86" orientation="landscape" useFirstPageNumber="1" r:id="rId1"/>
  <headerFooter>
    <oddFooter>&amp;R&amp;P</oddFooter>
  </headerFooter>
  <rowBreaks count="11" manualBreakCount="11">
    <brk id="21" max="16383" man="1"/>
    <brk id="27" max="16383" man="1"/>
    <brk id="34" max="11" man="1"/>
    <brk id="43" max="11" man="1"/>
    <brk id="49" max="11" man="1"/>
    <brk id="61" max="16383" man="1"/>
    <brk id="66" max="16383" man="1"/>
    <brk id="83" max="11" man="1"/>
    <brk id="257" max="16383" man="1"/>
    <brk id="335" max="16383" man="1"/>
    <brk id="342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пояснительная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2016-10-04T10:53:18Z</dcterms:modified>
</cp:coreProperties>
</file>