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'2013'!$5:$6</definedName>
    <definedName name="_xlnm.Print_Area" localSheetId="0">'2013'!$A$2:$BA$245</definedName>
  </definedNames>
  <calcPr fullCalcOnLoad="1" fullPrecision="0"/>
</workbook>
</file>

<file path=xl/sharedStrings.xml><?xml version="1.0" encoding="utf-8"?>
<sst xmlns="http://schemas.openxmlformats.org/spreadsheetml/2006/main" count="551" uniqueCount="501">
  <si>
    <t>ЛК</t>
  </si>
  <si>
    <t>Стационар с прачечной</t>
  </si>
  <si>
    <t>Лыжная база</t>
  </si>
  <si>
    <t>НЕПРОГРАММНЫЕ ИНВЕСТИЦИИ</t>
  </si>
  <si>
    <t>Реконструкция пищеблока детского сада № 1</t>
  </si>
  <si>
    <t>1</t>
  </si>
  <si>
    <t>8</t>
  </si>
  <si>
    <t>9</t>
  </si>
  <si>
    <t>10</t>
  </si>
  <si>
    <t>Наименование объектов</t>
  </si>
  <si>
    <t>План 2009, 2 вар.</t>
  </si>
  <si>
    <t>В т.ч. по источникам</t>
  </si>
  <si>
    <t>Примечание</t>
  </si>
  <si>
    <t>ОБ</t>
  </si>
  <si>
    <t>МБ</t>
  </si>
  <si>
    <t>средства предпр.</t>
  </si>
  <si>
    <t>кредиты</t>
  </si>
  <si>
    <t>ИТОГО</t>
  </si>
  <si>
    <t xml:space="preserve">контр.цифры </t>
  </si>
  <si>
    <t>Добавить в план "+", уменьшить план "-"</t>
  </si>
  <si>
    <t>Цел.фед.програм.</t>
  </si>
  <si>
    <t>Непрограммные</t>
  </si>
  <si>
    <t>280 мест</t>
  </si>
  <si>
    <t>240 мест</t>
  </si>
  <si>
    <t>Программные инвестиции</t>
  </si>
  <si>
    <t>План финансирования на 1.01.2010</t>
  </si>
  <si>
    <t>Мощность</t>
  </si>
  <si>
    <t>остаток на дофинансирование</t>
  </si>
  <si>
    <t>Инженерные сети к детксому саду на 240 мест в мкр. "Центральный"</t>
  </si>
  <si>
    <t>30 коек, 7761.18 кв.м.</t>
  </si>
  <si>
    <t>72 койки, 7360.300</t>
  </si>
  <si>
    <t>Устройство входной группы с пандусом в здании администрации города.</t>
  </si>
  <si>
    <t>Реконструкция входной группы с устройством пандуса в здании школы №4</t>
  </si>
  <si>
    <t>Устройство  пандуса с поручнем  в здании школы № 5</t>
  </si>
  <si>
    <t>Устройство  пандуса с поручнем  в здании школы № 6</t>
  </si>
  <si>
    <t>Реконструкция входной группы с устройством пандуса в здании школы №12</t>
  </si>
  <si>
    <t>Устройство  пандуса с поручнем  в здании Дворца спорта "Старт"</t>
  </si>
  <si>
    <t>Устройство входной группы. Замена внутренней двери  в здании спортивного комплекса "Смена"</t>
  </si>
  <si>
    <t>Устройство входной группы с пандусом в административном здании МУ "Управление образования" (возможно подъёмник)</t>
  </si>
  <si>
    <t>Реконструкция входной группы с устройством пандуса и поручня  в административном здании  в мкр. 2 ,     дом № 92</t>
  </si>
  <si>
    <t>Реконструкция входной группы с устройством пандуса в здании паспортного стола в мкр. 2 ,     дом № 101</t>
  </si>
  <si>
    <t>Реконструкция входной группы с устройством пандуса в здании паспортного стола в мкр. 2 ,     дом № 44</t>
  </si>
  <si>
    <t>Реконструкция входной группы с устройством пандуса в здании МБУ "УЖКХ" в мкр. 2 ,     дом № 44</t>
  </si>
  <si>
    <t>Устройство  пандуса с поручнем  в здании противотуберкулёзного кабинета</t>
  </si>
  <si>
    <t>Устройство  пандусов,  поручней, расширение входов, устранение порогов  в здании школы № 10</t>
  </si>
  <si>
    <t>Реконструкция входной группы с устройством пандуса в здании паспортного многопрофильного колледжа</t>
  </si>
  <si>
    <t>Устройство  пандуса с поручнем  в административном здании МУ "Культура", мкр. 3 дом № 47</t>
  </si>
  <si>
    <t>Устройство  пандуса с поручнем  в административном здании мкр. Западный дом № 19.</t>
  </si>
  <si>
    <t>1.1</t>
  </si>
  <si>
    <t>2.1</t>
  </si>
  <si>
    <t>2.2</t>
  </si>
  <si>
    <t>3.1</t>
  </si>
  <si>
    <t>I</t>
  </si>
  <si>
    <t>II</t>
  </si>
  <si>
    <t>V</t>
  </si>
  <si>
    <t>Ориентировочная стоимость строительства объекта в текущих  ценах, тыс.руб.</t>
  </si>
  <si>
    <t>5.1.4</t>
  </si>
  <si>
    <t>5.2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</si>
  <si>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</si>
  <si>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</si>
  <si>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</si>
  <si>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</si>
  <si>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</si>
  <si>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</si>
  <si>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</si>
  <si>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</si>
  <si>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в том числе:</t>
  </si>
  <si>
    <t>План на  2013 год (прогноз)</t>
  </si>
  <si>
    <t>План на  2014 год (прогноз)</t>
  </si>
  <si>
    <t>План на  2015 год (прогноз)</t>
  </si>
  <si>
    <t>ЛУКойл</t>
  </si>
  <si>
    <t xml:space="preserve">План 2011 </t>
  </si>
  <si>
    <t>20000 куб.м/ сут.</t>
  </si>
  <si>
    <t>Реконструкция канализационных очистных сооружений</t>
  </si>
  <si>
    <t>Инженерные сети по ул. Механиокв</t>
  </si>
  <si>
    <t>Целевая программа: "Современное здравоохранение Югры" на 2011-2013 годы Развитие МТБ учреждений здравоохранения ХМАО</t>
  </si>
  <si>
    <t>"Развитие МТБ учреждений физкультуры и спорта ХМАО - Югры" на 2011-2013 годы</t>
  </si>
  <si>
    <t>Целевая программа "Новая школа Югры" на 2010-2013 годы</t>
  </si>
  <si>
    <t>Детский сад на 240 мест в м-не "Центральный"</t>
  </si>
  <si>
    <t>Реконструкция административного помещения ОВД, расположенного по адресу: м-н "А", дом № 28 "Б"</t>
  </si>
  <si>
    <t>Магистральный хозяйственно-питьевой водовод от горводозабора до мкр.Солнечный - АЗС. 2 очередь.</t>
  </si>
  <si>
    <t>1,8 км</t>
  </si>
  <si>
    <t>Капитальный ремонт МУ "ЦГБ"</t>
  </si>
  <si>
    <t>Капитальный ремонт МБУ "Центр восстановительной медицины и реабилитации"</t>
  </si>
  <si>
    <t>Целевая программа "Развитие транспортной системы ХМАО-Югры" на 2011-2013 годы. Подпрограмма "Автомобильные дороги"</t>
  </si>
  <si>
    <t xml:space="preserve">Детский сад на 280 мест в мкр.1А </t>
  </si>
  <si>
    <t>Средняя школа на 500 мест</t>
  </si>
  <si>
    <t>500 мест</t>
  </si>
  <si>
    <t>БВЛ. 2 очередь. 1 пусковой комплекс</t>
  </si>
  <si>
    <t>Детская пол-ка, 2 пусковой комплекс - Детская поликлиника</t>
  </si>
  <si>
    <t>Городское кладбище № 4</t>
  </si>
  <si>
    <t>Привлеч. ср-ва</t>
  </si>
  <si>
    <t>Мечеть</t>
  </si>
  <si>
    <t>Программа "Обеспечение жильем граждан, проживающих в жилых помещениях непригодных для проживания"</t>
  </si>
  <si>
    <t>Четырехэтажный жилой дом в микрораойне "Г" по ул.Космонавтов- 50 лет ВЛКСМ</t>
  </si>
  <si>
    <t>5.2.4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</si>
  <si>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</si>
  <si>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</si>
  <si>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</si>
  <si>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</si>
  <si>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</si>
  <si>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</si>
  <si>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</si>
  <si>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</si>
  <si>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</si>
  <si>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</si>
  <si>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</si>
  <si>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Целевая программа "Совершенствование и развитие сети автомобильных доррог местного значения в границах города Урай" на 2011-2015 годы</t>
  </si>
  <si>
    <t>Урайская специальная (коррекционная) общеобразовательная школа</t>
  </si>
  <si>
    <t>145 учащихся</t>
  </si>
  <si>
    <t>Капремонт детского сада № 6</t>
  </si>
  <si>
    <t>Строительство хозсклада, лыжной базы в школе № 4</t>
  </si>
  <si>
    <t>Капремонт школы № 6</t>
  </si>
  <si>
    <t>Капремонт школы № 12</t>
  </si>
  <si>
    <t>Капремонт школы № 5 (благоустройство)</t>
  </si>
  <si>
    <t>Строительство стационарного лагеря для отдыха и оздоровления детей</t>
  </si>
  <si>
    <t>Кап.ремонт детского сада № 15</t>
  </si>
  <si>
    <t>Капремонт детсада № 12</t>
  </si>
  <si>
    <t>Строительство средней школы на 825 мест</t>
  </si>
  <si>
    <t>Реконструкция здания школы 7 вида под детский сад</t>
  </si>
  <si>
    <t>Строительство общежития для педагогов</t>
  </si>
  <si>
    <t>План на  2016 год (прогноз)</t>
  </si>
  <si>
    <t>План на  2017 год (прогноз)</t>
  </si>
  <si>
    <t>План на  2018 год (прогноз)</t>
  </si>
  <si>
    <t>План на  2019 год (прогноз)</t>
  </si>
  <si>
    <t>План на  2020 год (прогноз)</t>
  </si>
  <si>
    <t>Капремонт детского сада № 19</t>
  </si>
  <si>
    <t>Капремонт детского сада № 20</t>
  </si>
  <si>
    <t>Капремонт детсада № 21</t>
  </si>
  <si>
    <t>Капремонт спортивного зала ЦДОД</t>
  </si>
  <si>
    <t>Оборудование видеонаблюдения детсада № 16</t>
  </si>
  <si>
    <t>Капремонт детсада № 15</t>
  </si>
  <si>
    <t>Капремонт помещений эколого-биологического отдела ЦДОД</t>
  </si>
  <si>
    <t>Капремонт школы №2</t>
  </si>
  <si>
    <t>Капремонт детского сада № 12</t>
  </si>
  <si>
    <t>Реконструкция входной группы и устройство пандуса в центральной библиотеке по адресу: м-н2, д. №91</t>
  </si>
  <si>
    <t>Капремонт библиотеки-филиала № 2 по адресу: 3-22</t>
  </si>
  <si>
    <t>Капремонт детской библиотеки по адресу: Западный -16</t>
  </si>
  <si>
    <t>Реконструкция входной группы, ремонт сетей</t>
  </si>
  <si>
    <t>Капремонт помещений, входной группы</t>
  </si>
  <si>
    <t>Капремонт 1-го этажа музея</t>
  </si>
  <si>
    <t>Капремонт здания редакции газеты "Знамя"</t>
  </si>
  <si>
    <t>Капремонт музыкальной школы</t>
  </si>
  <si>
    <t>Ограждение территории, фасад, звукоизоляция</t>
  </si>
  <si>
    <t>Капремонт подросткового клуба "Ровесник"</t>
  </si>
  <si>
    <t>Капремонт администативного здания МБУ "Молодежный центр"</t>
  </si>
  <si>
    <t>Объекты  здравоохранения</t>
  </si>
  <si>
    <t>Ремонт стационара</t>
  </si>
  <si>
    <t>Строительство прачечной</t>
  </si>
  <si>
    <t>Мероприятия программы комплексного развития коммунальной инфраструктуры</t>
  </si>
  <si>
    <t>Реконструкция городского водозабора</t>
  </si>
  <si>
    <t>Реконструкция водозаборных сооружений</t>
  </si>
  <si>
    <t>Строительство КНС</t>
  </si>
  <si>
    <t>Реконструкиция магистарльных водоводов от городского водозабора до города</t>
  </si>
  <si>
    <t>Реконструкция магистрального водовода от водозабора до водопроводной камеры возле котельной ОАО "УТЭ"  диам.500</t>
  </si>
  <si>
    <t>Реконструкция магистрального водовода от водозабора до водопроводной камеры возле котельной ОАО "УТЭ"  диам.400</t>
  </si>
  <si>
    <t>Замена (модернизация) трубопроводов, отработавших нормативный срок службы в разных районах города</t>
  </si>
  <si>
    <t>Строительство помещений с оборудованием по деморкуризации энергосберегающих и ртутьсодержащих ламп</t>
  </si>
  <si>
    <t xml:space="preserve"> "Развитие МТБ сферы образования"</t>
  </si>
  <si>
    <t xml:space="preserve"> "Обеспечение комплексной безопасности и комфортных условий образовательного процесса"</t>
  </si>
  <si>
    <t>1860 м2</t>
  </si>
  <si>
    <t>35 чел/ см</t>
  </si>
  <si>
    <t>Объекты Управления по культуре и молодежной политике</t>
  </si>
  <si>
    <t>Целевая программа "Модернизация и реформирование жилищно-коммунального комплекса ХМАО-Югры" на 2011-2013 годы</t>
  </si>
  <si>
    <t>Капремонт здания управления образования</t>
  </si>
  <si>
    <t>Капремонт акушерско-гинекологического корпуса</t>
  </si>
  <si>
    <t>Ремонт прачечной</t>
  </si>
  <si>
    <t>Ремонт аптеки</t>
  </si>
  <si>
    <t>Ремонт инфекционного отделения</t>
  </si>
  <si>
    <t>Ремонт пищеблока</t>
  </si>
  <si>
    <t>Ремонт городской поликлиники</t>
  </si>
  <si>
    <t>Ремонт противотуберкулезного отделения</t>
  </si>
  <si>
    <t>Ремонт патологоанатомического отделения</t>
  </si>
  <si>
    <t>Ремонт молочной кухни</t>
  </si>
  <si>
    <t>Капремонт лечебно-административного здания "ЦВМиР"</t>
  </si>
  <si>
    <t>Строительство МАК МУ "ЦГБ"</t>
  </si>
  <si>
    <t>Строительство  кислородной станции МУ "ЦГБ"</t>
  </si>
  <si>
    <t>Строительство гаражей МУ "ЦГБ"</t>
  </si>
  <si>
    <t>Строительство склада твердого инвентаря МУ "ЦГБ"</t>
  </si>
  <si>
    <t>Строительство здания архива МУ "ЦГБ"</t>
  </si>
  <si>
    <t>Строительство гаражного бокса</t>
  </si>
  <si>
    <t>Благоустройство территории и строительство КПП</t>
  </si>
  <si>
    <t>Строительство отдельного здания МУ "Стоматологическая поликлиника"</t>
  </si>
  <si>
    <t>Ремонт МУ "Стоматологическая поликлиника"</t>
  </si>
  <si>
    <t>3846 - предпринимательская деятельность</t>
  </si>
  <si>
    <t>Газоснабжение МУ "Стоматологическая поликлиника"</t>
  </si>
  <si>
    <t>Магистральные сети канализации м-на "Солненчый".</t>
  </si>
  <si>
    <t>Замена магистральных водоводов технического водоснабжения, предназначенных для технологических и противопожарных нужд промпредприятий</t>
  </si>
  <si>
    <t>Мероприятия по уменьшению водопотребления</t>
  </si>
  <si>
    <t>Санация магистральных канализационных коллекторов города</t>
  </si>
  <si>
    <t>Строительство комплекса для сортировки и переработки ТБО</t>
  </si>
  <si>
    <t>120 коек, 12 тыс кв.м.</t>
  </si>
  <si>
    <t>2.</t>
  </si>
  <si>
    <t>Реконструкция дворца спорта  для юношества "Старт" в городе Урай</t>
  </si>
  <si>
    <t>2.3.</t>
  </si>
  <si>
    <t>3.</t>
  </si>
  <si>
    <t>3.2.</t>
  </si>
  <si>
    <t>4.</t>
  </si>
  <si>
    <t>4.1.</t>
  </si>
  <si>
    <t>4.1.1.</t>
  </si>
  <si>
    <t>4.1.2</t>
  </si>
  <si>
    <t>4.1.3</t>
  </si>
  <si>
    <t>Автодорога ул. Нефтяников</t>
  </si>
  <si>
    <t>Автодорога ул. Механиков</t>
  </si>
  <si>
    <t>0,84 км</t>
  </si>
  <si>
    <t>10379 м3</t>
  </si>
  <si>
    <t>Реконструкция автомобильных дорог общего пользования в грунтовом исполнении в городских районах частной застройки микрорайона "Юго-Восточный"</t>
  </si>
  <si>
    <t>Реконструкция автомобильных дорог общего пользования в грунтовом исполнении в городских районах частной застройки микрорайона "Солнечный"</t>
  </si>
  <si>
    <t>10223 м3</t>
  </si>
  <si>
    <t>Реконструкция автомобильных дорог общего пользования в грунтовом исполнении в городских районах частной застройки. Микрорайон "Лесной"</t>
  </si>
  <si>
    <t>500 м3</t>
  </si>
  <si>
    <t>Непрограмный объект</t>
  </si>
  <si>
    <t>Малогабаритная автоматизированная котельная МАК-8 в г.Урай</t>
  </si>
  <si>
    <t>4,14км/ 6,19Гкал/час</t>
  </si>
  <si>
    <t xml:space="preserve">Инженерные сети к ж.д. по ул. Ленина-Толстого, Островского. </t>
  </si>
  <si>
    <t>1750м</t>
  </si>
  <si>
    <t>Инженерные сети по ул. Ленина-Толстого-Островского.II этап. Сети канализации. г. Урай.</t>
  </si>
  <si>
    <t>Инженерные сети микрорайона 1 А, г. Урай. 1 этап.</t>
  </si>
  <si>
    <t>4868м</t>
  </si>
  <si>
    <t>Инженерные сети микрорайона 1 Г, г. Урай. 1 этап.</t>
  </si>
  <si>
    <t>1525м</t>
  </si>
  <si>
    <t>Наружные инженерные сети в мкр. "Южный"</t>
  </si>
  <si>
    <t>7.9</t>
  </si>
  <si>
    <t>7.10</t>
  </si>
  <si>
    <t>7.11</t>
  </si>
  <si>
    <t>Устройство, обеспечивающее беспрепятственный доступ маломобильных групп населения в МБУ "Музей истории г. Урай"</t>
  </si>
  <si>
    <t>Устройство, обеспечивающее беспрепятственный доступ маломобильных групп населения в бу ХМАО-Югры "КЦСОН "Импульс"</t>
  </si>
  <si>
    <t>Внутриквартальные сети газоснабжения к индивидуальным жилым домам по ул. Нагорная в г. Урай</t>
  </si>
  <si>
    <t>Сеть электроснабжения наружного освещения внутриквартального проезда от ул. Яковлева до жилых домов 8,9 микрорайона 1</t>
  </si>
  <si>
    <t>МБОУ гимназия</t>
  </si>
  <si>
    <t xml:space="preserve"> МБОУ СОШ № 5</t>
  </si>
  <si>
    <t>МБОУ СОШ № 2</t>
  </si>
  <si>
    <t xml:space="preserve"> МБОУ СОШ № 6</t>
  </si>
  <si>
    <t xml:space="preserve"> МБОУ СОШ № 12</t>
  </si>
  <si>
    <t xml:space="preserve"> МБДОУ  № 6</t>
  </si>
  <si>
    <t xml:space="preserve"> МБДОУ № 14</t>
  </si>
  <si>
    <t xml:space="preserve"> МБДОУ № 15</t>
  </si>
  <si>
    <t xml:space="preserve">МБДОУ № 19 </t>
  </si>
  <si>
    <t xml:space="preserve">МБДОУ № 20 </t>
  </si>
  <si>
    <t xml:space="preserve">МБДОУ № 21 </t>
  </si>
  <si>
    <t>5.2.10</t>
  </si>
  <si>
    <t>5.2.11</t>
  </si>
  <si>
    <t>5.2.12</t>
  </si>
  <si>
    <t>5.2.13</t>
  </si>
  <si>
    <t>7.12</t>
  </si>
  <si>
    <t>2220м</t>
  </si>
  <si>
    <t>Техническое перевооружение котельной "Аэропорт". Микрорайон Аэропорт-18, г. Урай</t>
  </si>
  <si>
    <t>70,2 Гкал/час</t>
  </si>
  <si>
    <t>Проведение обследования для обоснования проектно-изыскательских работ по берегоукреплению в районе "Старый Урай"</t>
  </si>
  <si>
    <t>Долгосрочная целевая программа муниципального образования городской округ город Урай "Охрана окружающей среды в границах города Урай" на 2012-2016 годы</t>
  </si>
  <si>
    <t>Реконструкция объездной автомобильной дороги г. Урай, искусственные сооружения, наружные инженерные сети</t>
  </si>
  <si>
    <t>10.1</t>
  </si>
  <si>
    <t>10.2</t>
  </si>
  <si>
    <t>10.3</t>
  </si>
  <si>
    <t>10.4</t>
  </si>
  <si>
    <t>10.5</t>
  </si>
  <si>
    <t>10.6</t>
  </si>
  <si>
    <t>10.7</t>
  </si>
  <si>
    <t>6.</t>
  </si>
  <si>
    <t>5.2.14</t>
  </si>
  <si>
    <t>5.2.15</t>
  </si>
  <si>
    <t>5.2.16</t>
  </si>
  <si>
    <t>5.2.17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</si>
  <si>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</si>
  <si>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</si>
  <si>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</si>
  <si>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</si>
  <si>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</si>
  <si>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</si>
  <si>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</si>
  <si>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</si>
  <si>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</si>
  <si>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</si>
  <si>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</si>
  <si>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</si>
  <si>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</si>
  <si>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</si>
  <si>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</si>
  <si>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</si>
  <si>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</si>
  <si>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</si>
  <si>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Автодорога 60 лет Победы (у дома Ребенка</t>
  </si>
  <si>
    <t>А/дорога от ул.Шаимской до Ул.Югорская</t>
  </si>
  <si>
    <t>А/дорога по ул Яковлева  от ул.Узбекистанская до ул. Южная</t>
  </si>
  <si>
    <t>0,194 км</t>
  </si>
  <si>
    <t>10 км 5шт ГКНС, 1КНС</t>
  </si>
  <si>
    <t>0,42 КМ</t>
  </si>
  <si>
    <t>1,2 КМ</t>
  </si>
  <si>
    <t>10.9</t>
  </si>
  <si>
    <t>7449,5 м2</t>
  </si>
  <si>
    <t>Каре жилых домов №№ 75,77,78 микрорайон "2" , № 10 микрорайон 1</t>
  </si>
  <si>
    <t>7919,1 м2</t>
  </si>
  <si>
    <t>4 469,8 м2</t>
  </si>
  <si>
    <t>Реконструкция площади "Планета звезд</t>
  </si>
  <si>
    <t>Пространственная организация территории "Звезды Югры. Ул. Узбекистанская. Ул Южная. Ул Парковая"</t>
  </si>
  <si>
    <t>Ландшафтно-рекреационная зона. Берегоукрепление реки Конда</t>
  </si>
  <si>
    <t>Благоустройство территории "Аллея славы" (продолжение)</t>
  </si>
  <si>
    <t>Устройство тротуара по ул. Шевченко</t>
  </si>
  <si>
    <t>Площадка для технических видов спорта</t>
  </si>
  <si>
    <t>12.</t>
  </si>
  <si>
    <t>12.1</t>
  </si>
  <si>
    <t>Капитальный ремонт автодороги по улице 50 лет ВЛКСМ</t>
  </si>
  <si>
    <t>13.</t>
  </si>
  <si>
    <t>13.1.</t>
  </si>
  <si>
    <t>Мероприятия по уменьшению водопотребления: (Замена трубопроводов отработавших нормативный срок.Замена магистральных водоводов технического водоснабжения., Санация магистральных канализационных коллекторов)</t>
  </si>
  <si>
    <t>Строительство напорного коллектора от КНС-3 до КОС; от КНС-5  до КНС-2; от КНС-4 до КК-1; от КНС-1 до КНС-4</t>
  </si>
  <si>
    <t>13.3</t>
  </si>
  <si>
    <t>14.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</si>
  <si>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</si>
  <si>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</si>
  <si>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</si>
  <si>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</si>
  <si>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</si>
  <si>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</si>
  <si>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</si>
  <si>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</si>
  <si>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</si>
  <si>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</si>
  <si>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</si>
  <si>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</si>
  <si>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</si>
  <si>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</si>
  <si>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</si>
  <si>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</si>
  <si>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</si>
  <si>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</si>
  <si>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</si>
  <si>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</si>
  <si>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</si>
  <si>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</si>
  <si>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</si>
  <si>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</si>
  <si>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15.</t>
  </si>
  <si>
    <t>15.2</t>
  </si>
  <si>
    <t>15.3</t>
  </si>
  <si>
    <t>15.4</t>
  </si>
  <si>
    <t>15.5</t>
  </si>
  <si>
    <t>15.6</t>
  </si>
  <si>
    <t>15.7</t>
  </si>
  <si>
    <t>15.8</t>
  </si>
  <si>
    <t>15.9</t>
  </si>
  <si>
    <t>16.</t>
  </si>
  <si>
    <t>16.1</t>
  </si>
  <si>
    <t>16.2</t>
  </si>
  <si>
    <t>16.3</t>
  </si>
  <si>
    <t>16.4</t>
  </si>
  <si>
    <t>16.5</t>
  </si>
  <si>
    <t>16.6</t>
  </si>
  <si>
    <t>17.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</si>
  <si>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</si>
  <si>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</si>
  <si>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</si>
  <si>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</si>
  <si>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</si>
  <si>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</si>
  <si>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</si>
  <si>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</si>
  <si>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</si>
  <si>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</si>
  <si>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</si>
  <si>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</si>
  <si>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</si>
  <si>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</si>
  <si>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</si>
  <si>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</si>
  <si>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</si>
  <si>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</si>
  <si>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</si>
  <si>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0,35 км</t>
  </si>
  <si>
    <t>13.2</t>
  </si>
  <si>
    <t>Вторая очередь теплотрассы диаметром 530 мм от ПНС-1000 в г. Урае (реконструкция)</t>
  </si>
  <si>
    <t>ЦДОД</t>
  </si>
  <si>
    <t>МБДОУ № 9</t>
  </si>
  <si>
    <t>МБДОУ № 1</t>
  </si>
  <si>
    <t xml:space="preserve">МБДОУ № 12 </t>
  </si>
  <si>
    <t>0,9 км</t>
  </si>
  <si>
    <t xml:space="preserve">Автодорога по ул. Южная </t>
  </si>
  <si>
    <t>0,8 км</t>
  </si>
  <si>
    <t>Капитальный ремонт автодороги  Урай-Сухой Бор</t>
  </si>
  <si>
    <t>2113м</t>
  </si>
  <si>
    <t>4830м</t>
  </si>
  <si>
    <t>579м</t>
  </si>
  <si>
    <t>Инженерные сети микрорайона Южны1 в г. Урай (ПИР)</t>
  </si>
  <si>
    <t>Магистральные сети канализации микрорайона "Юго-Восточный".( ПИР)</t>
  </si>
  <si>
    <t>Магистральные сети канализации микрорайона "Солнечный" г. Урай (ПИР).</t>
  </si>
  <si>
    <t>Капремонт автодороги Урай-Сухой Бор</t>
  </si>
  <si>
    <t>Капитальный ремонт по ул. Южной</t>
  </si>
  <si>
    <t>3,88 км</t>
  </si>
  <si>
    <t xml:space="preserve"> Долгосрочная целевая программа  "Благоустройство и озеленение города Урай на 2013-2017 годы"</t>
  </si>
  <si>
    <t>Благоустройство территории многоквартирных малоэтажных жилых домов в микрорайоне Лесной города Урай</t>
  </si>
  <si>
    <t>14200 м2</t>
  </si>
  <si>
    <t>В том числе 425 тыс. руб -непрограмные</t>
  </si>
  <si>
    <t>Благоустройство придомовой территории жилых домов №№26а, 27а, 27б в микрорайоне 3 города Урай</t>
  </si>
  <si>
    <t>Благоустройство территории в микрорайоне 2, прилегающей к детскому саду №12 "Журавлик"</t>
  </si>
  <si>
    <t>Благоустройство придомовой территории жилых домов №№ 55,54,53,47,48 в микрорайоне 2</t>
  </si>
  <si>
    <t>Благоустройство придомовой территории жилых домов №№ 44,45,46,47 в микрорайоне 3.</t>
  </si>
  <si>
    <t>13100м2</t>
  </si>
  <si>
    <t>Устройство автостоянки в районе взрослой поликлиники объекта "Взрослая поликлиника"</t>
  </si>
  <si>
    <t>Долгосрочная целевая программа "Улучшение жилищных условий населения Ханты-Мансийского автономного округа-Югры" на 2005-2015 годы"Подпрограмма "Проектирование и строительство инженерных сетей"</t>
  </si>
  <si>
    <t>Непрограмные объекты</t>
  </si>
  <si>
    <t>Долгосрочная целевая программа   "Создание условий по обеспечению доступной среды жизнедеятельности для инвалидов  к объектам социальной инфраструктуры и жилого фонда, находящегося в муниципальной собственности,  на территории городского округа город Урай на  2012- 2015 годы"</t>
  </si>
  <si>
    <t>15,10</t>
  </si>
  <si>
    <t>Реконструкция здания музея</t>
  </si>
  <si>
    <t>1500м2</t>
  </si>
  <si>
    <t>15.20.</t>
  </si>
  <si>
    <t>130 тыс. экз.книг/2500 кв.м</t>
  </si>
  <si>
    <t>Библиотека в г. Урай</t>
  </si>
  <si>
    <t>МБОУ СОШ № 4</t>
  </si>
  <si>
    <t>5.2.37</t>
  </si>
  <si>
    <t>Капремонт детского сада № 8</t>
  </si>
  <si>
    <t>5.2.38</t>
  </si>
  <si>
    <t>5.2.39</t>
  </si>
  <si>
    <t>Капремонт детского сада № 9</t>
  </si>
  <si>
    <t>Капремонт детского сада №10</t>
  </si>
  <si>
    <t>2.4.</t>
  </si>
  <si>
    <t>Реконструкция здания АБК ООО "Алекс" под  больницу восстановительного лечения</t>
  </si>
  <si>
    <t>7363,3 м2</t>
  </si>
  <si>
    <t>Каре жилых домов №№ 14/1,16 по ул. Шевченко</t>
  </si>
  <si>
    <t>каре жилых домов № 76,80,84 мкр 2А</t>
  </si>
  <si>
    <t>Проезд в районе СОШ № 5 от УЛ. Ленина до ул Узбекистанской мкр.3</t>
  </si>
  <si>
    <t>Каре жилых домов  №№ 11,12 мкр. Западный</t>
  </si>
  <si>
    <t>Каре жилых домов №№ 13 мкр Западный</t>
  </si>
  <si>
    <t>Каре жилых домов №№ 19 мкр Западный</t>
  </si>
  <si>
    <t>Каре жилого дома № 10 по ул. Ленина</t>
  </si>
  <si>
    <t>Устройство проезда по ул. Кольцова</t>
  </si>
  <si>
    <t>Устройство ливневой канализации по ул. Сибирской, Кольцова, Садовая</t>
  </si>
  <si>
    <t>Укрепление откосов территории прилегающей к музыкальной школе</t>
  </si>
  <si>
    <t>Мемориал Памяти: продолжение парковой зоны в направлении микрорайона Юго-Восточный</t>
  </si>
  <si>
    <t>Мемориал  памяти, Аллея Мира: ремонт</t>
  </si>
  <si>
    <t>Площадь "Планета Звезд", мкр-2</t>
  </si>
  <si>
    <t>Ландшафтно-рекреационная зона берегоукрепления реки Конда</t>
  </si>
  <si>
    <t>Пристань мкр.3</t>
  </si>
  <si>
    <t>Место массового отдыха на воде р. Конда</t>
  </si>
  <si>
    <t>Место массового отдыха на воде р. Колосья</t>
  </si>
  <si>
    <t>Парковая зона, в районе ж/дома № 39, мкр.2</t>
  </si>
  <si>
    <t>Благоустройство территории в районе ЦДОД от ул. Шевченко до ул. Ленина</t>
  </si>
  <si>
    <t>Сквер в районе ДК "Нефтяник"</t>
  </si>
  <si>
    <t>Площадь для проведения культурно-массовых мероприятий, ул. Узбекистанская, ул. Космонавтов</t>
  </si>
  <si>
    <t>Парковая зона на границе мкр. Центральный, мкр. 2А В РАЙОНЕ тц Сибирь</t>
  </si>
  <si>
    <t>Устройство тротуара вдоль ул. 60 лет Победы</t>
  </si>
  <si>
    <t>Устройство тротуара от ул. Нефтяников вдоль проезда Ученический к школе № 2</t>
  </si>
  <si>
    <t>Устройство живой изгороди по улицам города</t>
  </si>
  <si>
    <t>Организация детских игровых и спортивных площадок</t>
  </si>
  <si>
    <t xml:space="preserve"> - в районе жилых домов №№ 101,102 мкр 2</t>
  </si>
  <si>
    <t xml:space="preserve"> - в районе жилых домов №№ 90,96,89а мкр2</t>
  </si>
  <si>
    <t xml:space="preserve"> - в районе жилых домов № 15,16а мкр. Западный</t>
  </si>
  <si>
    <t xml:space="preserve"> - в районе жилых домов №№ 9,10,11,12,13,14 мкр. Лесной</t>
  </si>
  <si>
    <t>5.2.40</t>
  </si>
  <si>
    <t>5.2.41</t>
  </si>
  <si>
    <t>6.3</t>
  </si>
  <si>
    <t>6.5</t>
  </si>
  <si>
    <t>6.6.</t>
  </si>
  <si>
    <t>6.7.</t>
  </si>
  <si>
    <t>6.8.</t>
  </si>
  <si>
    <t>6.9</t>
  </si>
  <si>
    <t>7.</t>
  </si>
  <si>
    <t>7,13</t>
  </si>
  <si>
    <t>7,14</t>
  </si>
  <si>
    <t>9.1</t>
  </si>
  <si>
    <t>9.2</t>
  </si>
  <si>
    <t>9.3</t>
  </si>
  <si>
    <t>9.4</t>
  </si>
  <si>
    <t>9.5</t>
  </si>
  <si>
    <t>9.6</t>
  </si>
  <si>
    <t>10.8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</si>
  <si>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</si>
  <si>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</si>
  <si>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</si>
  <si>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</si>
  <si>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</si>
  <si>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</si>
  <si>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</si>
  <si>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</si>
  <si>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</si>
  <si>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</si>
  <si>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</si>
  <si>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</si>
  <si>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</si>
  <si>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10.33</t>
  </si>
  <si>
    <t>10.24</t>
  </si>
  <si>
    <t>10.23</t>
  </si>
  <si>
    <t>10.25</t>
  </si>
  <si>
    <t>10.26</t>
  </si>
  <si>
    <t>10.27</t>
  </si>
  <si>
    <t>10.28</t>
  </si>
  <si>
    <t>10.29</t>
  </si>
  <si>
    <t>10.30.</t>
  </si>
  <si>
    <t>10.31</t>
  </si>
  <si>
    <t>10.32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</si>
  <si>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</si>
  <si>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</si>
  <si>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</si>
  <si>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</si>
  <si>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</si>
  <si>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</si>
  <si>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</si>
  <si>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</si>
  <si>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</si>
  <si>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 xml:space="preserve"> План развития г. Урай по объектам капитального строительства на 2013-20120 годы.</t>
  </si>
  <si>
    <t>Приложение 2</t>
  </si>
  <si>
    <t>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</si>
</sst>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5" borderId="11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6" borderId="11" xfId="0" applyFont="1" applyFill="1" applyBorder="1" applyAlignment="1">
      <alignment wrapText="1"/>
    </xf>
    <xf numFmtId="3" fontId="3" fillId="36" borderId="11" xfId="0" applyNumberFormat="1" applyFont="1" applyFill="1" applyBorder="1" applyAlignment="1">
      <alignment wrapText="1"/>
    </xf>
    <xf numFmtId="3" fontId="4" fillId="36" borderId="11" xfId="0" applyNumberFormat="1" applyFont="1" applyFill="1" applyBorder="1" applyAlignment="1">
      <alignment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3" fontId="3" fillId="34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36" borderId="11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49" fontId="4" fillId="36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 wrapText="1"/>
    </xf>
    <xf numFmtId="3" fontId="4" fillId="38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38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3" fillId="38" borderId="11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39" borderId="11" xfId="0" applyFont="1" applyFill="1" applyBorder="1" applyAlignment="1">
      <alignment wrapText="1"/>
    </xf>
    <xf numFmtId="3" fontId="4" fillId="39" borderId="11" xfId="0" applyNumberFormat="1" applyFont="1" applyFill="1" applyBorder="1" applyAlignment="1">
      <alignment wrapText="1"/>
    </xf>
    <xf numFmtId="3" fontId="4" fillId="39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49" fontId="3" fillId="39" borderId="11" xfId="0" applyNumberFormat="1" applyFont="1" applyFill="1" applyBorder="1" applyAlignment="1">
      <alignment horizontal="center"/>
    </xf>
    <xf numFmtId="0" fontId="3" fillId="39" borderId="11" xfId="0" applyFont="1" applyFill="1" applyBorder="1" applyAlignment="1">
      <alignment wrapText="1"/>
    </xf>
    <xf numFmtId="0" fontId="3" fillId="39" borderId="0" xfId="0" applyFont="1" applyFill="1" applyAlignment="1">
      <alignment/>
    </xf>
    <xf numFmtId="49" fontId="3" fillId="39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 shrinkToFit="1"/>
    </xf>
    <xf numFmtId="0" fontId="4" fillId="39" borderId="0" xfId="0" applyFont="1" applyFill="1" applyAlignment="1">
      <alignment/>
    </xf>
    <xf numFmtId="49" fontId="4" fillId="39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 wrapText="1"/>
    </xf>
    <xf numFmtId="0" fontId="4" fillId="38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3" fontId="3" fillId="38" borderId="11" xfId="0" applyNumberFormat="1" applyFont="1" applyFill="1" applyBorder="1" applyAlignment="1">
      <alignment wrapText="1"/>
    </xf>
    <xf numFmtId="3" fontId="3" fillId="39" borderId="11" xfId="0" applyNumberFormat="1" applyFont="1" applyFill="1" applyBorder="1" applyAlignment="1">
      <alignment vertical="center" wrapText="1"/>
    </xf>
    <xf numFmtId="3" fontId="5" fillId="36" borderId="11" xfId="0" applyNumberFormat="1" applyFont="1" applyFill="1" applyBorder="1" applyAlignment="1">
      <alignment wrapText="1"/>
    </xf>
    <xf numFmtId="3" fontId="4" fillId="36" borderId="11" xfId="0" applyNumberFormat="1" applyFont="1" applyFill="1" applyBorder="1" applyAlignment="1">
      <alignment horizontal="left" wrapText="1"/>
    </xf>
    <xf numFmtId="180" fontId="3" fillId="0" borderId="11" xfId="0" applyNumberFormat="1" applyFont="1" applyFill="1" applyBorder="1" applyAlignment="1">
      <alignment/>
    </xf>
    <xf numFmtId="180" fontId="4" fillId="39" borderId="11" xfId="0" applyNumberFormat="1" applyFont="1" applyFill="1" applyBorder="1" applyAlignment="1">
      <alignment wrapText="1"/>
    </xf>
    <xf numFmtId="180" fontId="3" fillId="39" borderId="11" xfId="0" applyNumberFormat="1" applyFont="1" applyFill="1" applyBorder="1" applyAlignment="1">
      <alignment wrapText="1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7" fillId="39" borderId="11" xfId="0" applyFont="1" applyFill="1" applyBorder="1" applyAlignment="1">
      <alignment wrapText="1"/>
    </xf>
    <xf numFmtId="3" fontId="7" fillId="39" borderId="11" xfId="0" applyNumberFormat="1" applyFont="1" applyFill="1" applyBorder="1" applyAlignment="1">
      <alignment wrapText="1"/>
    </xf>
    <xf numFmtId="0" fontId="6" fillId="38" borderId="11" xfId="0" applyFont="1" applyFill="1" applyBorder="1" applyAlignment="1">
      <alignment wrapText="1"/>
    </xf>
    <xf numFmtId="180" fontId="3" fillId="39" borderId="11" xfId="0" applyNumberFormat="1" applyFont="1" applyFill="1" applyBorder="1" applyAlignment="1">
      <alignment/>
    </xf>
    <xf numFmtId="3" fontId="3" fillId="39" borderId="0" xfId="0" applyNumberFormat="1" applyFont="1" applyFill="1" applyAlignment="1">
      <alignment/>
    </xf>
    <xf numFmtId="49" fontId="3" fillId="39" borderId="11" xfId="0" applyNumberFormat="1" applyFont="1" applyFill="1" applyBorder="1" applyAlignment="1">
      <alignment vertical="center" wrapText="1"/>
    </xf>
    <xf numFmtId="180" fontId="4" fillId="39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3" fillId="37" borderId="11" xfId="0" applyNumberFormat="1" applyFont="1" applyFill="1" applyBorder="1" applyAlignment="1">
      <alignment horizontal="center" vertical="center" wrapText="1"/>
    </xf>
    <xf numFmtId="3" fontId="4" fillId="37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 wrapText="1"/>
    </xf>
    <xf numFmtId="3" fontId="6" fillId="37" borderId="11" xfId="0" applyNumberFormat="1" applyFont="1" applyFill="1" applyBorder="1" applyAlignment="1">
      <alignment/>
    </xf>
    <xf numFmtId="3" fontId="7" fillId="37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80" fontId="3" fillId="39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9" fontId="4" fillId="38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shrinkToFit="1"/>
    </xf>
    <xf numFmtId="2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left" vertical="center" wrapText="1" shrinkToFit="1"/>
    </xf>
    <xf numFmtId="18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39" borderId="11" xfId="0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wrapText="1"/>
    </xf>
    <xf numFmtId="49" fontId="4" fillId="40" borderId="11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3" fontId="4" fillId="40" borderId="11" xfId="0" applyNumberFormat="1" applyFont="1" applyFill="1" applyBorder="1" applyAlignment="1">
      <alignment horizontal="center" vertical="center" wrapText="1"/>
    </xf>
    <xf numFmtId="4" fontId="3" fillId="0" borderId="11" xfId="53" applyNumberFormat="1" applyFont="1" applyFill="1" applyBorder="1" applyAlignment="1">
      <alignment horizontal="center" wrapText="1"/>
      <protection/>
    </xf>
    <xf numFmtId="4" fontId="3" fillId="39" borderId="11" xfId="53" applyNumberFormat="1" applyFont="1" applyFill="1" applyBorder="1" applyAlignment="1">
      <alignment horizontal="center" wrapText="1"/>
      <protection/>
    </xf>
    <xf numFmtId="4" fontId="3" fillId="0" borderId="11" xfId="53" applyNumberFormat="1" applyFont="1" applyFill="1" applyBorder="1" applyAlignment="1">
      <alignment horizontal="left" vertical="top" wrapText="1"/>
      <protection/>
    </xf>
    <xf numFmtId="180" fontId="3" fillId="0" borderId="11" xfId="53" applyNumberFormat="1" applyFont="1" applyFill="1" applyBorder="1" applyAlignment="1">
      <alignment horizontal="center" wrapText="1"/>
      <protection/>
    </xf>
    <xf numFmtId="49" fontId="4" fillId="40" borderId="11" xfId="0" applyNumberFormat="1" applyFont="1" applyFill="1" applyBorder="1" applyAlignment="1">
      <alignment/>
    </xf>
    <xf numFmtId="0" fontId="4" fillId="40" borderId="11" xfId="0" applyFont="1" applyFill="1" applyBorder="1" applyAlignment="1">
      <alignment wrapText="1"/>
    </xf>
    <xf numFmtId="3" fontId="4" fillId="4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7" borderId="0" xfId="0" applyNumberFormat="1" applyFont="1" applyFill="1" applyAlignment="1">
      <alignment/>
    </xf>
    <xf numFmtId="3" fontId="8" fillId="37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" fillId="37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7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7"/>
  <sheetViews>
    <sheetView tabSelected="1" zoomScalePageLayoutView="0" workbookViewId="0" topLeftCell="AI1">
      <pane ySplit="7" topLeftCell="A145" activePane="bottomLeft" state="frozen"/>
      <selection pane="topLeft" activeCell="A1" sqref="A1"/>
      <selection pane="bottomLeft" activeCell="AX150" sqref="AX150"/>
    </sheetView>
  </sheetViews>
  <sheetFormatPr defaultColWidth="9.140625" defaultRowHeight="12.75"/>
  <cols>
    <col min="1" max="1" width="4.57421875" style="45" customWidth="1"/>
    <col min="2" max="2" width="17.57421875" style="26" customWidth="1"/>
    <col min="3" max="3" width="7.00390625" style="26" customWidth="1"/>
    <col min="4" max="4" width="11.140625" style="41" customWidth="1"/>
    <col min="5" max="5" width="8.140625" style="5" hidden="1" customWidth="1"/>
    <col min="6" max="6" width="8.140625" style="41" hidden="1" customWidth="1"/>
    <col min="7" max="7" width="6.8515625" style="27" hidden="1" customWidth="1"/>
    <col min="8" max="8" width="7.00390625" style="28" hidden="1" customWidth="1"/>
    <col min="9" max="9" width="6.28125" style="28" hidden="1" customWidth="1"/>
    <col min="10" max="12" width="7.00390625" style="28" hidden="1" customWidth="1"/>
    <col min="13" max="13" width="8.57421875" style="106" hidden="1" customWidth="1"/>
    <col min="14" max="14" width="7.57421875" style="107" hidden="1" customWidth="1"/>
    <col min="15" max="15" width="7.7109375" style="107" hidden="1" customWidth="1"/>
    <col min="16" max="16" width="7.421875" style="107" hidden="1" customWidth="1"/>
    <col min="17" max="17" width="7.421875" style="5" customWidth="1"/>
    <col min="18" max="18" width="8.28125" style="4" customWidth="1"/>
    <col min="19" max="19" width="8.28125" style="3" customWidth="1"/>
    <col min="20" max="20" width="7.57421875" style="3" customWidth="1"/>
    <col min="21" max="21" width="7.7109375" style="3" customWidth="1"/>
    <col min="22" max="22" width="7.421875" style="3" customWidth="1"/>
    <col min="23" max="23" width="10.00390625" style="4" customWidth="1"/>
    <col min="24" max="24" width="8.421875" style="3" customWidth="1"/>
    <col min="25" max="25" width="8.140625" style="3" customWidth="1"/>
    <col min="26" max="26" width="7.140625" style="3" customWidth="1"/>
    <col min="27" max="27" width="8.28125" style="3" customWidth="1"/>
    <col min="28" max="28" width="9.28125" style="4" customWidth="1"/>
    <col min="29" max="29" width="7.7109375" style="3" customWidth="1"/>
    <col min="30" max="30" width="8.8515625" style="3" customWidth="1"/>
    <col min="31" max="31" width="4.7109375" style="3" customWidth="1"/>
    <col min="32" max="32" width="7.28125" style="3" customWidth="1"/>
    <col min="33" max="33" width="8.28125" style="1" customWidth="1"/>
    <col min="34" max="34" width="8.7109375" style="1" customWidth="1"/>
    <col min="35" max="35" width="7.421875" style="1" customWidth="1"/>
    <col min="36" max="36" width="4.8515625" style="1" customWidth="1"/>
    <col min="37" max="37" width="6.7109375" style="1" customWidth="1"/>
    <col min="38" max="38" width="8.140625" style="1" customWidth="1"/>
    <col min="39" max="39" width="7.28125" style="1" customWidth="1"/>
    <col min="40" max="40" width="7.421875" style="1" customWidth="1"/>
    <col min="41" max="41" width="7.140625" style="1" customWidth="1"/>
    <col min="42" max="42" width="8.421875" style="1" customWidth="1"/>
    <col min="43" max="43" width="7.57421875" style="1" customWidth="1"/>
    <col min="44" max="44" width="7.8515625" style="1" customWidth="1"/>
    <col min="45" max="45" width="6.28125" style="1" customWidth="1"/>
    <col min="46" max="46" width="8.8515625" style="1" customWidth="1"/>
    <col min="47" max="47" width="7.140625" style="1" customWidth="1"/>
    <col min="48" max="48" width="8.28125" style="1" customWidth="1"/>
    <col min="49" max="49" width="8.00390625" style="1" customWidth="1"/>
    <col min="50" max="50" width="10.7109375" style="1" customWidth="1"/>
    <col min="51" max="51" width="5.00390625" style="1" customWidth="1"/>
    <col min="52" max="52" width="7.421875" style="1" customWidth="1"/>
    <col min="53" max="53" width="5.8515625" style="1" hidden="1" customWidth="1"/>
    <col min="54" max="16384" width="9.140625" style="1" customWidth="1"/>
  </cols>
  <sheetData>
    <row r="1" spans="1:52" s="170" customFormat="1" ht="15.75">
      <c r="A1" s="160"/>
      <c r="B1" s="161"/>
      <c r="C1" s="161"/>
      <c r="D1" s="162"/>
      <c r="E1" s="163"/>
      <c r="F1" s="162"/>
      <c r="G1" s="164"/>
      <c r="H1" s="165"/>
      <c r="I1" s="165"/>
      <c r="J1" s="165"/>
      <c r="K1" s="165"/>
      <c r="L1" s="165"/>
      <c r="M1" s="166"/>
      <c r="N1" s="167"/>
      <c r="O1" s="167"/>
      <c r="P1" s="167"/>
      <c r="Q1" s="163"/>
      <c r="R1" s="168"/>
      <c r="S1" s="169"/>
      <c r="T1" s="169"/>
      <c r="U1" s="169"/>
      <c r="V1" s="169"/>
      <c r="W1" s="168"/>
      <c r="X1" s="169"/>
      <c r="Y1" s="169"/>
      <c r="Z1" s="169"/>
      <c r="AA1" s="169"/>
      <c r="AB1" s="168"/>
      <c r="AC1" s="169"/>
      <c r="AD1" s="169"/>
      <c r="AE1" s="169"/>
      <c r="AF1" s="169"/>
      <c r="AX1" s="171" t="s">
        <v>499</v>
      </c>
      <c r="AY1" s="171"/>
      <c r="AZ1" s="171"/>
    </row>
    <row r="2" spans="2:52" ht="25.5" customHeight="1">
      <c r="B2" s="180" t="s">
        <v>498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2:28" ht="40.5" customHeight="1" hidden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</row>
    <row r="4" spans="2:20" ht="11.25">
      <c r="B4" s="185" t="s">
        <v>500</v>
      </c>
      <c r="C4" s="2"/>
      <c r="D4" s="42"/>
      <c r="E4" s="2"/>
      <c r="F4" s="42"/>
      <c r="G4" s="2"/>
      <c r="H4" s="2"/>
      <c r="I4" s="2"/>
      <c r="J4" s="2"/>
      <c r="K4" s="2"/>
      <c r="L4" s="2"/>
      <c r="R4" s="57"/>
      <c r="S4" s="6"/>
      <c r="T4" s="6"/>
    </row>
    <row r="5" spans="1:53" s="9" customFormat="1" ht="24.75" customHeight="1">
      <c r="A5" s="172"/>
      <c r="B5" s="173" t="s">
        <v>9</v>
      </c>
      <c r="C5" s="173" t="s">
        <v>26</v>
      </c>
      <c r="D5" s="174" t="s">
        <v>55</v>
      </c>
      <c r="E5" s="175" t="s">
        <v>25</v>
      </c>
      <c r="F5" s="176" t="s">
        <v>27</v>
      </c>
      <c r="G5" s="181" t="s">
        <v>10</v>
      </c>
      <c r="H5" s="182" t="s">
        <v>11</v>
      </c>
      <c r="I5" s="182"/>
      <c r="J5" s="182"/>
      <c r="K5" s="182"/>
      <c r="L5" s="182"/>
      <c r="M5" s="177" t="s">
        <v>71</v>
      </c>
      <c r="N5" s="183" t="s">
        <v>11</v>
      </c>
      <c r="O5" s="183"/>
      <c r="P5" s="183"/>
      <c r="Q5" s="175" t="s">
        <v>12</v>
      </c>
      <c r="R5" s="179" t="s">
        <v>67</v>
      </c>
      <c r="S5" s="178" t="s">
        <v>11</v>
      </c>
      <c r="T5" s="178"/>
      <c r="U5" s="178"/>
      <c r="V5" s="178"/>
      <c r="W5" s="179" t="s">
        <v>68</v>
      </c>
      <c r="X5" s="178" t="s">
        <v>11</v>
      </c>
      <c r="Y5" s="178"/>
      <c r="Z5" s="178"/>
      <c r="AA5" s="8"/>
      <c r="AB5" s="179" t="s">
        <v>69</v>
      </c>
      <c r="AC5" s="178" t="s">
        <v>11</v>
      </c>
      <c r="AD5" s="178"/>
      <c r="AE5" s="178"/>
      <c r="AF5" s="8"/>
      <c r="AG5" s="179" t="s">
        <v>121</v>
      </c>
      <c r="AH5" s="178" t="s">
        <v>11</v>
      </c>
      <c r="AI5" s="178"/>
      <c r="AJ5" s="178"/>
      <c r="AK5" s="8"/>
      <c r="AL5" s="179" t="s">
        <v>122</v>
      </c>
      <c r="AM5" s="178" t="s">
        <v>11</v>
      </c>
      <c r="AN5" s="178"/>
      <c r="AO5" s="178"/>
      <c r="AP5" s="179" t="s">
        <v>123</v>
      </c>
      <c r="AQ5" s="178" t="s">
        <v>11</v>
      </c>
      <c r="AR5" s="178"/>
      <c r="AS5" s="178"/>
      <c r="AT5" s="179" t="s">
        <v>124</v>
      </c>
      <c r="AU5" s="178" t="s">
        <v>11</v>
      </c>
      <c r="AV5" s="178"/>
      <c r="AW5" s="178"/>
      <c r="AX5" s="179" t="s">
        <v>125</v>
      </c>
      <c r="AY5" s="178" t="s">
        <v>11</v>
      </c>
      <c r="AZ5" s="178"/>
      <c r="BA5" s="178"/>
    </row>
    <row r="6" spans="1:53" s="9" customFormat="1" ht="73.5" customHeight="1">
      <c r="A6" s="172"/>
      <c r="B6" s="173"/>
      <c r="C6" s="173"/>
      <c r="D6" s="174"/>
      <c r="E6" s="175"/>
      <c r="F6" s="176"/>
      <c r="G6" s="181"/>
      <c r="H6" s="7" t="s">
        <v>13</v>
      </c>
      <c r="I6" s="7" t="s">
        <v>14</v>
      </c>
      <c r="J6" s="7" t="s">
        <v>0</v>
      </c>
      <c r="K6" s="7" t="s">
        <v>15</v>
      </c>
      <c r="L6" s="7" t="s">
        <v>16</v>
      </c>
      <c r="M6" s="177"/>
      <c r="N6" s="108" t="s">
        <v>13</v>
      </c>
      <c r="O6" s="108" t="s">
        <v>14</v>
      </c>
      <c r="P6" s="108" t="s">
        <v>70</v>
      </c>
      <c r="Q6" s="175"/>
      <c r="R6" s="179"/>
      <c r="S6" s="8" t="s">
        <v>13</v>
      </c>
      <c r="T6" s="8" t="s">
        <v>14</v>
      </c>
      <c r="U6" s="8" t="s">
        <v>70</v>
      </c>
      <c r="V6" s="8" t="s">
        <v>91</v>
      </c>
      <c r="W6" s="179"/>
      <c r="X6" s="8" t="s">
        <v>13</v>
      </c>
      <c r="Y6" s="8" t="s">
        <v>14</v>
      </c>
      <c r="Z6" s="8" t="s">
        <v>70</v>
      </c>
      <c r="AA6" s="8" t="s">
        <v>91</v>
      </c>
      <c r="AB6" s="179"/>
      <c r="AC6" s="8" t="s">
        <v>13</v>
      </c>
      <c r="AD6" s="8" t="s">
        <v>14</v>
      </c>
      <c r="AE6" s="8" t="s">
        <v>70</v>
      </c>
      <c r="AF6" s="8" t="s">
        <v>91</v>
      </c>
      <c r="AG6" s="179"/>
      <c r="AH6" s="8" t="s">
        <v>13</v>
      </c>
      <c r="AI6" s="8" t="s">
        <v>14</v>
      </c>
      <c r="AJ6" s="8" t="s">
        <v>70</v>
      </c>
      <c r="AK6" s="8" t="s">
        <v>91</v>
      </c>
      <c r="AL6" s="179"/>
      <c r="AM6" s="8" t="s">
        <v>13</v>
      </c>
      <c r="AN6" s="8" t="s">
        <v>14</v>
      </c>
      <c r="AO6" s="8" t="s">
        <v>70</v>
      </c>
      <c r="AP6" s="179"/>
      <c r="AQ6" s="8" t="s">
        <v>13</v>
      </c>
      <c r="AR6" s="8" t="s">
        <v>14</v>
      </c>
      <c r="AS6" s="8" t="s">
        <v>70</v>
      </c>
      <c r="AT6" s="179"/>
      <c r="AU6" s="8" t="s">
        <v>13</v>
      </c>
      <c r="AV6" s="8" t="s">
        <v>14</v>
      </c>
      <c r="AW6" s="8" t="s">
        <v>70</v>
      </c>
      <c r="AX6" s="179"/>
      <c r="AY6" s="8" t="s">
        <v>13</v>
      </c>
      <c r="AZ6" s="8" t="s">
        <v>14</v>
      </c>
      <c r="BA6" s="8" t="s">
        <v>70</v>
      </c>
    </row>
    <row r="7" spans="1:53" s="10" customFormat="1" ht="12.75" customHeight="1" hidden="1">
      <c r="A7" s="65" t="s">
        <v>5</v>
      </c>
      <c r="B7" s="66">
        <v>2</v>
      </c>
      <c r="C7" s="66">
        <v>3</v>
      </c>
      <c r="D7" s="67">
        <v>4</v>
      </c>
      <c r="E7" s="67">
        <v>5</v>
      </c>
      <c r="F7" s="128">
        <v>6</v>
      </c>
      <c r="G7" s="54"/>
      <c r="H7" s="54"/>
      <c r="I7" s="54"/>
      <c r="J7" s="54"/>
      <c r="K7" s="54"/>
      <c r="L7" s="54"/>
      <c r="M7" s="127">
        <v>18</v>
      </c>
      <c r="N7" s="127">
        <v>19</v>
      </c>
      <c r="O7" s="127">
        <v>20</v>
      </c>
      <c r="P7" s="127">
        <v>21</v>
      </c>
      <c r="Q7" s="67">
        <v>33</v>
      </c>
      <c r="R7" s="55">
        <v>34</v>
      </c>
      <c r="S7" s="55">
        <v>35</v>
      </c>
      <c r="T7" s="55">
        <v>36</v>
      </c>
      <c r="U7" s="55">
        <v>37</v>
      </c>
      <c r="V7" s="55"/>
      <c r="W7" s="55">
        <v>41</v>
      </c>
      <c r="X7" s="55">
        <v>42</v>
      </c>
      <c r="Y7" s="55">
        <v>43</v>
      </c>
      <c r="Z7" s="55">
        <v>44</v>
      </c>
      <c r="AA7" s="55"/>
      <c r="AB7" s="55">
        <v>48</v>
      </c>
      <c r="AC7" s="55">
        <v>49</v>
      </c>
      <c r="AD7" s="55">
        <v>50</v>
      </c>
      <c r="AE7" s="55">
        <v>51</v>
      </c>
      <c r="AF7" s="5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10" customFormat="1" ht="24.75" customHeight="1">
      <c r="A8" s="146" t="s">
        <v>52</v>
      </c>
      <c r="B8" s="147" t="s">
        <v>24</v>
      </c>
      <c r="C8" s="148"/>
      <c r="D8" s="148">
        <f>D9+D11+D16+D19+D72+D81+D96+D98+D105</f>
        <v>6037422</v>
      </c>
      <c r="E8" s="148" t="e">
        <f>E9+#REF!+E11+E16+E19+E72+E81+E96+E98</f>
        <v>#REF!</v>
      </c>
      <c r="F8" s="148" t="e">
        <f>F9+#REF!+F11+F16+F19+F72+F81+F96+F98</f>
        <v>#REF!</v>
      </c>
      <c r="G8" s="148" t="e">
        <f>G9+#REF!+G11+G16+G19+G72+G81+G96+G98</f>
        <v>#REF!</v>
      </c>
      <c r="H8" s="148" t="e">
        <f>H9+#REF!+H11+H16+H19+H72+H81+H96+H98</f>
        <v>#REF!</v>
      </c>
      <c r="I8" s="148" t="e">
        <f>I9+#REF!+I11+I16+I19+I72+I81+I96+I98</f>
        <v>#REF!</v>
      </c>
      <c r="J8" s="148" t="e">
        <f>J9+#REF!+J11+J16+J19+J72+J81+J96+J98</f>
        <v>#REF!</v>
      </c>
      <c r="K8" s="148" t="e">
        <f>K9+#REF!+K11+K16+K19+K72+K81+K96+K98</f>
        <v>#REF!</v>
      </c>
      <c r="L8" s="148" t="e">
        <f>L9+#REF!+L11+L16+L19+L72+L81+L96+L98</f>
        <v>#REF!</v>
      </c>
      <c r="M8" s="148" t="e">
        <f>M9+M11+M16+M19+M72+M81+M96+M98</f>
        <v>#REF!</v>
      </c>
      <c r="N8" s="148" t="e">
        <f>N9+N11+N16+N19+N72+N81+N96+N98</f>
        <v>#REF!</v>
      </c>
      <c r="O8" s="148" t="e">
        <f>O9+O11+O16+O19+O72+O81+O96+O98</f>
        <v>#REF!</v>
      </c>
      <c r="P8" s="148" t="e">
        <f>P9+P11+P16+P19+P72+P81+P96+P98</f>
        <v>#REF!</v>
      </c>
      <c r="Q8" s="148">
        <f aca="true" t="shared" si="0" ref="Q8:BA8">Q9+Q11+Q16+Q19+Q72+Q81+Q96+Q98+Q105</f>
        <v>0</v>
      </c>
      <c r="R8" s="148">
        <f t="shared" si="0"/>
        <v>618176</v>
      </c>
      <c r="S8" s="148">
        <f t="shared" si="0"/>
        <v>400001</v>
      </c>
      <c r="T8" s="148">
        <f t="shared" si="0"/>
        <v>88452</v>
      </c>
      <c r="U8" s="148">
        <f t="shared" si="0"/>
        <v>156283</v>
      </c>
      <c r="V8" s="148">
        <f t="shared" si="0"/>
        <v>0</v>
      </c>
      <c r="W8" s="148">
        <f t="shared" si="0"/>
        <v>1187682</v>
      </c>
      <c r="X8" s="148">
        <f t="shared" si="0"/>
        <v>304064</v>
      </c>
      <c r="Y8" s="148">
        <f t="shared" si="0"/>
        <v>261831</v>
      </c>
      <c r="Z8" s="148">
        <f t="shared" si="0"/>
        <v>55417</v>
      </c>
      <c r="AA8" s="148">
        <f t="shared" si="0"/>
        <v>566371</v>
      </c>
      <c r="AB8" s="148">
        <f t="shared" si="0"/>
        <v>1114831</v>
      </c>
      <c r="AC8" s="148">
        <f t="shared" si="0"/>
        <v>289356</v>
      </c>
      <c r="AD8" s="148">
        <f t="shared" si="0"/>
        <v>267294</v>
      </c>
      <c r="AE8" s="148">
        <f t="shared" si="0"/>
        <v>0</v>
      </c>
      <c r="AF8" s="148">
        <f t="shared" si="0"/>
        <v>566371</v>
      </c>
      <c r="AG8" s="148">
        <f t="shared" si="0"/>
        <v>691460</v>
      </c>
      <c r="AH8" s="148">
        <f t="shared" si="0"/>
        <v>342561</v>
      </c>
      <c r="AI8" s="148">
        <f t="shared" si="0"/>
        <v>269933</v>
      </c>
      <c r="AJ8" s="148">
        <f t="shared" si="0"/>
        <v>0</v>
      </c>
      <c r="AK8" s="148">
        <f t="shared" si="0"/>
        <v>78965</v>
      </c>
      <c r="AL8" s="148">
        <f t="shared" si="0"/>
        <v>509916</v>
      </c>
      <c r="AM8" s="148">
        <f t="shared" si="0"/>
        <v>315310</v>
      </c>
      <c r="AN8" s="148">
        <f t="shared" si="0"/>
        <v>194606</v>
      </c>
      <c r="AO8" s="148">
        <f t="shared" si="0"/>
        <v>0</v>
      </c>
      <c r="AP8" s="148">
        <f t="shared" si="0"/>
        <v>80684</v>
      </c>
      <c r="AQ8" s="148">
        <f t="shared" si="0"/>
        <v>33156</v>
      </c>
      <c r="AR8" s="148">
        <f t="shared" si="0"/>
        <v>63184</v>
      </c>
      <c r="AS8" s="148">
        <f t="shared" si="0"/>
        <v>15656</v>
      </c>
      <c r="AT8" s="148">
        <f t="shared" si="0"/>
        <v>165796</v>
      </c>
      <c r="AU8" s="148">
        <f t="shared" si="0"/>
        <v>53595</v>
      </c>
      <c r="AV8" s="148">
        <f t="shared" si="0"/>
        <v>97201</v>
      </c>
      <c r="AW8" s="148">
        <f t="shared" si="0"/>
        <v>15000</v>
      </c>
      <c r="AX8" s="148">
        <f t="shared" si="0"/>
        <v>72784</v>
      </c>
      <c r="AY8" s="148">
        <f t="shared" si="0"/>
        <v>0</v>
      </c>
      <c r="AZ8" s="148">
        <f t="shared" si="0"/>
        <v>72784</v>
      </c>
      <c r="BA8" s="148">
        <f t="shared" si="0"/>
        <v>0</v>
      </c>
    </row>
    <row r="9" spans="1:53" s="23" customFormat="1" ht="82.5" customHeight="1">
      <c r="A9" s="48" t="s">
        <v>5</v>
      </c>
      <c r="B9" s="32" t="s">
        <v>93</v>
      </c>
      <c r="C9" s="29"/>
      <c r="D9" s="33">
        <f>D10</f>
        <v>82779</v>
      </c>
      <c r="E9" s="30"/>
      <c r="F9" s="33"/>
      <c r="G9" s="31"/>
      <c r="H9" s="31"/>
      <c r="I9" s="50"/>
      <c r="J9" s="50"/>
      <c r="K9" s="50"/>
      <c r="L9" s="50"/>
      <c r="M9" s="109"/>
      <c r="N9" s="110"/>
      <c r="O9" s="110"/>
      <c r="P9" s="110"/>
      <c r="Q9" s="84"/>
      <c r="R9" s="33">
        <f>R10</f>
        <v>28952</v>
      </c>
      <c r="S9" s="33">
        <f>S10</f>
        <v>0</v>
      </c>
      <c r="T9" s="33">
        <f>T10</f>
        <v>28952</v>
      </c>
      <c r="U9" s="33">
        <f>U10</f>
        <v>0</v>
      </c>
      <c r="V9" s="33">
        <f>V10</f>
        <v>0</v>
      </c>
      <c r="W9" s="31"/>
      <c r="X9" s="50"/>
      <c r="Y9" s="50"/>
      <c r="Z9" s="50"/>
      <c r="AA9" s="50"/>
      <c r="AB9" s="31"/>
      <c r="AC9" s="50"/>
      <c r="AD9" s="50"/>
      <c r="AE9" s="50"/>
      <c r="AF9" s="50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s="23" customFormat="1" ht="56.25">
      <c r="A10" s="44" t="s">
        <v>48</v>
      </c>
      <c r="B10" s="17" t="s">
        <v>94</v>
      </c>
      <c r="C10" s="17" t="s">
        <v>160</v>
      </c>
      <c r="D10" s="37">
        <v>82779</v>
      </c>
      <c r="E10" s="18"/>
      <c r="F10" s="13"/>
      <c r="G10" s="14"/>
      <c r="H10" s="14"/>
      <c r="I10" s="19"/>
      <c r="J10" s="19"/>
      <c r="K10" s="19"/>
      <c r="L10" s="19"/>
      <c r="M10" s="109"/>
      <c r="N10" s="110"/>
      <c r="O10" s="110"/>
      <c r="P10" s="110"/>
      <c r="Q10" s="22"/>
      <c r="R10" s="20">
        <f>S10+T10+U10+V10</f>
        <v>28952</v>
      </c>
      <c r="S10" s="21"/>
      <c r="T10" s="21">
        <v>28952</v>
      </c>
      <c r="U10" s="21"/>
      <c r="V10" s="21"/>
      <c r="W10" s="20"/>
      <c r="X10" s="21"/>
      <c r="Y10" s="21"/>
      <c r="Z10" s="21"/>
      <c r="AA10" s="21"/>
      <c r="AB10" s="20"/>
      <c r="AC10" s="21"/>
      <c r="AD10" s="21"/>
      <c r="AE10" s="21"/>
      <c r="AF10" s="21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90.75" customHeight="1">
      <c r="A11" s="48" t="s">
        <v>192</v>
      </c>
      <c r="B11" s="32" t="s">
        <v>75</v>
      </c>
      <c r="C11" s="31">
        <f aca="true" t="shared" si="1" ref="C11:P11">SUM(C12:C14)</f>
        <v>0</v>
      </c>
      <c r="D11" s="31">
        <f>D12+D13+D14+D15</f>
        <v>1515880</v>
      </c>
      <c r="E11" s="31">
        <f t="shared" si="1"/>
        <v>346333</v>
      </c>
      <c r="F11" s="31">
        <f t="shared" si="1"/>
        <v>1069388</v>
      </c>
      <c r="G11" s="31" t="e">
        <f t="shared" si="1"/>
        <v>#REF!</v>
      </c>
      <c r="H11" s="31" t="e">
        <f t="shared" si="1"/>
        <v>#REF!</v>
      </c>
      <c r="I11" s="31" t="e">
        <f t="shared" si="1"/>
        <v>#REF!</v>
      </c>
      <c r="J11" s="31" t="e">
        <f t="shared" si="1"/>
        <v>#REF!</v>
      </c>
      <c r="K11" s="31">
        <f t="shared" si="1"/>
        <v>0</v>
      </c>
      <c r="L11" s="31">
        <f t="shared" si="1"/>
        <v>0</v>
      </c>
      <c r="M11" s="109">
        <f t="shared" si="1"/>
        <v>177173</v>
      </c>
      <c r="N11" s="110">
        <f t="shared" si="1"/>
        <v>91179</v>
      </c>
      <c r="O11" s="110">
        <f t="shared" si="1"/>
        <v>2244</v>
      </c>
      <c r="P11" s="110">
        <f t="shared" si="1"/>
        <v>83750</v>
      </c>
      <c r="Q11" s="31">
        <f aca="true" t="shared" si="2" ref="Q11:BA11">Q12+Q13+Q14+Q15</f>
        <v>0</v>
      </c>
      <c r="R11" s="31">
        <f t="shared" si="2"/>
        <v>278890</v>
      </c>
      <c r="S11" s="31">
        <f t="shared" si="2"/>
        <v>258636</v>
      </c>
      <c r="T11" s="31">
        <f t="shared" si="2"/>
        <v>13612</v>
      </c>
      <c r="U11" s="31">
        <f t="shared" si="2"/>
        <v>6642</v>
      </c>
      <c r="V11" s="31">
        <f t="shared" si="2"/>
        <v>0</v>
      </c>
      <c r="W11" s="31">
        <f t="shared" si="2"/>
        <v>60000</v>
      </c>
      <c r="X11" s="31">
        <f t="shared" si="2"/>
        <v>57000</v>
      </c>
      <c r="Y11" s="31">
        <f t="shared" si="2"/>
        <v>3000</v>
      </c>
      <c r="Z11" s="31">
        <f t="shared" si="2"/>
        <v>0</v>
      </c>
      <c r="AA11" s="31">
        <f t="shared" si="2"/>
        <v>0</v>
      </c>
      <c r="AB11" s="31">
        <f t="shared" si="2"/>
        <v>40159</v>
      </c>
      <c r="AC11" s="31">
        <f t="shared" si="2"/>
        <v>38151</v>
      </c>
      <c r="AD11" s="31">
        <f t="shared" si="2"/>
        <v>2008</v>
      </c>
      <c r="AE11" s="31">
        <f t="shared" si="2"/>
        <v>0</v>
      </c>
      <c r="AF11" s="31">
        <f t="shared" si="2"/>
        <v>0</v>
      </c>
      <c r="AG11" s="31">
        <f t="shared" si="2"/>
        <v>73685</v>
      </c>
      <c r="AH11" s="31">
        <f t="shared" si="2"/>
        <v>70000</v>
      </c>
      <c r="AI11" s="31">
        <f t="shared" si="2"/>
        <v>3685</v>
      </c>
      <c r="AJ11" s="31">
        <f t="shared" si="2"/>
        <v>0</v>
      </c>
      <c r="AK11" s="31">
        <f t="shared" si="2"/>
        <v>0</v>
      </c>
      <c r="AL11" s="31">
        <f t="shared" si="2"/>
        <v>210000</v>
      </c>
      <c r="AM11" s="31">
        <f t="shared" si="2"/>
        <v>199500</v>
      </c>
      <c r="AN11" s="31">
        <f t="shared" si="2"/>
        <v>10500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56416</v>
      </c>
      <c r="AU11" s="31">
        <f t="shared" si="2"/>
        <v>53595</v>
      </c>
      <c r="AV11" s="31">
        <f t="shared" si="2"/>
        <v>2821</v>
      </c>
      <c r="AW11" s="31">
        <f t="shared" si="2"/>
        <v>0</v>
      </c>
      <c r="AX11" s="31">
        <f t="shared" si="2"/>
        <v>0</v>
      </c>
      <c r="AY11" s="31">
        <f t="shared" si="2"/>
        <v>0</v>
      </c>
      <c r="AZ11" s="31">
        <f t="shared" si="2"/>
        <v>0</v>
      </c>
      <c r="BA11" s="31">
        <f t="shared" si="2"/>
        <v>0</v>
      </c>
    </row>
    <row r="12" spans="1:53" s="23" customFormat="1" ht="33.75">
      <c r="A12" s="44" t="s">
        <v>49</v>
      </c>
      <c r="B12" s="17" t="s">
        <v>89</v>
      </c>
      <c r="C12" s="17" t="s">
        <v>29</v>
      </c>
      <c r="D12" s="37">
        <v>445919</v>
      </c>
      <c r="E12" s="18">
        <v>198468</v>
      </c>
      <c r="F12" s="13">
        <f>D12-E12</f>
        <v>247451</v>
      </c>
      <c r="G12" s="14" t="e">
        <f>SUM(H12:L12)</f>
        <v>#REF!</v>
      </c>
      <c r="H12" s="19" t="e">
        <f>#REF!</f>
        <v>#REF!</v>
      </c>
      <c r="I12" s="19" t="e">
        <f>#REF!</f>
        <v>#REF!</v>
      </c>
      <c r="J12" s="19" t="e">
        <f>#REF!</f>
        <v>#REF!</v>
      </c>
      <c r="K12" s="19"/>
      <c r="L12" s="19"/>
      <c r="M12" s="109">
        <f>N12+O12+P12</f>
        <v>159929</v>
      </c>
      <c r="N12" s="110">
        <v>76179</v>
      </c>
      <c r="O12" s="110"/>
      <c r="P12" s="110">
        <v>83750</v>
      </c>
      <c r="Q12" s="18"/>
      <c r="R12" s="20">
        <f>S12+T12+U12</f>
        <v>93645</v>
      </c>
      <c r="S12" s="21">
        <v>88963</v>
      </c>
      <c r="T12" s="21">
        <f>S12/95*5</f>
        <v>4682</v>
      </c>
      <c r="U12" s="21"/>
      <c r="V12" s="21"/>
      <c r="W12" s="20">
        <f>X12+Y12+Z12</f>
        <v>0</v>
      </c>
      <c r="X12" s="21"/>
      <c r="Y12" s="21"/>
      <c r="Z12" s="21"/>
      <c r="AA12" s="21"/>
      <c r="AB12" s="20">
        <f>AC12+AD12+AE12</f>
        <v>0</v>
      </c>
      <c r="AC12" s="21"/>
      <c r="AD12" s="21"/>
      <c r="AE12" s="21"/>
      <c r="AF12" s="2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23" customFormat="1" ht="24" customHeight="1">
      <c r="A13" s="44" t="s">
        <v>50</v>
      </c>
      <c r="B13" s="17" t="s">
        <v>88</v>
      </c>
      <c r="C13" s="17" t="s">
        <v>30</v>
      </c>
      <c r="D13" s="37">
        <v>469802</v>
      </c>
      <c r="E13" s="18">
        <v>136542</v>
      </c>
      <c r="F13" s="13">
        <f>D13-E13</f>
        <v>333260</v>
      </c>
      <c r="G13" s="14" t="e">
        <f>SUM(H13:L13)</f>
        <v>#REF!</v>
      </c>
      <c r="H13" s="19" t="e">
        <f>#REF!</f>
        <v>#REF!</v>
      </c>
      <c r="I13" s="19" t="e">
        <f>#REF!</f>
        <v>#REF!</v>
      </c>
      <c r="J13" s="19" t="e">
        <f>#REF!</f>
        <v>#REF!</v>
      </c>
      <c r="K13" s="19"/>
      <c r="L13" s="19"/>
      <c r="M13" s="109">
        <f>N13+O13+P13</f>
        <v>17244</v>
      </c>
      <c r="N13" s="110">
        <v>15000</v>
      </c>
      <c r="O13" s="110">
        <v>2244</v>
      </c>
      <c r="P13" s="110"/>
      <c r="Q13" s="18"/>
      <c r="R13" s="20">
        <f>S13+T13+U13</f>
        <v>178603</v>
      </c>
      <c r="S13" s="21">
        <v>169673</v>
      </c>
      <c r="T13" s="21">
        <f>S13/95*5</f>
        <v>8930</v>
      </c>
      <c r="U13" s="21"/>
      <c r="V13" s="21"/>
      <c r="W13" s="20">
        <f>X13+Y13+Z13</f>
        <v>0</v>
      </c>
      <c r="X13" s="21">
        <v>0</v>
      </c>
      <c r="Y13" s="21">
        <v>0</v>
      </c>
      <c r="Z13" s="21"/>
      <c r="AA13" s="21"/>
      <c r="AB13" s="20">
        <f>AC13+AD13+AE13</f>
        <v>0</v>
      </c>
      <c r="AC13" s="21"/>
      <c r="AD13" s="21"/>
      <c r="AE13" s="21"/>
      <c r="AF13" s="21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23" customFormat="1" ht="36.75" customHeight="1">
      <c r="A14" s="44" t="s">
        <v>194</v>
      </c>
      <c r="B14" s="17" t="s">
        <v>1</v>
      </c>
      <c r="C14" s="17" t="s">
        <v>191</v>
      </c>
      <c r="D14" s="37">
        <v>500000</v>
      </c>
      <c r="E14" s="18">
        <v>11323</v>
      </c>
      <c r="F14" s="13">
        <f>D14-E14</f>
        <v>488677</v>
      </c>
      <c r="G14" s="14" t="e">
        <f>SUM(H14:L14)</f>
        <v>#REF!</v>
      </c>
      <c r="H14" s="19" t="e">
        <f>#REF!</f>
        <v>#REF!</v>
      </c>
      <c r="I14" s="19" t="e">
        <f>#REF!</f>
        <v>#REF!</v>
      </c>
      <c r="J14" s="19" t="e">
        <f>#REF!</f>
        <v>#REF!</v>
      </c>
      <c r="K14" s="19"/>
      <c r="L14" s="19"/>
      <c r="M14" s="109">
        <f>N14+O14+P14</f>
        <v>0</v>
      </c>
      <c r="N14" s="110"/>
      <c r="O14" s="110"/>
      <c r="P14" s="110"/>
      <c r="Q14" s="18"/>
      <c r="R14" s="20">
        <f>S14+T14+U14</f>
        <v>6642</v>
      </c>
      <c r="S14" s="21"/>
      <c r="T14" s="21"/>
      <c r="U14" s="21">
        <v>6642</v>
      </c>
      <c r="V14" s="21"/>
      <c r="W14" s="20">
        <f>X14+Y14+Z14</f>
        <v>0</v>
      </c>
      <c r="X14" s="21"/>
      <c r="Y14" s="21"/>
      <c r="Z14" s="21"/>
      <c r="AA14" s="21"/>
      <c r="AB14" s="20">
        <f>AC14+AD14+AE14</f>
        <v>0</v>
      </c>
      <c r="AC14" s="21"/>
      <c r="AD14" s="21"/>
      <c r="AE14" s="21"/>
      <c r="AF14" s="21"/>
      <c r="AG14" s="20">
        <f>AH14+AI14+AJ14</f>
        <v>73685</v>
      </c>
      <c r="AH14" s="114">
        <v>70000</v>
      </c>
      <c r="AI14" s="114">
        <f>1053+2632</f>
        <v>3685</v>
      </c>
      <c r="AJ14" s="16"/>
      <c r="AK14" s="16"/>
      <c r="AL14" s="20">
        <f>AM14+AN14+AO14</f>
        <v>210000</v>
      </c>
      <c r="AM14" s="16">
        <f>210000*0.95</f>
        <v>199500</v>
      </c>
      <c r="AN14" s="16">
        <f>210000*0.05</f>
        <v>10500</v>
      </c>
      <c r="AO14" s="16"/>
      <c r="AP14" s="16"/>
      <c r="AQ14" s="16"/>
      <c r="AR14" s="16"/>
      <c r="AS14" s="16"/>
      <c r="AT14" s="20">
        <f>AU14+AV14+AW14</f>
        <v>56416</v>
      </c>
      <c r="AU14" s="21">
        <f>56416.04*0.95</f>
        <v>53595</v>
      </c>
      <c r="AV14" s="21">
        <f>56416.04*0.05</f>
        <v>2821</v>
      </c>
      <c r="AW14" s="16"/>
      <c r="AX14" s="16"/>
      <c r="AY14" s="16"/>
      <c r="AZ14" s="16"/>
      <c r="BA14" s="16"/>
    </row>
    <row r="15" spans="1:53" s="23" customFormat="1" ht="61.5" customHeight="1">
      <c r="A15" s="44" t="s">
        <v>414</v>
      </c>
      <c r="B15" s="17" t="s">
        <v>415</v>
      </c>
      <c r="C15" s="17" t="s">
        <v>416</v>
      </c>
      <c r="D15" s="37">
        <v>100159</v>
      </c>
      <c r="E15" s="18"/>
      <c r="F15" s="13"/>
      <c r="G15" s="14"/>
      <c r="H15" s="19"/>
      <c r="I15" s="19"/>
      <c r="J15" s="19"/>
      <c r="K15" s="19"/>
      <c r="L15" s="19"/>
      <c r="M15" s="109"/>
      <c r="N15" s="110"/>
      <c r="O15" s="110"/>
      <c r="P15" s="110"/>
      <c r="Q15" s="18"/>
      <c r="R15" s="20"/>
      <c r="S15" s="21"/>
      <c r="T15" s="21"/>
      <c r="U15" s="21"/>
      <c r="V15" s="21"/>
      <c r="W15" s="20">
        <f>X15+Y15+Z15</f>
        <v>60000</v>
      </c>
      <c r="X15" s="21">
        <f>60000*0.95</f>
        <v>57000</v>
      </c>
      <c r="Y15" s="21">
        <f>60000*0.05</f>
        <v>3000</v>
      </c>
      <c r="Z15" s="21"/>
      <c r="AA15" s="21"/>
      <c r="AB15" s="20">
        <f>AC15+AD15+AE15</f>
        <v>40159</v>
      </c>
      <c r="AC15" s="21">
        <f>40159*0.95</f>
        <v>38151</v>
      </c>
      <c r="AD15" s="21">
        <f>40159*0.05</f>
        <v>2008</v>
      </c>
      <c r="AE15" s="21"/>
      <c r="AF15" s="21"/>
      <c r="AG15" s="20"/>
      <c r="AH15" s="114"/>
      <c r="AI15" s="114"/>
      <c r="AJ15" s="16"/>
      <c r="AK15" s="16"/>
      <c r="AL15" s="20"/>
      <c r="AM15" s="16"/>
      <c r="AN15" s="16"/>
      <c r="AO15" s="16"/>
      <c r="AP15" s="16"/>
      <c r="AQ15" s="16"/>
      <c r="AR15" s="16"/>
      <c r="AS15" s="16"/>
      <c r="AT15" s="20"/>
      <c r="AU15" s="21"/>
      <c r="AV15" s="21"/>
      <c r="AW15" s="16"/>
      <c r="AX15" s="16"/>
      <c r="AY15" s="16"/>
      <c r="AZ15" s="16"/>
      <c r="BA15" s="16"/>
    </row>
    <row r="16" spans="1:53" s="15" customFormat="1" ht="70.5" customHeight="1">
      <c r="A16" s="48" t="s">
        <v>195</v>
      </c>
      <c r="B16" s="32" t="s">
        <v>76</v>
      </c>
      <c r="C16" s="32"/>
      <c r="D16" s="31">
        <f>D17+D18</f>
        <v>234310</v>
      </c>
      <c r="E16" s="31" t="e">
        <f>E17+E18+#REF!</f>
        <v>#REF!</v>
      </c>
      <c r="F16" s="31" t="e">
        <f>F17+F18+#REF!</f>
        <v>#REF!</v>
      </c>
      <c r="G16" s="31" t="e">
        <f>G17+G18+#REF!</f>
        <v>#REF!</v>
      </c>
      <c r="H16" s="31" t="e">
        <f>H17+H18+#REF!</f>
        <v>#REF!</v>
      </c>
      <c r="I16" s="31" t="e">
        <f>I17+I18+#REF!</f>
        <v>#REF!</v>
      </c>
      <c r="J16" s="31" t="e">
        <f>J17+J18+#REF!</f>
        <v>#REF!</v>
      </c>
      <c r="K16" s="31" t="e">
        <f>K17+K18+#REF!</f>
        <v>#REF!</v>
      </c>
      <c r="L16" s="31" t="e">
        <f>L17+L18+#REF!</f>
        <v>#REF!</v>
      </c>
      <c r="M16" s="31">
        <f aca="true" t="shared" si="3" ref="M16:BA16">M17+M18</f>
        <v>4201</v>
      </c>
      <c r="N16" s="31">
        <f t="shared" si="3"/>
        <v>1696</v>
      </c>
      <c r="O16" s="31">
        <f t="shared" si="3"/>
        <v>2505</v>
      </c>
      <c r="P16" s="31">
        <f t="shared" si="3"/>
        <v>0</v>
      </c>
      <c r="Q16" s="31">
        <f t="shared" si="3"/>
        <v>0</v>
      </c>
      <c r="R16" s="31">
        <f t="shared" si="3"/>
        <v>57835</v>
      </c>
      <c r="S16" s="31">
        <f t="shared" si="3"/>
        <v>0</v>
      </c>
      <c r="T16" s="31">
        <f t="shared" si="3"/>
        <v>2272</v>
      </c>
      <c r="U16" s="31">
        <f t="shared" si="3"/>
        <v>55563</v>
      </c>
      <c r="V16" s="31">
        <f t="shared" si="3"/>
        <v>0</v>
      </c>
      <c r="W16" s="31">
        <f t="shared" si="3"/>
        <v>61198</v>
      </c>
      <c r="X16" s="31">
        <f t="shared" si="3"/>
        <v>58138</v>
      </c>
      <c r="Y16" s="31">
        <f t="shared" si="3"/>
        <v>3060</v>
      </c>
      <c r="Z16" s="31">
        <f t="shared" si="3"/>
        <v>0</v>
      </c>
      <c r="AA16" s="31">
        <f t="shared" si="3"/>
        <v>0</v>
      </c>
      <c r="AB16" s="31">
        <f t="shared" si="3"/>
        <v>90000</v>
      </c>
      <c r="AC16" s="31">
        <f t="shared" si="3"/>
        <v>85500</v>
      </c>
      <c r="AD16" s="31">
        <f t="shared" si="3"/>
        <v>4500</v>
      </c>
      <c r="AE16" s="31">
        <f t="shared" si="3"/>
        <v>0</v>
      </c>
      <c r="AF16" s="31">
        <f t="shared" si="3"/>
        <v>0</v>
      </c>
      <c r="AG16" s="31">
        <f t="shared" si="3"/>
        <v>0</v>
      </c>
      <c r="AH16" s="31">
        <f t="shared" si="3"/>
        <v>0</v>
      </c>
      <c r="AI16" s="31">
        <f t="shared" si="3"/>
        <v>0</v>
      </c>
      <c r="AJ16" s="31">
        <f t="shared" si="3"/>
        <v>0</v>
      </c>
      <c r="AK16" s="31"/>
      <c r="AL16" s="31">
        <f t="shared" si="3"/>
        <v>0</v>
      </c>
      <c r="AM16" s="31">
        <f t="shared" si="3"/>
        <v>0</v>
      </c>
      <c r="AN16" s="31">
        <f t="shared" si="3"/>
        <v>0</v>
      </c>
      <c r="AO16" s="31">
        <f t="shared" si="3"/>
        <v>0</v>
      </c>
      <c r="AP16" s="31">
        <f t="shared" si="3"/>
        <v>0</v>
      </c>
      <c r="AQ16" s="31">
        <f t="shared" si="3"/>
        <v>0</v>
      </c>
      <c r="AR16" s="31">
        <f t="shared" si="3"/>
        <v>0</v>
      </c>
      <c r="AS16" s="31">
        <f t="shared" si="3"/>
        <v>0</v>
      </c>
      <c r="AT16" s="31">
        <f t="shared" si="3"/>
        <v>0</v>
      </c>
      <c r="AU16" s="31">
        <f t="shared" si="3"/>
        <v>0</v>
      </c>
      <c r="AV16" s="31">
        <f t="shared" si="3"/>
        <v>0</v>
      </c>
      <c r="AW16" s="31">
        <f t="shared" si="3"/>
        <v>0</v>
      </c>
      <c r="AX16" s="31">
        <f t="shared" si="3"/>
        <v>0</v>
      </c>
      <c r="AY16" s="31">
        <f t="shared" si="3"/>
        <v>0</v>
      </c>
      <c r="AZ16" s="31">
        <f t="shared" si="3"/>
        <v>0</v>
      </c>
      <c r="BA16" s="31">
        <f t="shared" si="3"/>
        <v>0</v>
      </c>
    </row>
    <row r="17" spans="1:53" s="15" customFormat="1" ht="46.5" customHeight="1">
      <c r="A17" s="75" t="s">
        <v>51</v>
      </c>
      <c r="B17" s="73" t="s">
        <v>193</v>
      </c>
      <c r="C17" s="17"/>
      <c r="D17" s="70">
        <v>82160</v>
      </c>
      <c r="E17" s="70"/>
      <c r="F17" s="70"/>
      <c r="G17" s="70"/>
      <c r="H17" s="70"/>
      <c r="I17" s="70"/>
      <c r="J17" s="70"/>
      <c r="K17" s="70"/>
      <c r="L17" s="70"/>
      <c r="M17" s="109">
        <f>N17+O17</f>
        <v>4201</v>
      </c>
      <c r="N17" s="110">
        <v>1696</v>
      </c>
      <c r="O17" s="110">
        <f>464+2041</f>
        <v>2505</v>
      </c>
      <c r="P17" s="110"/>
      <c r="Q17" s="69"/>
      <c r="R17" s="70">
        <f>S17+T17+U17</f>
        <v>56883</v>
      </c>
      <c r="S17" s="71"/>
      <c r="T17" s="71">
        <v>1320</v>
      </c>
      <c r="U17" s="71">
        <f>40000+15563</f>
        <v>55563</v>
      </c>
      <c r="V17" s="71"/>
      <c r="W17" s="70">
        <f>X17+Y17+Z17</f>
        <v>0</v>
      </c>
      <c r="X17" s="71"/>
      <c r="Y17" s="71"/>
      <c r="Z17" s="71">
        <v>0</v>
      </c>
      <c r="AA17" s="71"/>
      <c r="AB17" s="70"/>
      <c r="AC17" s="71"/>
      <c r="AD17" s="71"/>
      <c r="AE17" s="71"/>
      <c r="AF17" s="71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s="15" customFormat="1" ht="24" customHeight="1">
      <c r="A18" s="75" t="s">
        <v>196</v>
      </c>
      <c r="B18" s="73" t="s">
        <v>2</v>
      </c>
      <c r="C18" s="73" t="s">
        <v>161</v>
      </c>
      <c r="D18" s="70">
        <v>152150</v>
      </c>
      <c r="E18" s="70"/>
      <c r="F18" s="70"/>
      <c r="G18" s="70"/>
      <c r="H18" s="70"/>
      <c r="I18" s="70"/>
      <c r="J18" s="70"/>
      <c r="K18" s="70"/>
      <c r="L18" s="70"/>
      <c r="M18" s="109"/>
      <c r="N18" s="110"/>
      <c r="O18" s="110"/>
      <c r="P18" s="110"/>
      <c r="Q18" s="69"/>
      <c r="R18" s="70">
        <f>S18+T18</f>
        <v>952</v>
      </c>
      <c r="S18" s="71">
        <v>0</v>
      </c>
      <c r="T18" s="71">
        <v>952</v>
      </c>
      <c r="U18" s="71"/>
      <c r="V18" s="71"/>
      <c r="W18" s="70">
        <f>X18+Y18</f>
        <v>61198</v>
      </c>
      <c r="X18" s="71">
        <f>61198*0.95</f>
        <v>58138</v>
      </c>
      <c r="Y18" s="71">
        <f>61198*0.05</f>
        <v>3060</v>
      </c>
      <c r="Z18" s="71"/>
      <c r="AA18" s="71"/>
      <c r="AB18" s="70">
        <f>AC18+AD18</f>
        <v>90000</v>
      </c>
      <c r="AC18" s="71">
        <f>90000*0.95</f>
        <v>85500</v>
      </c>
      <c r="AD18" s="71">
        <f>90000*0.05</f>
        <v>4500</v>
      </c>
      <c r="AE18" s="71"/>
      <c r="AF18" s="71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s="34" customFormat="1" ht="37.5" customHeight="1">
      <c r="A19" s="48" t="s">
        <v>197</v>
      </c>
      <c r="B19" s="32" t="s">
        <v>77</v>
      </c>
      <c r="C19" s="32"/>
      <c r="D19" s="31">
        <f>D20+D29</f>
        <v>2399442</v>
      </c>
      <c r="E19" s="31"/>
      <c r="F19" s="31"/>
      <c r="G19" s="31"/>
      <c r="H19" s="31"/>
      <c r="I19" s="31"/>
      <c r="J19" s="31"/>
      <c r="K19" s="31"/>
      <c r="L19" s="31"/>
      <c r="M19" s="109" t="e">
        <f>M20+#REF!</f>
        <v>#REF!</v>
      </c>
      <c r="N19" s="110" t="e">
        <f>N20+#REF!</f>
        <v>#REF!</v>
      </c>
      <c r="O19" s="110" t="e">
        <f>O20+#REF!</f>
        <v>#REF!</v>
      </c>
      <c r="P19" s="110" t="e">
        <f>P20+#REF!</f>
        <v>#REF!</v>
      </c>
      <c r="Q19" s="31"/>
      <c r="R19" s="31">
        <f aca="true" t="shared" si="4" ref="R19:BA19">R20+R29</f>
        <v>42958</v>
      </c>
      <c r="S19" s="31">
        <f t="shared" si="4"/>
        <v>7145</v>
      </c>
      <c r="T19" s="31">
        <f t="shared" si="4"/>
        <v>19894</v>
      </c>
      <c r="U19" s="31">
        <f t="shared" si="4"/>
        <v>15919</v>
      </c>
      <c r="V19" s="31">
        <f t="shared" si="4"/>
        <v>0</v>
      </c>
      <c r="W19" s="31">
        <f t="shared" si="4"/>
        <v>828706</v>
      </c>
      <c r="X19" s="31">
        <f t="shared" si="4"/>
        <v>108141</v>
      </c>
      <c r="Y19" s="31">
        <f t="shared" si="4"/>
        <v>119194</v>
      </c>
      <c r="Z19" s="31">
        <f t="shared" si="4"/>
        <v>35000</v>
      </c>
      <c r="AA19" s="31">
        <f t="shared" si="4"/>
        <v>566371</v>
      </c>
      <c r="AB19" s="31">
        <f t="shared" si="4"/>
        <v>635261</v>
      </c>
      <c r="AC19" s="31">
        <f t="shared" si="4"/>
        <v>62190</v>
      </c>
      <c r="AD19" s="31">
        <f t="shared" si="4"/>
        <v>14890</v>
      </c>
      <c r="AE19" s="31">
        <f t="shared" si="4"/>
        <v>0</v>
      </c>
      <c r="AF19" s="31">
        <f t="shared" si="4"/>
        <v>566371</v>
      </c>
      <c r="AG19" s="31">
        <f t="shared" si="4"/>
        <v>352965</v>
      </c>
      <c r="AH19" s="31">
        <f t="shared" si="4"/>
        <v>209800</v>
      </c>
      <c r="AI19" s="31">
        <f t="shared" si="4"/>
        <v>64200</v>
      </c>
      <c r="AJ19" s="31">
        <f t="shared" si="4"/>
        <v>0</v>
      </c>
      <c r="AK19" s="31">
        <f t="shared" si="4"/>
        <v>78965</v>
      </c>
      <c r="AL19" s="31">
        <f t="shared" si="4"/>
        <v>142000</v>
      </c>
      <c r="AM19" s="31">
        <f t="shared" si="4"/>
        <v>91000</v>
      </c>
      <c r="AN19" s="31">
        <f t="shared" si="4"/>
        <v>51000</v>
      </c>
      <c r="AO19" s="31">
        <f t="shared" si="4"/>
        <v>0</v>
      </c>
      <c r="AP19" s="31">
        <f t="shared" si="4"/>
        <v>35000</v>
      </c>
      <c r="AQ19" s="31">
        <f t="shared" si="4"/>
        <v>17500</v>
      </c>
      <c r="AR19" s="31">
        <f t="shared" si="4"/>
        <v>17500</v>
      </c>
      <c r="AS19" s="31">
        <f t="shared" si="4"/>
        <v>0</v>
      </c>
      <c r="AT19" s="31">
        <f t="shared" si="4"/>
        <v>30000</v>
      </c>
      <c r="AU19" s="31">
        <f t="shared" si="4"/>
        <v>0</v>
      </c>
      <c r="AV19" s="31">
        <f t="shared" si="4"/>
        <v>15000</v>
      </c>
      <c r="AW19" s="31">
        <f t="shared" si="4"/>
        <v>15000</v>
      </c>
      <c r="AX19" s="31">
        <f t="shared" si="4"/>
        <v>0</v>
      </c>
      <c r="AY19" s="31">
        <f t="shared" si="4"/>
        <v>0</v>
      </c>
      <c r="AZ19" s="31">
        <f t="shared" si="4"/>
        <v>0</v>
      </c>
      <c r="BA19" s="31">
        <f t="shared" si="4"/>
        <v>0</v>
      </c>
    </row>
    <row r="20" spans="1:53" s="77" customFormat="1" ht="32.25">
      <c r="A20" s="125" t="s">
        <v>198</v>
      </c>
      <c r="B20" s="100" t="s">
        <v>158</v>
      </c>
      <c r="C20" s="80"/>
      <c r="D20" s="56">
        <f>D21+D22+D24+D28</f>
        <v>1569897</v>
      </c>
      <c r="E20" s="56"/>
      <c r="F20" s="56"/>
      <c r="G20" s="56"/>
      <c r="H20" s="56"/>
      <c r="I20" s="56"/>
      <c r="J20" s="56"/>
      <c r="K20" s="56"/>
      <c r="L20" s="56"/>
      <c r="M20" s="109" t="e">
        <f>M21+M22+M24+#REF!</f>
        <v>#REF!</v>
      </c>
      <c r="N20" s="110" t="e">
        <f>N21+N22+N24+#REF!</f>
        <v>#REF!</v>
      </c>
      <c r="O20" s="110" t="e">
        <f>O21+O22+O24+#REF!</f>
        <v>#REF!</v>
      </c>
      <c r="P20" s="110" t="e">
        <f>P21+P22+P24+#REF!</f>
        <v>#REF!</v>
      </c>
      <c r="Q20" s="56"/>
      <c r="R20" s="56">
        <f aca="true" t="shared" si="5" ref="R20:BA20">R21+R22+R24+R28</f>
        <v>23858</v>
      </c>
      <c r="S20" s="56">
        <f t="shared" si="5"/>
        <v>7145</v>
      </c>
      <c r="T20" s="56">
        <f t="shared" si="5"/>
        <v>794</v>
      </c>
      <c r="U20" s="56">
        <f t="shared" si="5"/>
        <v>15919</v>
      </c>
      <c r="V20" s="56">
        <f t="shared" si="5"/>
        <v>0</v>
      </c>
      <c r="W20" s="56">
        <f t="shared" si="5"/>
        <v>566371</v>
      </c>
      <c r="X20" s="56">
        <f t="shared" si="5"/>
        <v>0</v>
      </c>
      <c r="Y20" s="56">
        <f t="shared" si="5"/>
        <v>0</v>
      </c>
      <c r="Z20" s="56">
        <f t="shared" si="5"/>
        <v>0</v>
      </c>
      <c r="AA20" s="56">
        <f t="shared" si="5"/>
        <v>566371</v>
      </c>
      <c r="AB20" s="56">
        <f t="shared" si="5"/>
        <v>566371</v>
      </c>
      <c r="AC20" s="56">
        <f t="shared" si="5"/>
        <v>0</v>
      </c>
      <c r="AD20" s="56">
        <f t="shared" si="5"/>
        <v>0</v>
      </c>
      <c r="AE20" s="56">
        <f t="shared" si="5"/>
        <v>0</v>
      </c>
      <c r="AF20" s="56">
        <f t="shared" si="5"/>
        <v>566371</v>
      </c>
      <c r="AG20" s="56">
        <f t="shared" si="5"/>
        <v>78965</v>
      </c>
      <c r="AH20" s="56">
        <f t="shared" si="5"/>
        <v>0</v>
      </c>
      <c r="AI20" s="56">
        <f t="shared" si="5"/>
        <v>0</v>
      </c>
      <c r="AJ20" s="56">
        <f t="shared" si="5"/>
        <v>0</v>
      </c>
      <c r="AK20" s="56">
        <f t="shared" si="5"/>
        <v>78965</v>
      </c>
      <c r="AL20" s="56">
        <f t="shared" si="5"/>
        <v>0</v>
      </c>
      <c r="AM20" s="56">
        <f t="shared" si="5"/>
        <v>0</v>
      </c>
      <c r="AN20" s="56">
        <f t="shared" si="5"/>
        <v>0</v>
      </c>
      <c r="AO20" s="56">
        <f t="shared" si="5"/>
        <v>0</v>
      </c>
      <c r="AP20" s="56">
        <f t="shared" si="5"/>
        <v>0</v>
      </c>
      <c r="AQ20" s="56">
        <f t="shared" si="5"/>
        <v>0</v>
      </c>
      <c r="AR20" s="56">
        <f t="shared" si="5"/>
        <v>0</v>
      </c>
      <c r="AS20" s="56">
        <f t="shared" si="5"/>
        <v>0</v>
      </c>
      <c r="AT20" s="56">
        <f t="shared" si="5"/>
        <v>0</v>
      </c>
      <c r="AU20" s="56">
        <f t="shared" si="5"/>
        <v>0</v>
      </c>
      <c r="AV20" s="56">
        <f t="shared" si="5"/>
        <v>0</v>
      </c>
      <c r="AW20" s="56">
        <f t="shared" si="5"/>
        <v>0</v>
      </c>
      <c r="AX20" s="56">
        <f t="shared" si="5"/>
        <v>0</v>
      </c>
      <c r="AY20" s="56">
        <f t="shared" si="5"/>
        <v>0</v>
      </c>
      <c r="AZ20" s="56">
        <f t="shared" si="5"/>
        <v>0</v>
      </c>
      <c r="BA20" s="56">
        <f t="shared" si="5"/>
        <v>0</v>
      </c>
    </row>
    <row r="21" spans="1:53" s="77" customFormat="1" ht="33.75">
      <c r="A21" s="75" t="s">
        <v>199</v>
      </c>
      <c r="B21" s="73" t="s">
        <v>78</v>
      </c>
      <c r="C21" s="73" t="s">
        <v>23</v>
      </c>
      <c r="D21" s="20">
        <v>358190</v>
      </c>
      <c r="E21" s="70"/>
      <c r="F21" s="70"/>
      <c r="G21" s="70"/>
      <c r="H21" s="70"/>
      <c r="I21" s="70"/>
      <c r="J21" s="70"/>
      <c r="K21" s="70"/>
      <c r="L21" s="70"/>
      <c r="M21" s="109"/>
      <c r="N21" s="110"/>
      <c r="O21" s="110"/>
      <c r="P21" s="110"/>
      <c r="Q21" s="83"/>
      <c r="R21" s="20">
        <f>S21+T21+U21+V21</f>
        <v>23858</v>
      </c>
      <c r="S21" s="71">
        <v>7145</v>
      </c>
      <c r="T21" s="71">
        <v>794</v>
      </c>
      <c r="U21" s="71">
        <v>15919</v>
      </c>
      <c r="V21" s="71"/>
      <c r="W21" s="70"/>
      <c r="X21" s="71"/>
      <c r="Y21" s="71"/>
      <c r="Z21" s="71"/>
      <c r="AA21" s="71"/>
      <c r="AB21" s="70"/>
      <c r="AC21" s="71"/>
      <c r="AD21" s="71"/>
      <c r="AE21" s="71"/>
      <c r="AF21" s="71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1:53" ht="30" customHeight="1">
      <c r="A22" s="43" t="s">
        <v>200</v>
      </c>
      <c r="B22" s="17" t="s">
        <v>85</v>
      </c>
      <c r="C22" s="24" t="s">
        <v>22</v>
      </c>
      <c r="D22" s="37">
        <v>361707</v>
      </c>
      <c r="E22" s="25">
        <v>3304</v>
      </c>
      <c r="F22" s="13">
        <f>D22-E22</f>
        <v>358403</v>
      </c>
      <c r="G22" s="14">
        <f>SUM(H22:L22)</f>
        <v>265</v>
      </c>
      <c r="H22" s="19"/>
      <c r="I22" s="19">
        <v>265</v>
      </c>
      <c r="J22" s="19"/>
      <c r="K22" s="19"/>
      <c r="L22" s="19"/>
      <c r="M22" s="109">
        <f>N22+O22+P22</f>
        <v>0</v>
      </c>
      <c r="N22" s="110"/>
      <c r="O22" s="110"/>
      <c r="P22" s="110"/>
      <c r="Q22" s="25"/>
      <c r="R22" s="20"/>
      <c r="S22" s="21"/>
      <c r="T22" s="21"/>
      <c r="U22" s="21"/>
      <c r="V22" s="21"/>
      <c r="W22" s="20">
        <f>X22+Y22+Z22+AA22</f>
        <v>141371</v>
      </c>
      <c r="X22" s="21"/>
      <c r="Y22" s="21"/>
      <c r="Z22" s="21"/>
      <c r="AA22" s="21">
        <v>141371</v>
      </c>
      <c r="AB22" s="20">
        <f>AC22+AD22+AE22+AF22</f>
        <v>141371</v>
      </c>
      <c r="AC22" s="21"/>
      <c r="AD22" s="21"/>
      <c r="AE22" s="21"/>
      <c r="AF22" s="21">
        <v>141371</v>
      </c>
      <c r="AG22" s="20">
        <f>AH22+AI22+AJ22+AK22</f>
        <v>78965</v>
      </c>
      <c r="AH22" s="21"/>
      <c r="AI22" s="21"/>
      <c r="AJ22" s="21"/>
      <c r="AK22" s="21">
        <v>78965</v>
      </c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42.75" customHeight="1" hidden="1">
      <c r="A23" s="43">
        <v>4</v>
      </c>
      <c r="B23" s="17" t="s">
        <v>28</v>
      </c>
      <c r="C23" s="24"/>
      <c r="D23" s="37"/>
      <c r="E23" s="25"/>
      <c r="F23" s="13">
        <f>D23-E23</f>
        <v>0</v>
      </c>
      <c r="G23" s="14"/>
      <c r="H23" s="19"/>
      <c r="I23" s="19"/>
      <c r="J23" s="19"/>
      <c r="K23" s="19"/>
      <c r="L23" s="19"/>
      <c r="M23" s="109" t="e">
        <f>N23+O23+P23+#REF!+#REF!</f>
        <v>#REF!</v>
      </c>
      <c r="N23" s="110"/>
      <c r="O23" s="110"/>
      <c r="P23" s="110"/>
      <c r="Q23" s="25"/>
      <c r="R23" s="20">
        <f>S23+T23+U23+V23</f>
        <v>0</v>
      </c>
      <c r="S23" s="21"/>
      <c r="T23" s="21"/>
      <c r="U23" s="21"/>
      <c r="V23" s="21"/>
      <c r="W23" s="20"/>
      <c r="X23" s="21"/>
      <c r="Y23" s="21"/>
      <c r="Z23" s="21"/>
      <c r="AA23" s="21"/>
      <c r="AB23" s="20"/>
      <c r="AC23" s="21"/>
      <c r="AD23" s="21"/>
      <c r="AE23" s="21"/>
      <c r="AF23" s="21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22.5">
      <c r="A24" s="43" t="s">
        <v>201</v>
      </c>
      <c r="B24" s="24" t="s">
        <v>86</v>
      </c>
      <c r="C24" s="24" t="s">
        <v>87</v>
      </c>
      <c r="D24" s="38">
        <v>850000</v>
      </c>
      <c r="E24" s="25"/>
      <c r="F24" s="13">
        <f>D24-E24</f>
        <v>850000</v>
      </c>
      <c r="G24" s="14"/>
      <c r="H24" s="19"/>
      <c r="I24" s="19"/>
      <c r="J24" s="19"/>
      <c r="K24" s="19"/>
      <c r="L24" s="19"/>
      <c r="M24" s="109">
        <f>N24+O24+P24</f>
        <v>0</v>
      </c>
      <c r="N24" s="110"/>
      <c r="O24" s="110"/>
      <c r="P24" s="110"/>
      <c r="Q24" s="25"/>
      <c r="R24" s="20">
        <v>0</v>
      </c>
      <c r="S24" s="21"/>
      <c r="T24" s="21"/>
      <c r="U24" s="21"/>
      <c r="V24" s="21"/>
      <c r="W24" s="20">
        <f>X24+Y24+Z24+AA24</f>
        <v>425000</v>
      </c>
      <c r="X24" s="21"/>
      <c r="Y24" s="21"/>
      <c r="Z24" s="21"/>
      <c r="AA24" s="21">
        <v>425000</v>
      </c>
      <c r="AB24" s="20">
        <f>AC24+AD24+AE24+AF24</f>
        <v>425000</v>
      </c>
      <c r="AC24" s="21"/>
      <c r="AD24" s="21"/>
      <c r="AE24" s="21"/>
      <c r="AF24" s="21">
        <v>425000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11.25" hidden="1">
      <c r="A25" s="43"/>
      <c r="B25" s="24" t="e">
        <f>#REF!</f>
        <v>#REF!</v>
      </c>
      <c r="C25" s="24"/>
      <c r="D25" s="38"/>
      <c r="E25" s="25"/>
      <c r="F25" s="13"/>
      <c r="G25" s="14" t="e">
        <f>SUM(H25:L25)</f>
        <v>#REF!</v>
      </c>
      <c r="H25" s="19" t="e">
        <f>#REF!</f>
        <v>#REF!</v>
      </c>
      <c r="I25" s="19" t="e">
        <f>#REF!</f>
        <v>#REF!</v>
      </c>
      <c r="J25" s="19" t="e">
        <f>#REF!</f>
        <v>#REF!</v>
      </c>
      <c r="K25" s="19"/>
      <c r="L25" s="19"/>
      <c r="M25" s="109" t="e">
        <f>N25+O25+P25+#REF!+#REF!</f>
        <v>#REF!</v>
      </c>
      <c r="N25" s="110"/>
      <c r="O25" s="110"/>
      <c r="P25" s="110"/>
      <c r="Q25" s="25"/>
      <c r="R25" s="20" t="e">
        <f>S25+T25+U25+#REF!+#REF!</f>
        <v>#REF!</v>
      </c>
      <c r="S25" s="21"/>
      <c r="T25" s="21"/>
      <c r="U25" s="21"/>
      <c r="V25" s="21"/>
      <c r="W25" s="20" t="e">
        <f>X25+Y25+Z25+#REF!+#REF!</f>
        <v>#REF!</v>
      </c>
      <c r="X25" s="21"/>
      <c r="Y25" s="21"/>
      <c r="Z25" s="21"/>
      <c r="AA25" s="21"/>
      <c r="AB25" s="20" t="e">
        <f>AC25+AD25+AE25+#REF!+#REF!</f>
        <v>#REF!</v>
      </c>
      <c r="AC25" s="21"/>
      <c r="AD25" s="21"/>
      <c r="AE25" s="21"/>
      <c r="AF25" s="21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1.25" hidden="1">
      <c r="A26" s="43"/>
      <c r="B26" s="24" t="e">
        <f>#REF!</f>
        <v>#REF!</v>
      </c>
      <c r="C26" s="24"/>
      <c r="D26" s="38"/>
      <c r="E26" s="25"/>
      <c r="F26" s="13"/>
      <c r="G26" s="14" t="e">
        <f>SUM(H26:L26)</f>
        <v>#REF!</v>
      </c>
      <c r="H26" s="19" t="e">
        <f>#REF!</f>
        <v>#REF!</v>
      </c>
      <c r="I26" s="19" t="e">
        <f>#REF!</f>
        <v>#REF!</v>
      </c>
      <c r="J26" s="19" t="e">
        <f>#REF!</f>
        <v>#REF!</v>
      </c>
      <c r="K26" s="19"/>
      <c r="L26" s="19"/>
      <c r="M26" s="109" t="e">
        <f>N26+O26+P26+#REF!+#REF!</f>
        <v>#REF!</v>
      </c>
      <c r="N26" s="110"/>
      <c r="O26" s="110"/>
      <c r="P26" s="110"/>
      <c r="Q26" s="25"/>
      <c r="R26" s="20" t="e">
        <f>S26+T26+U26+#REF!+#REF!</f>
        <v>#REF!</v>
      </c>
      <c r="S26" s="21"/>
      <c r="T26" s="21"/>
      <c r="U26" s="21"/>
      <c r="V26" s="21"/>
      <c r="W26" s="20" t="e">
        <f>X26+Y26+Z26+#REF!+#REF!</f>
        <v>#REF!</v>
      </c>
      <c r="X26" s="21"/>
      <c r="Y26" s="21"/>
      <c r="Z26" s="21"/>
      <c r="AA26" s="21"/>
      <c r="AB26" s="20" t="e">
        <f>AC26+AD26+AE26+#REF!+#REF!</f>
        <v>#REF!</v>
      </c>
      <c r="AC26" s="21"/>
      <c r="AD26" s="21"/>
      <c r="AE26" s="21"/>
      <c r="AF26" s="21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11.25" hidden="1">
      <c r="A27" s="43"/>
      <c r="B27" s="24"/>
      <c r="C27" s="24"/>
      <c r="D27" s="38"/>
      <c r="E27" s="25"/>
      <c r="F27" s="38"/>
      <c r="G27" s="14"/>
      <c r="H27" s="19"/>
      <c r="I27" s="19"/>
      <c r="J27" s="19"/>
      <c r="K27" s="19"/>
      <c r="L27" s="19"/>
      <c r="M27" s="109"/>
      <c r="N27" s="110"/>
      <c r="O27" s="110"/>
      <c r="P27" s="110"/>
      <c r="Q27" s="25"/>
      <c r="R27" s="20"/>
      <c r="S27" s="21"/>
      <c r="T27" s="21"/>
      <c r="U27" s="21"/>
      <c r="V27" s="21"/>
      <c r="W27" s="20"/>
      <c r="X27" s="21"/>
      <c r="Y27" s="21"/>
      <c r="Z27" s="21"/>
      <c r="AA27" s="21"/>
      <c r="AB27" s="20"/>
      <c r="AC27" s="21"/>
      <c r="AD27" s="21"/>
      <c r="AE27" s="21"/>
      <c r="AF27" s="21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56.25">
      <c r="A28" s="43" t="s">
        <v>56</v>
      </c>
      <c r="B28" s="24" t="s">
        <v>108</v>
      </c>
      <c r="C28" s="24" t="s">
        <v>109</v>
      </c>
      <c r="D28" s="38">
        <f>375686-375686</f>
        <v>0</v>
      </c>
      <c r="E28" s="25"/>
      <c r="F28" s="38"/>
      <c r="G28" s="14"/>
      <c r="H28" s="19"/>
      <c r="I28" s="19"/>
      <c r="J28" s="19"/>
      <c r="K28" s="19"/>
      <c r="L28" s="19"/>
      <c r="M28" s="20"/>
      <c r="N28" s="21"/>
      <c r="O28" s="21"/>
      <c r="P28" s="21"/>
      <c r="Q28" s="25"/>
      <c r="R28" s="20">
        <f>141375+124000-265375</f>
        <v>0</v>
      </c>
      <c r="S28" s="21"/>
      <c r="T28" s="21"/>
      <c r="U28" s="21"/>
      <c r="V28" s="21"/>
      <c r="W28" s="20"/>
      <c r="X28" s="21"/>
      <c r="Y28" s="21"/>
      <c r="Z28" s="21"/>
      <c r="AA28" s="20"/>
      <c r="AB28" s="21"/>
      <c r="AC28" s="21"/>
      <c r="AD28" s="21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s="15" customFormat="1" ht="77.25" customHeight="1">
      <c r="A29" s="125" t="s">
        <v>57</v>
      </c>
      <c r="B29" s="100" t="s">
        <v>159</v>
      </c>
      <c r="C29" s="81"/>
      <c r="D29" s="52">
        <f>SUM(D30:D71)</f>
        <v>829545</v>
      </c>
      <c r="E29" s="82"/>
      <c r="F29" s="52"/>
      <c r="G29" s="56"/>
      <c r="H29" s="61"/>
      <c r="I29" s="61"/>
      <c r="J29" s="61"/>
      <c r="K29" s="61"/>
      <c r="L29" s="61"/>
      <c r="M29" s="109">
        <f>M30+M31+M36+M37+M38+M39+M40</f>
        <v>63214</v>
      </c>
      <c r="N29" s="110">
        <f>N30+N31+N36+N37+N38+N39+N40</f>
        <v>28954</v>
      </c>
      <c r="O29" s="110">
        <f>O30+O31+O36+O37+O38+O39+O40</f>
        <v>34260</v>
      </c>
      <c r="P29" s="110"/>
      <c r="Q29" s="52">
        <f aca="true" t="shared" si="6" ref="Q29:AJ29">SUM(Q30:Q71)</f>
        <v>0</v>
      </c>
      <c r="R29" s="52">
        <f t="shared" si="6"/>
        <v>19100</v>
      </c>
      <c r="S29" s="52">
        <f t="shared" si="6"/>
        <v>0</v>
      </c>
      <c r="T29" s="52">
        <f t="shared" si="6"/>
        <v>19100</v>
      </c>
      <c r="U29" s="52">
        <f t="shared" si="6"/>
        <v>0</v>
      </c>
      <c r="V29" s="52">
        <f t="shared" si="6"/>
        <v>0</v>
      </c>
      <c r="W29" s="52">
        <f t="shared" si="6"/>
        <v>262335</v>
      </c>
      <c r="X29" s="52">
        <f t="shared" si="6"/>
        <v>108141</v>
      </c>
      <c r="Y29" s="52">
        <f t="shared" si="6"/>
        <v>119194</v>
      </c>
      <c r="Z29" s="52">
        <f t="shared" si="6"/>
        <v>35000</v>
      </c>
      <c r="AA29" s="52">
        <f t="shared" si="6"/>
        <v>0</v>
      </c>
      <c r="AB29" s="52">
        <f t="shared" si="6"/>
        <v>68890</v>
      </c>
      <c r="AC29" s="52">
        <f t="shared" si="6"/>
        <v>62190</v>
      </c>
      <c r="AD29" s="52">
        <f t="shared" si="6"/>
        <v>14890</v>
      </c>
      <c r="AE29" s="52">
        <f t="shared" si="6"/>
        <v>0</v>
      </c>
      <c r="AF29" s="52">
        <f t="shared" si="6"/>
        <v>0</v>
      </c>
      <c r="AG29" s="52">
        <f t="shared" si="6"/>
        <v>274000</v>
      </c>
      <c r="AH29" s="52">
        <f t="shared" si="6"/>
        <v>209800</v>
      </c>
      <c r="AI29" s="52">
        <f t="shared" si="6"/>
        <v>64200</v>
      </c>
      <c r="AJ29" s="52">
        <f t="shared" si="6"/>
        <v>0</v>
      </c>
      <c r="AK29" s="52"/>
      <c r="AL29" s="52">
        <f aca="true" t="shared" si="7" ref="AL29:BA29">SUM(AL30:AL71)</f>
        <v>142000</v>
      </c>
      <c r="AM29" s="52">
        <f t="shared" si="7"/>
        <v>91000</v>
      </c>
      <c r="AN29" s="52">
        <f t="shared" si="7"/>
        <v>51000</v>
      </c>
      <c r="AO29" s="52">
        <f t="shared" si="7"/>
        <v>0</v>
      </c>
      <c r="AP29" s="52">
        <f t="shared" si="7"/>
        <v>35000</v>
      </c>
      <c r="AQ29" s="52">
        <f t="shared" si="7"/>
        <v>17500</v>
      </c>
      <c r="AR29" s="52">
        <f t="shared" si="7"/>
        <v>17500</v>
      </c>
      <c r="AS29" s="52">
        <f t="shared" si="7"/>
        <v>0</v>
      </c>
      <c r="AT29" s="52">
        <f t="shared" si="7"/>
        <v>30000</v>
      </c>
      <c r="AU29" s="52">
        <f t="shared" si="7"/>
        <v>0</v>
      </c>
      <c r="AV29" s="52">
        <f t="shared" si="7"/>
        <v>15000</v>
      </c>
      <c r="AW29" s="52">
        <f t="shared" si="7"/>
        <v>15000</v>
      </c>
      <c r="AX29" s="52">
        <f t="shared" si="7"/>
        <v>0</v>
      </c>
      <c r="AY29" s="52">
        <f t="shared" si="7"/>
        <v>0</v>
      </c>
      <c r="AZ29" s="52">
        <f t="shared" si="7"/>
        <v>0</v>
      </c>
      <c r="BA29" s="52">
        <f t="shared" si="7"/>
        <v>0</v>
      </c>
    </row>
    <row r="30" spans="1:53" s="15" customFormat="1" ht="16.5" customHeight="1">
      <c r="A30" s="43" t="s">
        <v>58</v>
      </c>
      <c r="B30" s="24" t="s">
        <v>229</v>
      </c>
      <c r="C30" s="24"/>
      <c r="D30" s="38">
        <f>R30+W30+AB30+AG30+AL30+AP30+AT30+AX30</f>
        <v>0</v>
      </c>
      <c r="E30" s="25"/>
      <c r="F30" s="38"/>
      <c r="G30" s="14"/>
      <c r="H30" s="19"/>
      <c r="I30" s="19"/>
      <c r="J30" s="19"/>
      <c r="K30" s="19"/>
      <c r="L30" s="19"/>
      <c r="M30" s="109">
        <f>N30+O30</f>
        <v>8681</v>
      </c>
      <c r="N30" s="110">
        <v>4948</v>
      </c>
      <c r="O30" s="110">
        <v>3733</v>
      </c>
      <c r="P30" s="110"/>
      <c r="Q30" s="25"/>
      <c r="R30" s="20"/>
      <c r="S30" s="21"/>
      <c r="T30" s="21"/>
      <c r="U30" s="21"/>
      <c r="V30" s="21"/>
      <c r="W30" s="20"/>
      <c r="X30" s="21"/>
      <c r="Y30" s="21"/>
      <c r="Z30" s="21"/>
      <c r="AA30" s="21"/>
      <c r="AB30" s="20"/>
      <c r="AC30" s="21"/>
      <c r="AD30" s="21"/>
      <c r="AE30" s="21"/>
      <c r="AF30" s="21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s="15" customFormat="1" ht="12.75" customHeight="1">
      <c r="A31" s="43" t="s">
        <v>59</v>
      </c>
      <c r="B31" s="24" t="s">
        <v>231</v>
      </c>
      <c r="C31" s="24"/>
      <c r="D31" s="38">
        <f aca="true" t="shared" si="8" ref="D31:D71">R31+W31+AB31+AG31+AL31+AP31+AT31+AX31</f>
        <v>1500</v>
      </c>
      <c r="E31" s="25"/>
      <c r="F31" s="38"/>
      <c r="G31" s="14"/>
      <c r="H31" s="19"/>
      <c r="I31" s="19"/>
      <c r="J31" s="19"/>
      <c r="K31" s="19"/>
      <c r="L31" s="19"/>
      <c r="M31" s="109">
        <f>N31+O31</f>
        <v>15987</v>
      </c>
      <c r="N31" s="110">
        <f>7707</f>
        <v>7707</v>
      </c>
      <c r="O31" s="110">
        <f>5625.532+2654.73</f>
        <v>8280</v>
      </c>
      <c r="P31" s="110"/>
      <c r="Q31" s="25"/>
      <c r="R31" s="20"/>
      <c r="S31" s="21"/>
      <c r="T31" s="21"/>
      <c r="U31" s="21"/>
      <c r="V31" s="21"/>
      <c r="W31" s="20">
        <f>Y31</f>
        <v>1500</v>
      </c>
      <c r="X31" s="21"/>
      <c r="Y31" s="21">
        <v>1500</v>
      </c>
      <c r="Z31" s="21"/>
      <c r="AA31" s="21"/>
      <c r="AB31" s="20"/>
      <c r="AC31" s="21"/>
      <c r="AD31" s="21"/>
      <c r="AE31" s="21"/>
      <c r="AF31" s="21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s="15" customFormat="1" ht="12.75" customHeight="1">
      <c r="A32" s="43" t="s">
        <v>60</v>
      </c>
      <c r="B32" s="24" t="s">
        <v>407</v>
      </c>
      <c r="C32" s="24"/>
      <c r="D32" s="38"/>
      <c r="E32" s="25"/>
      <c r="F32" s="38"/>
      <c r="G32" s="14"/>
      <c r="H32" s="19"/>
      <c r="I32" s="19"/>
      <c r="J32" s="19"/>
      <c r="K32" s="19"/>
      <c r="L32" s="19"/>
      <c r="M32" s="109"/>
      <c r="N32" s="110"/>
      <c r="O32" s="110"/>
      <c r="P32" s="110"/>
      <c r="Q32" s="25"/>
      <c r="R32" s="20"/>
      <c r="S32" s="21"/>
      <c r="T32" s="21"/>
      <c r="U32" s="21"/>
      <c r="V32" s="21"/>
      <c r="W32" s="20">
        <f>Y32</f>
        <v>1500</v>
      </c>
      <c r="X32" s="21"/>
      <c r="Y32" s="21">
        <v>1500</v>
      </c>
      <c r="Z32" s="21"/>
      <c r="AA32" s="21"/>
      <c r="AB32" s="20">
        <f>AD32</f>
        <v>280</v>
      </c>
      <c r="AC32" s="21"/>
      <c r="AD32" s="21">
        <v>280</v>
      </c>
      <c r="AE32" s="21"/>
      <c r="AF32" s="21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s="15" customFormat="1" ht="12.75" customHeight="1">
      <c r="A33" s="43" t="s">
        <v>95</v>
      </c>
      <c r="B33" s="24" t="s">
        <v>230</v>
      </c>
      <c r="C33" s="24"/>
      <c r="D33" s="38">
        <f t="shared" si="8"/>
        <v>18661</v>
      </c>
      <c r="E33" s="25"/>
      <c r="F33" s="38"/>
      <c r="G33" s="14"/>
      <c r="H33" s="19"/>
      <c r="I33" s="19"/>
      <c r="J33" s="19"/>
      <c r="K33" s="19"/>
      <c r="L33" s="19"/>
      <c r="M33" s="109"/>
      <c r="N33" s="110"/>
      <c r="O33" s="110"/>
      <c r="P33" s="110"/>
      <c r="Q33" s="25"/>
      <c r="R33" s="20">
        <f>T33</f>
        <v>1701</v>
      </c>
      <c r="S33" s="21"/>
      <c r="T33" s="21">
        <f>1200+430.87835+70</f>
        <v>1701</v>
      </c>
      <c r="U33" s="21"/>
      <c r="V33" s="21"/>
      <c r="W33" s="20">
        <f>Y33+X33</f>
        <v>11500</v>
      </c>
      <c r="X33" s="21">
        <f>11500*0.6</f>
        <v>6900</v>
      </c>
      <c r="Y33" s="21">
        <f>11500*0.4</f>
        <v>4600</v>
      </c>
      <c r="Z33" s="21"/>
      <c r="AA33" s="21"/>
      <c r="AB33" s="20">
        <f>AD33</f>
        <v>5460</v>
      </c>
      <c r="AC33" s="21">
        <f>13650*0.6</f>
        <v>8190</v>
      </c>
      <c r="AD33" s="21">
        <f>13650*0.4</f>
        <v>5460</v>
      </c>
      <c r="AE33" s="21"/>
      <c r="AF33" s="21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s="15" customFormat="1" ht="12.75" customHeight="1">
      <c r="A34" s="43" t="s">
        <v>61</v>
      </c>
      <c r="B34" s="24" t="s">
        <v>232</v>
      </c>
      <c r="C34" s="24"/>
      <c r="D34" s="38">
        <f t="shared" si="8"/>
        <v>10356</v>
      </c>
      <c r="E34" s="25"/>
      <c r="F34" s="38"/>
      <c r="G34" s="14"/>
      <c r="H34" s="19"/>
      <c r="I34" s="19"/>
      <c r="J34" s="19"/>
      <c r="K34" s="19"/>
      <c r="L34" s="19"/>
      <c r="M34" s="109"/>
      <c r="N34" s="110"/>
      <c r="O34" s="110"/>
      <c r="P34" s="110"/>
      <c r="Q34" s="25"/>
      <c r="R34" s="20">
        <f>T34</f>
        <v>336</v>
      </c>
      <c r="S34" s="21"/>
      <c r="T34" s="21">
        <v>336</v>
      </c>
      <c r="U34" s="21"/>
      <c r="V34" s="21"/>
      <c r="W34" s="20">
        <f>Y34+X34</f>
        <v>8020</v>
      </c>
      <c r="X34" s="21">
        <f>8020*0.6</f>
        <v>4812</v>
      </c>
      <c r="Y34" s="21">
        <f>8020*0.4</f>
        <v>3208</v>
      </c>
      <c r="Z34" s="21"/>
      <c r="AA34" s="21"/>
      <c r="AB34" s="20">
        <f>AD34</f>
        <v>2000</v>
      </c>
      <c r="AC34" s="21"/>
      <c r="AD34" s="21">
        <v>2000</v>
      </c>
      <c r="AE34" s="21"/>
      <c r="AF34" s="21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s="15" customFormat="1" ht="12.75" customHeight="1">
      <c r="A35" s="43" t="s">
        <v>62</v>
      </c>
      <c r="B35" s="24" t="s">
        <v>233</v>
      </c>
      <c r="C35" s="24"/>
      <c r="D35" s="38">
        <f t="shared" si="8"/>
        <v>13800</v>
      </c>
      <c r="E35" s="25"/>
      <c r="F35" s="38"/>
      <c r="G35" s="14"/>
      <c r="H35" s="19"/>
      <c r="I35" s="19"/>
      <c r="J35" s="19"/>
      <c r="K35" s="19"/>
      <c r="L35" s="19"/>
      <c r="M35" s="109"/>
      <c r="N35" s="110"/>
      <c r="O35" s="110"/>
      <c r="P35" s="110"/>
      <c r="Q35" s="25"/>
      <c r="R35" s="20">
        <f>T35</f>
        <v>12000</v>
      </c>
      <c r="S35" s="21"/>
      <c r="T35" s="21">
        <v>12000</v>
      </c>
      <c r="U35" s="21"/>
      <c r="V35" s="21"/>
      <c r="W35" s="20">
        <f>Y35+X35</f>
        <v>1800</v>
      </c>
      <c r="X35" s="21"/>
      <c r="Y35" s="21">
        <v>1800</v>
      </c>
      <c r="Z35" s="21"/>
      <c r="AA35" s="21"/>
      <c r="AB35" s="20"/>
      <c r="AC35" s="21"/>
      <c r="AD35" s="21"/>
      <c r="AE35" s="21"/>
      <c r="AF35" s="21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s="15" customFormat="1" ht="12.75" customHeight="1">
      <c r="A36" s="43" t="s">
        <v>63</v>
      </c>
      <c r="B36" s="24" t="s">
        <v>234</v>
      </c>
      <c r="C36" s="24"/>
      <c r="D36" s="38">
        <f t="shared" si="8"/>
        <v>0</v>
      </c>
      <c r="E36" s="25"/>
      <c r="F36" s="38"/>
      <c r="G36" s="14"/>
      <c r="H36" s="19"/>
      <c r="I36" s="19"/>
      <c r="J36" s="19"/>
      <c r="K36" s="19"/>
      <c r="L36" s="19"/>
      <c r="M36" s="109">
        <f>N36+O36</f>
        <v>8284</v>
      </c>
      <c r="N36" s="110">
        <v>4939</v>
      </c>
      <c r="O36" s="110">
        <v>3345</v>
      </c>
      <c r="P36" s="110"/>
      <c r="Q36" s="25"/>
      <c r="R36" s="20"/>
      <c r="S36" s="21"/>
      <c r="T36" s="21"/>
      <c r="U36" s="21"/>
      <c r="V36" s="21"/>
      <c r="W36" s="20"/>
      <c r="X36" s="21"/>
      <c r="Y36" s="21"/>
      <c r="Z36" s="21"/>
      <c r="AA36" s="21"/>
      <c r="AB36" s="20"/>
      <c r="AC36" s="21"/>
      <c r="AD36" s="21"/>
      <c r="AE36" s="21"/>
      <c r="AF36" s="21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s="15" customFormat="1" ht="14.25" customHeight="1">
      <c r="A37" s="43" t="s">
        <v>64</v>
      </c>
      <c r="B37" s="24" t="s">
        <v>374</v>
      </c>
      <c r="C37" s="24"/>
      <c r="D37" s="38">
        <f t="shared" si="8"/>
        <v>11760</v>
      </c>
      <c r="E37" s="25"/>
      <c r="F37" s="38"/>
      <c r="G37" s="14"/>
      <c r="H37" s="19"/>
      <c r="I37" s="19"/>
      <c r="J37" s="19"/>
      <c r="K37" s="19"/>
      <c r="L37" s="19"/>
      <c r="M37" s="109">
        <f>N37+O37</f>
        <v>2703</v>
      </c>
      <c r="N37" s="110"/>
      <c r="O37" s="110">
        <v>2703</v>
      </c>
      <c r="P37" s="110"/>
      <c r="Q37" s="25"/>
      <c r="R37" s="20">
        <f>T37</f>
        <v>1060</v>
      </c>
      <c r="S37" s="21"/>
      <c r="T37" s="21">
        <f>800+260</f>
        <v>1060</v>
      </c>
      <c r="U37" s="21"/>
      <c r="V37" s="21"/>
      <c r="W37" s="20">
        <f>Y37+X37</f>
        <v>10700</v>
      </c>
      <c r="X37" s="21">
        <f>10700*0.6</f>
        <v>6420</v>
      </c>
      <c r="Y37" s="21">
        <f>10700*0.4</f>
        <v>4280</v>
      </c>
      <c r="Z37" s="21"/>
      <c r="AA37" s="21"/>
      <c r="AB37" s="20"/>
      <c r="AC37" s="21"/>
      <c r="AD37" s="21"/>
      <c r="AE37" s="21"/>
      <c r="AF37" s="21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s="15" customFormat="1" ht="12.75" customHeight="1">
      <c r="A38" s="43" t="s">
        <v>65</v>
      </c>
      <c r="B38" s="24" t="s">
        <v>235</v>
      </c>
      <c r="C38" s="24"/>
      <c r="D38" s="38">
        <f t="shared" si="8"/>
        <v>0</v>
      </c>
      <c r="E38" s="25"/>
      <c r="F38" s="38"/>
      <c r="G38" s="14"/>
      <c r="H38" s="19"/>
      <c r="I38" s="19"/>
      <c r="J38" s="19"/>
      <c r="K38" s="19"/>
      <c r="L38" s="19"/>
      <c r="M38" s="109">
        <f>N38+O38</f>
        <v>7805</v>
      </c>
      <c r="N38" s="110">
        <v>4059</v>
      </c>
      <c r="O38" s="110">
        <v>3746</v>
      </c>
      <c r="P38" s="110"/>
      <c r="Q38" s="25"/>
      <c r="R38" s="20"/>
      <c r="S38" s="21"/>
      <c r="T38" s="21"/>
      <c r="U38" s="21"/>
      <c r="V38" s="21"/>
      <c r="W38" s="20"/>
      <c r="X38" s="21"/>
      <c r="Y38" s="21"/>
      <c r="Z38" s="21"/>
      <c r="AA38" s="21"/>
      <c r="AB38" s="20"/>
      <c r="AC38" s="21"/>
      <c r="AD38" s="21"/>
      <c r="AE38" s="21"/>
      <c r="AF38" s="21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s="15" customFormat="1" ht="12.75" customHeight="1">
      <c r="A39" s="43" t="s">
        <v>240</v>
      </c>
      <c r="B39" s="24" t="s">
        <v>236</v>
      </c>
      <c r="C39" s="24"/>
      <c r="D39" s="38">
        <f t="shared" si="8"/>
        <v>1700</v>
      </c>
      <c r="E39" s="25"/>
      <c r="F39" s="38"/>
      <c r="G39" s="14"/>
      <c r="H39" s="19"/>
      <c r="I39" s="19"/>
      <c r="J39" s="19"/>
      <c r="K39" s="19"/>
      <c r="L39" s="19"/>
      <c r="M39" s="109">
        <f>N39+O39</f>
        <v>10233</v>
      </c>
      <c r="N39" s="110">
        <v>6140</v>
      </c>
      <c r="O39" s="110">
        <v>4093</v>
      </c>
      <c r="P39" s="110"/>
      <c r="Q39" s="25"/>
      <c r="R39" s="20">
        <f aca="true" t="shared" si="9" ref="R39:R45">T39</f>
        <v>700</v>
      </c>
      <c r="S39" s="21"/>
      <c r="T39" s="21">
        <v>700</v>
      </c>
      <c r="U39" s="21"/>
      <c r="V39" s="21"/>
      <c r="W39" s="20">
        <f>Y39+X39</f>
        <v>1000</v>
      </c>
      <c r="X39" s="21"/>
      <c r="Y39" s="21">
        <v>1000</v>
      </c>
      <c r="Z39" s="21"/>
      <c r="AA39" s="21"/>
      <c r="AB39" s="20"/>
      <c r="AC39" s="21"/>
      <c r="AD39" s="21"/>
      <c r="AE39" s="21"/>
      <c r="AF39" s="21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s="15" customFormat="1" ht="12.75" customHeight="1">
      <c r="A40" s="43" t="s">
        <v>241</v>
      </c>
      <c r="B40" s="24" t="s">
        <v>237</v>
      </c>
      <c r="C40" s="24"/>
      <c r="D40" s="38">
        <f t="shared" si="8"/>
        <v>662</v>
      </c>
      <c r="E40" s="25"/>
      <c r="F40" s="38"/>
      <c r="G40" s="14"/>
      <c r="H40" s="19"/>
      <c r="I40" s="19"/>
      <c r="J40" s="19"/>
      <c r="K40" s="19"/>
      <c r="L40" s="19"/>
      <c r="M40" s="109">
        <f>N40+O40</f>
        <v>9521</v>
      </c>
      <c r="N40" s="110">
        <v>1161</v>
      </c>
      <c r="O40" s="110">
        <v>8360</v>
      </c>
      <c r="P40" s="110"/>
      <c r="Q40" s="25"/>
      <c r="R40" s="20">
        <f t="shared" si="9"/>
        <v>662</v>
      </c>
      <c r="S40" s="21"/>
      <c r="T40" s="21">
        <v>662</v>
      </c>
      <c r="U40" s="21"/>
      <c r="V40" s="21"/>
      <c r="W40" s="20"/>
      <c r="X40" s="21"/>
      <c r="Y40" s="21"/>
      <c r="Z40" s="21"/>
      <c r="AA40" s="21"/>
      <c r="AB40" s="20"/>
      <c r="AC40" s="21"/>
      <c r="AD40" s="21"/>
      <c r="AE40" s="21"/>
      <c r="AF40" s="21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s="15" customFormat="1" ht="12.75" customHeight="1">
      <c r="A41" s="43" t="s">
        <v>242</v>
      </c>
      <c r="B41" s="24" t="s">
        <v>238</v>
      </c>
      <c r="C41" s="24"/>
      <c r="D41" s="38">
        <f t="shared" si="8"/>
        <v>300</v>
      </c>
      <c r="E41" s="25"/>
      <c r="F41" s="38"/>
      <c r="G41" s="14"/>
      <c r="H41" s="19"/>
      <c r="I41" s="19"/>
      <c r="J41" s="19"/>
      <c r="K41" s="19"/>
      <c r="L41" s="19"/>
      <c r="M41" s="109"/>
      <c r="N41" s="110"/>
      <c r="O41" s="110"/>
      <c r="P41" s="110"/>
      <c r="Q41" s="25"/>
      <c r="R41" s="20">
        <f t="shared" si="9"/>
        <v>300</v>
      </c>
      <c r="S41" s="21"/>
      <c r="T41" s="21">
        <v>300</v>
      </c>
      <c r="U41" s="21"/>
      <c r="V41" s="21"/>
      <c r="W41" s="20"/>
      <c r="X41" s="21"/>
      <c r="Y41" s="21"/>
      <c r="Z41" s="21"/>
      <c r="AA41" s="21"/>
      <c r="AB41" s="20"/>
      <c r="AC41" s="21"/>
      <c r="AD41" s="21"/>
      <c r="AE41" s="21"/>
      <c r="AF41" s="21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s="15" customFormat="1" ht="12.75" customHeight="1">
      <c r="A42" s="43" t="s">
        <v>243</v>
      </c>
      <c r="B42" s="24" t="s">
        <v>239</v>
      </c>
      <c r="C42" s="24"/>
      <c r="D42" s="38">
        <f t="shared" si="8"/>
        <v>300</v>
      </c>
      <c r="E42" s="25"/>
      <c r="F42" s="38"/>
      <c r="G42" s="14"/>
      <c r="H42" s="19"/>
      <c r="I42" s="19"/>
      <c r="J42" s="19"/>
      <c r="K42" s="19"/>
      <c r="L42" s="19"/>
      <c r="M42" s="109"/>
      <c r="N42" s="110"/>
      <c r="O42" s="110"/>
      <c r="P42" s="110"/>
      <c r="Q42" s="25"/>
      <c r="R42" s="20">
        <f t="shared" si="9"/>
        <v>300</v>
      </c>
      <c r="S42" s="21"/>
      <c r="T42" s="21">
        <v>300</v>
      </c>
      <c r="U42" s="21"/>
      <c r="V42" s="21"/>
      <c r="W42" s="20"/>
      <c r="X42" s="21"/>
      <c r="Y42" s="21"/>
      <c r="Z42" s="21"/>
      <c r="AA42" s="21"/>
      <c r="AB42" s="20"/>
      <c r="AC42" s="21"/>
      <c r="AD42" s="21"/>
      <c r="AE42" s="21"/>
      <c r="AF42" s="21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s="15" customFormat="1" ht="12.75" customHeight="1">
      <c r="A43" s="43" t="s">
        <v>259</v>
      </c>
      <c r="B43" s="24" t="s">
        <v>372</v>
      </c>
      <c r="C43" s="24"/>
      <c r="D43" s="38">
        <f t="shared" si="8"/>
        <v>310</v>
      </c>
      <c r="E43" s="25"/>
      <c r="F43" s="38"/>
      <c r="G43" s="14"/>
      <c r="H43" s="19"/>
      <c r="I43" s="19"/>
      <c r="J43" s="19"/>
      <c r="K43" s="19"/>
      <c r="L43" s="19"/>
      <c r="M43" s="109"/>
      <c r="N43" s="110"/>
      <c r="O43" s="110"/>
      <c r="P43" s="110"/>
      <c r="Q43" s="25"/>
      <c r="R43" s="20">
        <f t="shared" si="9"/>
        <v>310</v>
      </c>
      <c r="S43" s="21"/>
      <c r="T43" s="21">
        <f>40+270</f>
        <v>310</v>
      </c>
      <c r="U43" s="21"/>
      <c r="V43" s="21"/>
      <c r="W43" s="20"/>
      <c r="X43" s="21"/>
      <c r="Y43" s="21"/>
      <c r="Z43" s="21"/>
      <c r="AA43" s="21"/>
      <c r="AB43" s="20"/>
      <c r="AC43" s="21"/>
      <c r="AD43" s="21"/>
      <c r="AE43" s="21"/>
      <c r="AF43" s="21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3" s="15" customFormat="1" ht="12.75" customHeight="1">
      <c r="A44" s="43" t="s">
        <v>260</v>
      </c>
      <c r="B44" s="24" t="s">
        <v>373</v>
      </c>
      <c r="C44" s="24"/>
      <c r="D44" s="38">
        <f t="shared" si="8"/>
        <v>360</v>
      </c>
      <c r="E44" s="25"/>
      <c r="F44" s="38"/>
      <c r="G44" s="14"/>
      <c r="H44" s="19"/>
      <c r="I44" s="19"/>
      <c r="J44" s="19"/>
      <c r="K44" s="19"/>
      <c r="L44" s="19"/>
      <c r="M44" s="109"/>
      <c r="N44" s="110"/>
      <c r="O44" s="110"/>
      <c r="P44" s="110"/>
      <c r="Q44" s="25"/>
      <c r="R44" s="20">
        <f t="shared" si="9"/>
        <v>360</v>
      </c>
      <c r="S44" s="21"/>
      <c r="T44" s="21">
        <f>60+300</f>
        <v>360</v>
      </c>
      <c r="U44" s="21"/>
      <c r="V44" s="21"/>
      <c r="W44" s="20"/>
      <c r="X44" s="21"/>
      <c r="Y44" s="21"/>
      <c r="Z44" s="21"/>
      <c r="AA44" s="21"/>
      <c r="AB44" s="20"/>
      <c r="AC44" s="21"/>
      <c r="AD44" s="21"/>
      <c r="AE44" s="21"/>
      <c r="AF44" s="21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3" s="15" customFormat="1" ht="12.75" customHeight="1">
      <c r="A45" s="43" t="s">
        <v>261</v>
      </c>
      <c r="B45" s="130" t="s">
        <v>371</v>
      </c>
      <c r="C45" s="24"/>
      <c r="D45" s="38">
        <f t="shared" si="8"/>
        <v>1371</v>
      </c>
      <c r="E45" s="25"/>
      <c r="F45" s="38"/>
      <c r="G45" s="14"/>
      <c r="H45" s="19"/>
      <c r="I45" s="19"/>
      <c r="J45" s="19"/>
      <c r="K45" s="19"/>
      <c r="L45" s="19"/>
      <c r="M45" s="109"/>
      <c r="N45" s="110"/>
      <c r="O45" s="110"/>
      <c r="P45" s="110"/>
      <c r="Q45" s="25"/>
      <c r="R45" s="20">
        <f t="shared" si="9"/>
        <v>1371</v>
      </c>
      <c r="S45" s="21"/>
      <c r="T45" s="21">
        <f>1271+100</f>
        <v>1371</v>
      </c>
      <c r="U45" s="21"/>
      <c r="V45" s="21"/>
      <c r="W45" s="20"/>
      <c r="X45" s="21"/>
      <c r="Y45" s="21"/>
      <c r="Z45" s="21"/>
      <c r="AA45" s="21"/>
      <c r="AB45" s="20"/>
      <c r="AC45" s="21"/>
      <c r="AD45" s="21"/>
      <c r="AE45" s="21"/>
      <c r="AF45" s="21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</row>
    <row r="46" spans="1:53" s="15" customFormat="1" ht="34.5" customHeight="1">
      <c r="A46" s="43" t="s">
        <v>262</v>
      </c>
      <c r="B46" s="73" t="s">
        <v>111</v>
      </c>
      <c r="C46" s="68"/>
      <c r="D46" s="38">
        <f t="shared" si="8"/>
        <v>25000</v>
      </c>
      <c r="E46" s="69"/>
      <c r="F46" s="69"/>
      <c r="G46" s="69"/>
      <c r="H46" s="69"/>
      <c r="I46" s="69"/>
      <c r="J46" s="69"/>
      <c r="K46" s="69"/>
      <c r="L46" s="69"/>
      <c r="M46" s="51"/>
      <c r="N46" s="111"/>
      <c r="O46" s="111"/>
      <c r="P46" s="111"/>
      <c r="Q46" s="79"/>
      <c r="R46" s="69"/>
      <c r="S46" s="79"/>
      <c r="T46" s="79"/>
      <c r="U46" s="69"/>
      <c r="V46" s="69"/>
      <c r="W46" s="69">
        <f>X46+Y46</f>
        <v>25000</v>
      </c>
      <c r="X46" s="79">
        <v>12500</v>
      </c>
      <c r="Y46" s="79">
        <v>12500</v>
      </c>
      <c r="Z46" s="69"/>
      <c r="AA46" s="69"/>
      <c r="AB46" s="69"/>
      <c r="AC46" s="69"/>
      <c r="AD46" s="69"/>
      <c r="AE46" s="69"/>
      <c r="AF46" s="69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</row>
    <row r="47" spans="1:53" s="15" customFormat="1" ht="14.25" customHeight="1">
      <c r="A47" s="43" t="s">
        <v>260</v>
      </c>
      <c r="B47" s="73" t="s">
        <v>112</v>
      </c>
      <c r="C47" s="68"/>
      <c r="D47" s="38">
        <f t="shared" si="8"/>
        <v>15000</v>
      </c>
      <c r="E47" s="69"/>
      <c r="F47" s="69"/>
      <c r="G47" s="69"/>
      <c r="H47" s="69"/>
      <c r="I47" s="69"/>
      <c r="J47" s="69"/>
      <c r="K47" s="69"/>
      <c r="L47" s="69"/>
      <c r="M47" s="51"/>
      <c r="N47" s="111"/>
      <c r="O47" s="111"/>
      <c r="P47" s="111"/>
      <c r="Q47" s="79"/>
      <c r="R47" s="69"/>
      <c r="S47" s="79"/>
      <c r="T47" s="79"/>
      <c r="U47" s="69"/>
      <c r="V47" s="69"/>
      <c r="W47" s="69">
        <f>X47+Y47</f>
        <v>15000</v>
      </c>
      <c r="X47" s="79">
        <v>7500</v>
      </c>
      <c r="Y47" s="79">
        <v>7500</v>
      </c>
      <c r="Z47" s="69"/>
      <c r="AA47" s="69"/>
      <c r="AB47" s="69"/>
      <c r="AC47" s="69"/>
      <c r="AD47" s="69"/>
      <c r="AE47" s="69"/>
      <c r="AF47" s="69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</row>
    <row r="48" spans="1:53" s="15" customFormat="1" ht="24" customHeight="1">
      <c r="A48" s="43" t="s">
        <v>261</v>
      </c>
      <c r="B48" s="73" t="s">
        <v>113</v>
      </c>
      <c r="C48" s="68"/>
      <c r="D48" s="38">
        <f t="shared" si="8"/>
        <v>15000</v>
      </c>
      <c r="E48" s="69"/>
      <c r="F48" s="69"/>
      <c r="G48" s="69"/>
      <c r="H48" s="69"/>
      <c r="I48" s="69"/>
      <c r="J48" s="69"/>
      <c r="K48" s="69"/>
      <c r="L48" s="69"/>
      <c r="M48" s="51"/>
      <c r="N48" s="111"/>
      <c r="O48" s="111"/>
      <c r="P48" s="111"/>
      <c r="Q48" s="79"/>
      <c r="R48" s="69"/>
      <c r="S48" s="79"/>
      <c r="T48" s="79"/>
      <c r="U48" s="69"/>
      <c r="V48" s="69"/>
      <c r="W48" s="69">
        <f>X48+Y48</f>
        <v>15000</v>
      </c>
      <c r="X48" s="79">
        <v>7500</v>
      </c>
      <c r="Y48" s="79">
        <v>7500</v>
      </c>
      <c r="Z48" s="69"/>
      <c r="AA48" s="69"/>
      <c r="AB48" s="69"/>
      <c r="AC48" s="69"/>
      <c r="AD48" s="69"/>
      <c r="AE48" s="69"/>
      <c r="AF48" s="69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</row>
    <row r="49" spans="1:53" s="15" customFormat="1" ht="24" customHeight="1">
      <c r="A49" s="43" t="s">
        <v>263</v>
      </c>
      <c r="B49" s="73" t="s">
        <v>114</v>
      </c>
      <c r="C49" s="68"/>
      <c r="D49" s="38">
        <f t="shared" si="8"/>
        <v>15000</v>
      </c>
      <c r="E49" s="69"/>
      <c r="F49" s="69"/>
      <c r="G49" s="69"/>
      <c r="H49" s="69"/>
      <c r="I49" s="69"/>
      <c r="J49" s="69"/>
      <c r="K49" s="69"/>
      <c r="L49" s="69"/>
      <c r="M49" s="51"/>
      <c r="N49" s="111"/>
      <c r="O49" s="111"/>
      <c r="P49" s="111"/>
      <c r="Q49" s="79"/>
      <c r="R49" s="69"/>
      <c r="S49" s="79"/>
      <c r="T49" s="79"/>
      <c r="U49" s="69"/>
      <c r="V49" s="69"/>
      <c r="W49" s="69">
        <f>X49+Y49</f>
        <v>15000</v>
      </c>
      <c r="X49" s="79">
        <v>7500</v>
      </c>
      <c r="Y49" s="79">
        <v>7500</v>
      </c>
      <c r="Z49" s="69"/>
      <c r="AA49" s="69"/>
      <c r="AB49" s="69"/>
      <c r="AC49" s="69"/>
      <c r="AD49" s="69"/>
      <c r="AE49" s="69"/>
      <c r="AF49" s="69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</row>
    <row r="50" spans="1:53" s="15" customFormat="1" ht="33" customHeight="1">
      <c r="A50" s="43" t="s">
        <v>264</v>
      </c>
      <c r="B50" s="73" t="s">
        <v>110</v>
      </c>
      <c r="C50" s="68"/>
      <c r="D50" s="38">
        <f t="shared" si="8"/>
        <v>22000</v>
      </c>
      <c r="E50" s="69"/>
      <c r="F50" s="69"/>
      <c r="G50" s="69"/>
      <c r="H50" s="69"/>
      <c r="I50" s="69"/>
      <c r="J50" s="69"/>
      <c r="K50" s="69"/>
      <c r="L50" s="69"/>
      <c r="M50" s="51"/>
      <c r="N50" s="111"/>
      <c r="O50" s="111"/>
      <c r="P50" s="111"/>
      <c r="Q50" s="79"/>
      <c r="R50" s="69"/>
      <c r="S50" s="79"/>
      <c r="T50" s="79"/>
      <c r="U50" s="69"/>
      <c r="V50" s="69"/>
      <c r="W50" s="69">
        <f>X50+Y50</f>
        <v>22000</v>
      </c>
      <c r="X50" s="79">
        <v>11000</v>
      </c>
      <c r="Y50" s="79">
        <v>11000</v>
      </c>
      <c r="Z50" s="69"/>
      <c r="AA50" s="69"/>
      <c r="AB50" s="69"/>
      <c r="AC50" s="69"/>
      <c r="AD50" s="69"/>
      <c r="AE50" s="69"/>
      <c r="AF50" s="69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</row>
    <row r="51" spans="1:53" s="15" customFormat="1" ht="45.75" customHeight="1">
      <c r="A51" s="43" t="s">
        <v>265</v>
      </c>
      <c r="B51" s="73" t="s">
        <v>115</v>
      </c>
      <c r="C51" s="68"/>
      <c r="D51" s="38">
        <f t="shared" si="8"/>
        <v>0</v>
      </c>
      <c r="E51" s="69"/>
      <c r="F51" s="69"/>
      <c r="G51" s="69"/>
      <c r="H51" s="69"/>
      <c r="I51" s="69"/>
      <c r="J51" s="69"/>
      <c r="K51" s="69"/>
      <c r="L51" s="69"/>
      <c r="M51" s="51"/>
      <c r="N51" s="111"/>
      <c r="O51" s="111"/>
      <c r="P51" s="111"/>
      <c r="Q51" s="69"/>
      <c r="R51" s="69"/>
      <c r="S51" s="79"/>
      <c r="T51" s="7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</row>
    <row r="52" spans="1:53" s="15" customFormat="1" ht="24" customHeight="1">
      <c r="A52" s="43" t="s">
        <v>266</v>
      </c>
      <c r="B52" s="73" t="s">
        <v>116</v>
      </c>
      <c r="C52" s="68"/>
      <c r="D52" s="38">
        <f t="shared" si="8"/>
        <v>37500</v>
      </c>
      <c r="E52" s="69"/>
      <c r="F52" s="69"/>
      <c r="G52" s="69"/>
      <c r="H52" s="69"/>
      <c r="I52" s="69"/>
      <c r="J52" s="69"/>
      <c r="K52" s="69"/>
      <c r="L52" s="69"/>
      <c r="M52" s="51"/>
      <c r="N52" s="111"/>
      <c r="O52" s="111"/>
      <c r="P52" s="111"/>
      <c r="Q52" s="69"/>
      <c r="R52" s="69"/>
      <c r="S52" s="79"/>
      <c r="T52" s="79"/>
      <c r="U52" s="69"/>
      <c r="V52" s="69"/>
      <c r="W52" s="69">
        <f>X52+Y52</f>
        <v>37500</v>
      </c>
      <c r="X52" s="79">
        <f>37500*0.5</f>
        <v>18750</v>
      </c>
      <c r="Y52" s="79">
        <v>18750</v>
      </c>
      <c r="Z52" s="79"/>
      <c r="AA52" s="79"/>
      <c r="AB52" s="69"/>
      <c r="AC52" s="69"/>
      <c r="AD52" s="69"/>
      <c r="AE52" s="69"/>
      <c r="AF52" s="69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</row>
    <row r="53" spans="1:53" s="15" customFormat="1" ht="24" customHeight="1">
      <c r="A53" s="43" t="s">
        <v>267</v>
      </c>
      <c r="B53" s="73" t="s">
        <v>117</v>
      </c>
      <c r="C53" s="68"/>
      <c r="D53" s="38">
        <f t="shared" si="8"/>
        <v>25000</v>
      </c>
      <c r="E53" s="69"/>
      <c r="F53" s="69"/>
      <c r="G53" s="69"/>
      <c r="H53" s="69"/>
      <c r="I53" s="69"/>
      <c r="J53" s="69"/>
      <c r="K53" s="69"/>
      <c r="L53" s="69"/>
      <c r="M53" s="51"/>
      <c r="N53" s="111"/>
      <c r="O53" s="111"/>
      <c r="P53" s="111"/>
      <c r="Q53" s="69"/>
      <c r="R53" s="69"/>
      <c r="S53" s="79"/>
      <c r="T53" s="79"/>
      <c r="U53" s="69"/>
      <c r="V53" s="69"/>
      <c r="W53" s="69">
        <f>X53+Y53</f>
        <v>25000</v>
      </c>
      <c r="X53" s="79">
        <v>12500</v>
      </c>
      <c r="Y53" s="79">
        <v>12500</v>
      </c>
      <c r="Z53" s="79"/>
      <c r="AA53" s="79"/>
      <c r="AB53" s="69"/>
      <c r="AC53" s="69"/>
      <c r="AD53" s="69"/>
      <c r="AE53" s="69"/>
      <c r="AF53" s="69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</row>
    <row r="54" spans="1:53" s="15" customFormat="1" ht="32.25" customHeight="1">
      <c r="A54" s="43" t="s">
        <v>268</v>
      </c>
      <c r="B54" s="73" t="s">
        <v>4</v>
      </c>
      <c r="C54" s="68"/>
      <c r="D54" s="38">
        <f t="shared" si="8"/>
        <v>11020</v>
      </c>
      <c r="E54" s="69"/>
      <c r="F54" s="69"/>
      <c r="G54" s="69"/>
      <c r="H54" s="69"/>
      <c r="I54" s="69"/>
      <c r="J54" s="69"/>
      <c r="K54" s="69"/>
      <c r="L54" s="69"/>
      <c r="M54" s="51"/>
      <c r="N54" s="111"/>
      <c r="O54" s="111"/>
      <c r="P54" s="111"/>
      <c r="Q54" s="69"/>
      <c r="R54" s="69"/>
      <c r="S54" s="79"/>
      <c r="T54" s="79"/>
      <c r="U54" s="69"/>
      <c r="V54" s="69"/>
      <c r="W54" s="69">
        <f>X54+Y54</f>
        <v>10020</v>
      </c>
      <c r="X54" s="79">
        <f>10020*0.6</f>
        <v>6012</v>
      </c>
      <c r="Y54" s="79">
        <f>10020*0.4</f>
        <v>4008</v>
      </c>
      <c r="Z54" s="79"/>
      <c r="AA54" s="79"/>
      <c r="AB54" s="69">
        <f aca="true" t="shared" si="10" ref="AB54:AB61">AC54+AD54</f>
        <v>1000</v>
      </c>
      <c r="AC54" s="69"/>
      <c r="AD54" s="69">
        <v>1000</v>
      </c>
      <c r="AE54" s="69"/>
      <c r="AF54" s="69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</row>
    <row r="55" spans="1:53" s="15" customFormat="1" ht="33.75" customHeight="1">
      <c r="A55" s="43" t="s">
        <v>269</v>
      </c>
      <c r="B55" s="73" t="s">
        <v>118</v>
      </c>
      <c r="C55" s="68"/>
      <c r="D55" s="38"/>
      <c r="E55" s="69"/>
      <c r="F55" s="69"/>
      <c r="G55" s="69"/>
      <c r="H55" s="69"/>
      <c r="I55" s="69"/>
      <c r="J55" s="69"/>
      <c r="K55" s="69"/>
      <c r="L55" s="69"/>
      <c r="M55" s="51"/>
      <c r="N55" s="111"/>
      <c r="O55" s="111"/>
      <c r="P55" s="111"/>
      <c r="Q55" s="69"/>
      <c r="R55" s="69"/>
      <c r="S55" s="79"/>
      <c r="T55" s="79"/>
      <c r="U55" s="69"/>
      <c r="V55" s="69"/>
      <c r="W55" s="69"/>
      <c r="X55" s="79"/>
      <c r="Y55" s="79"/>
      <c r="Z55" s="79"/>
      <c r="AA55" s="79"/>
      <c r="AB55" s="69"/>
      <c r="AC55" s="69"/>
      <c r="AD55" s="69"/>
      <c r="AE55" s="69"/>
      <c r="AF55" s="69"/>
      <c r="AG55" s="69" t="s">
        <v>54</v>
      </c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</row>
    <row r="56" spans="1:53" s="15" customFormat="1" ht="34.5" customHeight="1">
      <c r="A56" s="43" t="s">
        <v>270</v>
      </c>
      <c r="B56" s="73" t="s">
        <v>119</v>
      </c>
      <c r="C56" s="68"/>
      <c r="D56" s="38">
        <f>R56+W56+AB56+AG56+AL56+AP56+AT56+AX56</f>
        <v>127000</v>
      </c>
      <c r="E56" s="69"/>
      <c r="F56" s="69"/>
      <c r="G56" s="69"/>
      <c r="H56" s="69"/>
      <c r="I56" s="69"/>
      <c r="J56" s="69"/>
      <c r="K56" s="69"/>
      <c r="L56" s="69"/>
      <c r="M56" s="51"/>
      <c r="N56" s="111"/>
      <c r="O56" s="111"/>
      <c r="P56" s="111"/>
      <c r="Q56" s="69"/>
      <c r="R56" s="69"/>
      <c r="S56" s="69"/>
      <c r="T56" s="69"/>
      <c r="U56" s="69"/>
      <c r="V56" s="69"/>
      <c r="W56" s="69">
        <f>X56+Y56+Z56</f>
        <v>35000</v>
      </c>
      <c r="X56" s="79"/>
      <c r="Y56" s="79"/>
      <c r="Z56" s="79">
        <v>35000</v>
      </c>
      <c r="AA56" s="79"/>
      <c r="AB56" s="69">
        <f t="shared" si="10"/>
        <v>30000</v>
      </c>
      <c r="AC56" s="79">
        <f>30000*0.9</f>
        <v>27000</v>
      </c>
      <c r="AD56" s="79">
        <f>30000*0.1</f>
        <v>3000</v>
      </c>
      <c r="AE56" s="69"/>
      <c r="AF56" s="69"/>
      <c r="AG56" s="97">
        <f aca="true" t="shared" si="11" ref="AG56:AG61">AH56+AI56</f>
        <v>62000</v>
      </c>
      <c r="AH56" s="86">
        <f>62000*0.9</f>
        <v>55800</v>
      </c>
      <c r="AI56" s="86">
        <f>62000*0.1</f>
        <v>6200</v>
      </c>
      <c r="AJ56" s="86"/>
      <c r="AK56" s="86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</row>
    <row r="57" spans="1:53" s="15" customFormat="1" ht="33.75" customHeight="1">
      <c r="A57" s="43" t="s">
        <v>271</v>
      </c>
      <c r="B57" s="73" t="s">
        <v>120</v>
      </c>
      <c r="C57" s="68"/>
      <c r="D57" s="38">
        <f t="shared" si="8"/>
        <v>200000</v>
      </c>
      <c r="E57" s="69"/>
      <c r="F57" s="69"/>
      <c r="G57" s="69"/>
      <c r="H57" s="69"/>
      <c r="I57" s="69"/>
      <c r="J57" s="69"/>
      <c r="K57" s="69"/>
      <c r="L57" s="69"/>
      <c r="M57" s="51"/>
      <c r="N57" s="111"/>
      <c r="O57" s="111"/>
      <c r="P57" s="111"/>
      <c r="Q57" s="69"/>
      <c r="R57" s="69"/>
      <c r="S57" s="69"/>
      <c r="T57" s="69"/>
      <c r="U57" s="69"/>
      <c r="V57" s="69"/>
      <c r="W57" s="69"/>
      <c r="X57" s="79"/>
      <c r="Y57" s="79"/>
      <c r="Z57" s="79"/>
      <c r="AA57" s="79"/>
      <c r="AB57" s="69">
        <f t="shared" si="10"/>
        <v>30000</v>
      </c>
      <c r="AC57" s="79">
        <f>30000*0.9</f>
        <v>27000</v>
      </c>
      <c r="AD57" s="79">
        <f>30000*0.1</f>
        <v>3000</v>
      </c>
      <c r="AE57" s="69"/>
      <c r="AF57" s="69"/>
      <c r="AG57" s="97">
        <f t="shared" si="11"/>
        <v>120000</v>
      </c>
      <c r="AH57" s="86">
        <f>120000*0.9</f>
        <v>108000</v>
      </c>
      <c r="AI57" s="86">
        <f>120000*0.1</f>
        <v>12000</v>
      </c>
      <c r="AJ57" s="86"/>
      <c r="AK57" s="86"/>
      <c r="AL57" s="97">
        <f>AM57+AN57</f>
        <v>50000</v>
      </c>
      <c r="AM57" s="86">
        <f>50000*0.9</f>
        <v>45000</v>
      </c>
      <c r="AN57" s="86">
        <f>50000*0.1</f>
        <v>5000</v>
      </c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</row>
    <row r="58" spans="1:53" s="15" customFormat="1" ht="24" customHeight="1">
      <c r="A58" s="43" t="s">
        <v>272</v>
      </c>
      <c r="B58" s="73" t="s">
        <v>126</v>
      </c>
      <c r="C58" s="68"/>
      <c r="D58" s="38">
        <f t="shared" si="8"/>
        <v>25500</v>
      </c>
      <c r="E58" s="69"/>
      <c r="F58" s="69"/>
      <c r="G58" s="69"/>
      <c r="H58" s="69"/>
      <c r="I58" s="69"/>
      <c r="J58" s="69"/>
      <c r="K58" s="69"/>
      <c r="L58" s="69"/>
      <c r="M58" s="51"/>
      <c r="N58" s="111"/>
      <c r="O58" s="111"/>
      <c r="P58" s="111"/>
      <c r="Q58" s="69"/>
      <c r="R58" s="69"/>
      <c r="S58" s="69"/>
      <c r="T58" s="69"/>
      <c r="U58" s="69"/>
      <c r="V58" s="69"/>
      <c r="W58" s="69">
        <f>X58+Y58</f>
        <v>5500</v>
      </c>
      <c r="X58" s="79">
        <f>5500*0.6</f>
        <v>3300</v>
      </c>
      <c r="Y58" s="79">
        <f>5500*0.4</f>
        <v>2200</v>
      </c>
      <c r="Z58" s="79"/>
      <c r="AA58" s="79"/>
      <c r="AB58" s="69">
        <f t="shared" si="10"/>
        <v>0</v>
      </c>
      <c r="AC58" s="79"/>
      <c r="AD58" s="79"/>
      <c r="AE58" s="69"/>
      <c r="AF58" s="69"/>
      <c r="AG58" s="97">
        <f t="shared" si="11"/>
        <v>20000</v>
      </c>
      <c r="AH58" s="86">
        <v>10000</v>
      </c>
      <c r="AI58" s="86">
        <v>10000</v>
      </c>
      <c r="AJ58" s="86"/>
      <c r="AK58" s="86"/>
      <c r="AL58" s="97"/>
      <c r="AM58" s="86"/>
      <c r="AN58" s="86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</row>
    <row r="59" spans="1:53" s="15" customFormat="1" ht="22.5">
      <c r="A59" s="43" t="s">
        <v>273</v>
      </c>
      <c r="B59" s="73" t="s">
        <v>127</v>
      </c>
      <c r="C59" s="68"/>
      <c r="D59" s="38">
        <f t="shared" si="8"/>
        <v>30745</v>
      </c>
      <c r="E59" s="69"/>
      <c r="F59" s="69"/>
      <c r="G59" s="69"/>
      <c r="H59" s="69"/>
      <c r="I59" s="69"/>
      <c r="J59" s="69"/>
      <c r="K59" s="69"/>
      <c r="L59" s="69"/>
      <c r="M59" s="51"/>
      <c r="N59" s="111"/>
      <c r="O59" s="111"/>
      <c r="P59" s="111"/>
      <c r="Q59" s="69"/>
      <c r="R59" s="69"/>
      <c r="S59" s="69"/>
      <c r="T59" s="69"/>
      <c r="U59" s="69"/>
      <c r="V59" s="69"/>
      <c r="W59" s="69">
        <f>X59+Y59</f>
        <v>5745</v>
      </c>
      <c r="X59" s="79">
        <f>5745*0.6</f>
        <v>3447</v>
      </c>
      <c r="Y59" s="79">
        <f>5745*0.4</f>
        <v>2298</v>
      </c>
      <c r="Z59" s="79"/>
      <c r="AA59" s="79"/>
      <c r="AB59" s="69">
        <f t="shared" si="10"/>
        <v>0</v>
      </c>
      <c r="AC59" s="79"/>
      <c r="AD59" s="79"/>
      <c r="AE59" s="69"/>
      <c r="AF59" s="69"/>
      <c r="AG59" s="97">
        <f t="shared" si="11"/>
        <v>25000</v>
      </c>
      <c r="AH59" s="86">
        <v>12500</v>
      </c>
      <c r="AI59" s="86">
        <v>12500</v>
      </c>
      <c r="AJ59" s="86"/>
      <c r="AK59" s="86"/>
      <c r="AL59" s="97"/>
      <c r="AM59" s="86"/>
      <c r="AN59" s="86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</row>
    <row r="60" spans="1:53" s="15" customFormat="1" ht="22.5">
      <c r="A60" s="43" t="s">
        <v>274</v>
      </c>
      <c r="B60" s="73" t="s">
        <v>128</v>
      </c>
      <c r="C60" s="68"/>
      <c r="D60" s="38">
        <f t="shared" si="8"/>
        <v>26150</v>
      </c>
      <c r="E60" s="69"/>
      <c r="F60" s="69"/>
      <c r="G60" s="69"/>
      <c r="H60" s="69"/>
      <c r="I60" s="69"/>
      <c r="J60" s="69"/>
      <c r="K60" s="69"/>
      <c r="L60" s="69"/>
      <c r="M60" s="51"/>
      <c r="N60" s="111"/>
      <c r="O60" s="111"/>
      <c r="P60" s="111"/>
      <c r="Q60" s="69"/>
      <c r="R60" s="69"/>
      <c r="S60" s="69"/>
      <c r="T60" s="69"/>
      <c r="U60" s="69"/>
      <c r="V60" s="69"/>
      <c r="W60" s="69">
        <f>X60+Y60</f>
        <v>1000</v>
      </c>
      <c r="X60" s="79"/>
      <c r="Y60" s="79">
        <v>1000</v>
      </c>
      <c r="Z60" s="79"/>
      <c r="AA60" s="79"/>
      <c r="AB60" s="69">
        <f t="shared" si="10"/>
        <v>150</v>
      </c>
      <c r="AC60" s="79"/>
      <c r="AD60" s="79">
        <v>150</v>
      </c>
      <c r="AE60" s="69"/>
      <c r="AF60" s="69"/>
      <c r="AG60" s="97">
        <f t="shared" si="11"/>
        <v>25000</v>
      </c>
      <c r="AH60" s="86">
        <v>12500</v>
      </c>
      <c r="AI60" s="86">
        <v>12500</v>
      </c>
      <c r="AJ60" s="86"/>
      <c r="AK60" s="86"/>
      <c r="AL60" s="97"/>
      <c r="AM60" s="86"/>
      <c r="AN60" s="86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</row>
    <row r="61" spans="1:53" s="15" customFormat="1" ht="33.75">
      <c r="A61" s="43" t="s">
        <v>275</v>
      </c>
      <c r="B61" s="73" t="s">
        <v>129</v>
      </c>
      <c r="C61" s="68"/>
      <c r="D61" s="38">
        <f t="shared" si="8"/>
        <v>22000</v>
      </c>
      <c r="E61" s="69"/>
      <c r="F61" s="69"/>
      <c r="G61" s="69"/>
      <c r="H61" s="69"/>
      <c r="I61" s="69"/>
      <c r="J61" s="69"/>
      <c r="K61" s="69"/>
      <c r="L61" s="69"/>
      <c r="M61" s="51"/>
      <c r="N61" s="111"/>
      <c r="O61" s="111"/>
      <c r="P61" s="111"/>
      <c r="Q61" s="69"/>
      <c r="R61" s="69"/>
      <c r="S61" s="69"/>
      <c r="T61" s="69"/>
      <c r="U61" s="69"/>
      <c r="V61" s="69"/>
      <c r="W61" s="69"/>
      <c r="X61" s="79"/>
      <c r="Y61" s="79"/>
      <c r="Z61" s="79"/>
      <c r="AA61" s="79"/>
      <c r="AB61" s="69">
        <f t="shared" si="10"/>
        <v>0</v>
      </c>
      <c r="AC61" s="79"/>
      <c r="AD61" s="79"/>
      <c r="AE61" s="69"/>
      <c r="AF61" s="69"/>
      <c r="AG61" s="97">
        <f t="shared" si="11"/>
        <v>22000</v>
      </c>
      <c r="AH61" s="86">
        <v>11000</v>
      </c>
      <c r="AI61" s="86">
        <v>11000</v>
      </c>
      <c r="AJ61" s="86"/>
      <c r="AK61" s="86"/>
      <c r="AL61" s="97"/>
      <c r="AM61" s="86"/>
      <c r="AN61" s="86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</row>
    <row r="62" spans="1:53" s="15" customFormat="1" ht="33.75">
      <c r="A62" s="43" t="s">
        <v>276</v>
      </c>
      <c r="B62" s="73" t="s">
        <v>130</v>
      </c>
      <c r="C62" s="68"/>
      <c r="D62" s="38">
        <f t="shared" si="8"/>
        <v>2000</v>
      </c>
      <c r="E62" s="69"/>
      <c r="F62" s="69"/>
      <c r="G62" s="69"/>
      <c r="H62" s="69"/>
      <c r="I62" s="69"/>
      <c r="J62" s="69"/>
      <c r="K62" s="69"/>
      <c r="L62" s="69"/>
      <c r="M62" s="51"/>
      <c r="N62" s="111"/>
      <c r="O62" s="111"/>
      <c r="P62" s="111"/>
      <c r="Q62" s="69"/>
      <c r="R62" s="69"/>
      <c r="S62" s="69"/>
      <c r="T62" s="69"/>
      <c r="U62" s="69"/>
      <c r="V62" s="69"/>
      <c r="W62" s="69"/>
      <c r="X62" s="79"/>
      <c r="Y62" s="79"/>
      <c r="Z62" s="79"/>
      <c r="AA62" s="79"/>
      <c r="AB62" s="69"/>
      <c r="AC62" s="79"/>
      <c r="AD62" s="79"/>
      <c r="AE62" s="69"/>
      <c r="AF62" s="69"/>
      <c r="AG62" s="97"/>
      <c r="AH62" s="86"/>
      <c r="AI62" s="86"/>
      <c r="AJ62" s="86"/>
      <c r="AK62" s="86"/>
      <c r="AL62" s="97">
        <f>AM62+AN62</f>
        <v>2000</v>
      </c>
      <c r="AM62" s="86">
        <v>1000</v>
      </c>
      <c r="AN62" s="86">
        <v>1000</v>
      </c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</row>
    <row r="63" spans="1:53" s="15" customFormat="1" ht="22.5">
      <c r="A63" s="43" t="s">
        <v>277</v>
      </c>
      <c r="B63" s="73" t="s">
        <v>131</v>
      </c>
      <c r="C63" s="68"/>
      <c r="D63" s="38">
        <f t="shared" si="8"/>
        <v>15000</v>
      </c>
      <c r="E63" s="69"/>
      <c r="F63" s="69"/>
      <c r="G63" s="69"/>
      <c r="H63" s="69"/>
      <c r="I63" s="69"/>
      <c r="J63" s="69"/>
      <c r="K63" s="69"/>
      <c r="L63" s="69"/>
      <c r="M63" s="51"/>
      <c r="N63" s="111"/>
      <c r="O63" s="111"/>
      <c r="P63" s="111"/>
      <c r="Q63" s="69"/>
      <c r="R63" s="69"/>
      <c r="S63" s="69"/>
      <c r="T63" s="69"/>
      <c r="U63" s="69"/>
      <c r="V63" s="69"/>
      <c r="W63" s="69"/>
      <c r="X63" s="79"/>
      <c r="Y63" s="79"/>
      <c r="Z63" s="79"/>
      <c r="AA63" s="79"/>
      <c r="AB63" s="69"/>
      <c r="AC63" s="79"/>
      <c r="AD63" s="79"/>
      <c r="AE63" s="69"/>
      <c r="AF63" s="69"/>
      <c r="AG63" s="97"/>
      <c r="AH63" s="86"/>
      <c r="AI63" s="86"/>
      <c r="AJ63" s="86"/>
      <c r="AK63" s="86"/>
      <c r="AL63" s="97">
        <f>AM63+AN63</f>
        <v>15000</v>
      </c>
      <c r="AM63" s="86">
        <v>7500</v>
      </c>
      <c r="AN63" s="86">
        <v>7500</v>
      </c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</row>
    <row r="64" spans="1:53" s="15" customFormat="1" ht="45">
      <c r="A64" s="43" t="s">
        <v>278</v>
      </c>
      <c r="B64" s="73" t="s">
        <v>132</v>
      </c>
      <c r="C64" s="68"/>
      <c r="D64" s="38">
        <f t="shared" si="8"/>
        <v>43000</v>
      </c>
      <c r="E64" s="69"/>
      <c r="F64" s="69"/>
      <c r="G64" s="69"/>
      <c r="H64" s="69"/>
      <c r="I64" s="69"/>
      <c r="J64" s="69"/>
      <c r="K64" s="69"/>
      <c r="L64" s="69"/>
      <c r="M64" s="51"/>
      <c r="N64" s="111"/>
      <c r="O64" s="111"/>
      <c r="P64" s="111"/>
      <c r="Q64" s="69"/>
      <c r="R64" s="69"/>
      <c r="S64" s="69"/>
      <c r="T64" s="69"/>
      <c r="U64" s="69"/>
      <c r="V64" s="69"/>
      <c r="W64" s="69">
        <f>X64+Y64</f>
        <v>13000</v>
      </c>
      <c r="X64" s="79"/>
      <c r="Y64" s="79">
        <v>13000</v>
      </c>
      <c r="Z64" s="79"/>
      <c r="AA64" s="79"/>
      <c r="AB64" s="69"/>
      <c r="AC64" s="79"/>
      <c r="AD64" s="79"/>
      <c r="AE64" s="69"/>
      <c r="AF64" s="69"/>
      <c r="AG64" s="97"/>
      <c r="AH64" s="86"/>
      <c r="AI64" s="86"/>
      <c r="AJ64" s="86"/>
      <c r="AK64" s="86"/>
      <c r="AL64" s="97">
        <f>AM64+AN64</f>
        <v>30000</v>
      </c>
      <c r="AM64" s="86">
        <v>15000</v>
      </c>
      <c r="AN64" s="86">
        <v>15000</v>
      </c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</row>
    <row r="65" spans="1:53" s="15" customFormat="1" ht="12.75" customHeight="1">
      <c r="A65" s="43" t="s">
        <v>279</v>
      </c>
      <c r="B65" s="73" t="s">
        <v>133</v>
      </c>
      <c r="C65" s="68"/>
      <c r="D65" s="38">
        <f t="shared" si="8"/>
        <v>45000</v>
      </c>
      <c r="E65" s="69"/>
      <c r="F65" s="69"/>
      <c r="G65" s="69"/>
      <c r="H65" s="69"/>
      <c r="I65" s="69"/>
      <c r="J65" s="69"/>
      <c r="K65" s="69"/>
      <c r="L65" s="69"/>
      <c r="M65" s="51"/>
      <c r="N65" s="111"/>
      <c r="O65" s="111"/>
      <c r="P65" s="111"/>
      <c r="Q65" s="69"/>
      <c r="R65" s="69"/>
      <c r="S65" s="69"/>
      <c r="T65" s="69"/>
      <c r="U65" s="69"/>
      <c r="V65" s="69"/>
      <c r="W65" s="69"/>
      <c r="X65" s="79"/>
      <c r="Y65" s="79"/>
      <c r="Z65" s="79"/>
      <c r="AA65" s="79"/>
      <c r="AB65" s="69"/>
      <c r="AC65" s="79"/>
      <c r="AD65" s="79"/>
      <c r="AE65" s="69"/>
      <c r="AF65" s="69"/>
      <c r="AG65" s="97"/>
      <c r="AH65" s="86"/>
      <c r="AI65" s="86"/>
      <c r="AJ65" s="86"/>
      <c r="AK65" s="86"/>
      <c r="AL65" s="97">
        <f>AM65+AN65</f>
        <v>45000</v>
      </c>
      <c r="AM65" s="86">
        <v>22500</v>
      </c>
      <c r="AN65" s="86">
        <v>22500</v>
      </c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</row>
    <row r="66" spans="1:53" s="15" customFormat="1" ht="12.75" customHeight="1">
      <c r="A66" s="43" t="s">
        <v>280</v>
      </c>
      <c r="B66" s="73" t="s">
        <v>112</v>
      </c>
      <c r="C66" s="68"/>
      <c r="D66" s="38">
        <f t="shared" si="8"/>
        <v>20000</v>
      </c>
      <c r="E66" s="69"/>
      <c r="F66" s="69"/>
      <c r="G66" s="69"/>
      <c r="H66" s="69"/>
      <c r="I66" s="69"/>
      <c r="J66" s="69"/>
      <c r="K66" s="69"/>
      <c r="L66" s="69"/>
      <c r="M66" s="51"/>
      <c r="N66" s="111"/>
      <c r="O66" s="111"/>
      <c r="P66" s="111"/>
      <c r="Q66" s="69"/>
      <c r="R66" s="69"/>
      <c r="S66" s="69"/>
      <c r="T66" s="69"/>
      <c r="U66" s="69"/>
      <c r="V66" s="69"/>
      <c r="W66" s="69"/>
      <c r="X66" s="79"/>
      <c r="Y66" s="79"/>
      <c r="Z66" s="79"/>
      <c r="AA66" s="79"/>
      <c r="AB66" s="69"/>
      <c r="AC66" s="79"/>
      <c r="AD66" s="79"/>
      <c r="AE66" s="69"/>
      <c r="AF66" s="69"/>
      <c r="AG66" s="97"/>
      <c r="AH66" s="86"/>
      <c r="AI66" s="86"/>
      <c r="AJ66" s="86"/>
      <c r="AK66" s="86"/>
      <c r="AL66" s="97"/>
      <c r="AM66" s="86"/>
      <c r="AN66" s="86"/>
      <c r="AO66" s="97"/>
      <c r="AP66" s="97">
        <f>AQ66+AR66</f>
        <v>20000</v>
      </c>
      <c r="AQ66" s="86">
        <v>10000</v>
      </c>
      <c r="AR66" s="86">
        <v>10000</v>
      </c>
      <c r="AS66" s="97"/>
      <c r="AT66" s="97"/>
      <c r="AU66" s="97"/>
      <c r="AV66" s="97"/>
      <c r="AW66" s="97"/>
      <c r="AX66" s="97"/>
      <c r="AY66" s="97"/>
      <c r="AZ66" s="97"/>
      <c r="BA66" s="97"/>
    </row>
    <row r="67" spans="1:53" s="15" customFormat="1" ht="22.5">
      <c r="A67" s="43" t="s">
        <v>408</v>
      </c>
      <c r="B67" s="73" t="s">
        <v>134</v>
      </c>
      <c r="C67" s="68"/>
      <c r="D67" s="38">
        <f t="shared" si="8"/>
        <v>15000</v>
      </c>
      <c r="E67" s="69"/>
      <c r="F67" s="69"/>
      <c r="G67" s="69"/>
      <c r="H67" s="69"/>
      <c r="I67" s="69"/>
      <c r="J67" s="69"/>
      <c r="K67" s="69"/>
      <c r="L67" s="69"/>
      <c r="M67" s="51"/>
      <c r="N67" s="111"/>
      <c r="O67" s="111"/>
      <c r="P67" s="111"/>
      <c r="Q67" s="69"/>
      <c r="R67" s="69"/>
      <c r="S67" s="69"/>
      <c r="T67" s="69"/>
      <c r="U67" s="69"/>
      <c r="V67" s="69"/>
      <c r="W67" s="69"/>
      <c r="X67" s="79"/>
      <c r="Y67" s="79"/>
      <c r="Z67" s="79"/>
      <c r="AA67" s="79"/>
      <c r="AB67" s="69"/>
      <c r="AC67" s="79"/>
      <c r="AD67" s="79"/>
      <c r="AE67" s="69"/>
      <c r="AF67" s="69"/>
      <c r="AG67" s="97"/>
      <c r="AH67" s="86"/>
      <c r="AI67" s="86"/>
      <c r="AJ67" s="86"/>
      <c r="AK67" s="86"/>
      <c r="AL67" s="97"/>
      <c r="AM67" s="86"/>
      <c r="AN67" s="86"/>
      <c r="AO67" s="97"/>
      <c r="AP67" s="97">
        <f>AQ67+AR67</f>
        <v>15000</v>
      </c>
      <c r="AQ67" s="86">
        <v>7500</v>
      </c>
      <c r="AR67" s="86">
        <v>7500</v>
      </c>
      <c r="AS67" s="97"/>
      <c r="AT67" s="97"/>
      <c r="AU67" s="97"/>
      <c r="AV67" s="97"/>
      <c r="AW67" s="97"/>
      <c r="AX67" s="97"/>
      <c r="AY67" s="97"/>
      <c r="AZ67" s="97"/>
      <c r="BA67" s="97"/>
    </row>
    <row r="68" spans="1:53" s="15" customFormat="1" ht="22.5">
      <c r="A68" s="43" t="s">
        <v>410</v>
      </c>
      <c r="B68" s="73" t="s">
        <v>409</v>
      </c>
      <c r="C68" s="68"/>
      <c r="D68" s="38">
        <f t="shared" si="8"/>
        <v>90</v>
      </c>
      <c r="E68" s="69"/>
      <c r="F68" s="69"/>
      <c r="G68" s="69"/>
      <c r="H68" s="69"/>
      <c r="I68" s="69"/>
      <c r="J68" s="69"/>
      <c r="K68" s="69"/>
      <c r="L68" s="69"/>
      <c r="M68" s="51"/>
      <c r="N68" s="111"/>
      <c r="O68" s="111"/>
      <c r="P68" s="111"/>
      <c r="Q68" s="69"/>
      <c r="R68" s="69"/>
      <c r="S68" s="69"/>
      <c r="T68" s="69"/>
      <c r="U68" s="69"/>
      <c r="V68" s="69"/>
      <c r="W68" s="69">
        <f>X68+Y68</f>
        <v>90</v>
      </c>
      <c r="X68" s="79"/>
      <c r="Y68" s="79">
        <v>90</v>
      </c>
      <c r="Z68" s="79"/>
      <c r="AA68" s="79"/>
      <c r="AB68" s="69"/>
      <c r="AC68" s="79"/>
      <c r="AD68" s="79"/>
      <c r="AE68" s="69"/>
      <c r="AF68" s="69"/>
      <c r="AG68" s="97"/>
      <c r="AH68" s="86"/>
      <c r="AI68" s="86"/>
      <c r="AJ68" s="86"/>
      <c r="AK68" s="86"/>
      <c r="AL68" s="97"/>
      <c r="AM68" s="86"/>
      <c r="AN68" s="86"/>
      <c r="AO68" s="97"/>
      <c r="AP68" s="97"/>
      <c r="AQ68" s="86"/>
      <c r="AR68" s="86"/>
      <c r="AS68" s="97"/>
      <c r="AT68" s="97"/>
      <c r="AU68" s="97"/>
      <c r="AV68" s="97"/>
      <c r="AW68" s="97"/>
      <c r="AX68" s="97"/>
      <c r="AY68" s="97"/>
      <c r="AZ68" s="97"/>
      <c r="BA68" s="97"/>
    </row>
    <row r="69" spans="1:53" s="15" customFormat="1" ht="22.5">
      <c r="A69" s="43" t="s">
        <v>411</v>
      </c>
      <c r="B69" s="73" t="s">
        <v>412</v>
      </c>
      <c r="C69" s="68"/>
      <c r="D69" s="38">
        <f>R69+W69+AB69+AG69+AL69+AP69+AT69+AX69</f>
        <v>20</v>
      </c>
      <c r="E69" s="69"/>
      <c r="F69" s="69"/>
      <c r="G69" s="69"/>
      <c r="H69" s="69"/>
      <c r="I69" s="69"/>
      <c r="J69" s="69"/>
      <c r="K69" s="69"/>
      <c r="L69" s="69"/>
      <c r="M69" s="51"/>
      <c r="N69" s="111"/>
      <c r="O69" s="111"/>
      <c r="P69" s="111"/>
      <c r="Q69" s="69"/>
      <c r="R69" s="69"/>
      <c r="S69" s="69"/>
      <c r="T69" s="69"/>
      <c r="U69" s="69"/>
      <c r="V69" s="69"/>
      <c r="W69" s="69">
        <f>X69+Y69</f>
        <v>20</v>
      </c>
      <c r="X69" s="79"/>
      <c r="Y69" s="79">
        <v>20</v>
      </c>
      <c r="Z69" s="79"/>
      <c r="AA69" s="79"/>
      <c r="AB69" s="69"/>
      <c r="AC69" s="79"/>
      <c r="AD69" s="79"/>
      <c r="AE69" s="69"/>
      <c r="AF69" s="69"/>
      <c r="AG69" s="97"/>
      <c r="AH69" s="86"/>
      <c r="AI69" s="86"/>
      <c r="AJ69" s="86"/>
      <c r="AK69" s="86"/>
      <c r="AL69" s="97"/>
      <c r="AM69" s="86"/>
      <c r="AN69" s="86"/>
      <c r="AO69" s="97"/>
      <c r="AP69" s="97"/>
      <c r="AQ69" s="86"/>
      <c r="AR69" s="86"/>
      <c r="AS69" s="97"/>
      <c r="AT69" s="97"/>
      <c r="AU69" s="97"/>
      <c r="AV69" s="97"/>
      <c r="AW69" s="97"/>
      <c r="AX69" s="97"/>
      <c r="AY69" s="97"/>
      <c r="AZ69" s="97"/>
      <c r="BA69" s="97"/>
    </row>
    <row r="70" spans="1:53" s="15" customFormat="1" ht="22.5">
      <c r="A70" s="43" t="s">
        <v>447</v>
      </c>
      <c r="B70" s="73" t="s">
        <v>413</v>
      </c>
      <c r="C70" s="68"/>
      <c r="D70" s="38">
        <f>R70+W70+AB70+AG70+AL70+AP70+AT70+AX70</f>
        <v>1440</v>
      </c>
      <c r="E70" s="69"/>
      <c r="F70" s="69"/>
      <c r="G70" s="69"/>
      <c r="H70" s="69"/>
      <c r="I70" s="69"/>
      <c r="J70" s="69"/>
      <c r="K70" s="69"/>
      <c r="L70" s="69"/>
      <c r="M70" s="51"/>
      <c r="N70" s="111"/>
      <c r="O70" s="111"/>
      <c r="P70" s="111"/>
      <c r="Q70" s="69"/>
      <c r="R70" s="69"/>
      <c r="S70" s="69"/>
      <c r="T70" s="69"/>
      <c r="U70" s="69"/>
      <c r="V70" s="69"/>
      <c r="W70" s="69">
        <f>X70+Y70</f>
        <v>1440</v>
      </c>
      <c r="X70" s="79"/>
      <c r="Y70" s="79">
        <f>80+1360</f>
        <v>1440</v>
      </c>
      <c r="Z70" s="79"/>
      <c r="AA70" s="79"/>
      <c r="AB70" s="69"/>
      <c r="AC70" s="79"/>
      <c r="AD70" s="79"/>
      <c r="AE70" s="69"/>
      <c r="AF70" s="69"/>
      <c r="AG70" s="97"/>
      <c r="AH70" s="86"/>
      <c r="AI70" s="86"/>
      <c r="AJ70" s="86"/>
      <c r="AK70" s="86"/>
      <c r="AL70" s="97"/>
      <c r="AM70" s="86"/>
      <c r="AN70" s="86"/>
      <c r="AO70" s="97"/>
      <c r="AP70" s="97"/>
      <c r="AQ70" s="86"/>
      <c r="AR70" s="86"/>
      <c r="AS70" s="97"/>
      <c r="AT70" s="97"/>
      <c r="AU70" s="97"/>
      <c r="AV70" s="97"/>
      <c r="AW70" s="97"/>
      <c r="AX70" s="97"/>
      <c r="AY70" s="97"/>
      <c r="AZ70" s="97"/>
      <c r="BA70" s="97"/>
    </row>
    <row r="71" spans="1:53" s="15" customFormat="1" ht="33.75">
      <c r="A71" s="43" t="s">
        <v>448</v>
      </c>
      <c r="B71" s="73" t="s">
        <v>164</v>
      </c>
      <c r="C71" s="68"/>
      <c r="D71" s="38">
        <f t="shared" si="8"/>
        <v>30000</v>
      </c>
      <c r="E71" s="69"/>
      <c r="F71" s="69"/>
      <c r="G71" s="69"/>
      <c r="H71" s="69"/>
      <c r="I71" s="69"/>
      <c r="J71" s="69"/>
      <c r="K71" s="69"/>
      <c r="L71" s="69"/>
      <c r="M71" s="51"/>
      <c r="N71" s="111"/>
      <c r="O71" s="111"/>
      <c r="P71" s="111"/>
      <c r="Q71" s="69"/>
      <c r="R71" s="69"/>
      <c r="S71" s="69"/>
      <c r="T71" s="69"/>
      <c r="U71" s="69"/>
      <c r="V71" s="69"/>
      <c r="W71" s="69"/>
      <c r="X71" s="79"/>
      <c r="Y71" s="79"/>
      <c r="Z71" s="79"/>
      <c r="AA71" s="79"/>
      <c r="AB71" s="69"/>
      <c r="AC71" s="79"/>
      <c r="AD71" s="79"/>
      <c r="AE71" s="69"/>
      <c r="AF71" s="69"/>
      <c r="AG71" s="97"/>
      <c r="AH71" s="86"/>
      <c r="AI71" s="86"/>
      <c r="AJ71" s="86"/>
      <c r="AK71" s="86"/>
      <c r="AL71" s="97"/>
      <c r="AM71" s="86"/>
      <c r="AN71" s="86"/>
      <c r="AO71" s="97"/>
      <c r="AP71" s="97">
        <f>AQ71+AR71</f>
        <v>0</v>
      </c>
      <c r="AQ71" s="86"/>
      <c r="AR71" s="86"/>
      <c r="AS71" s="97"/>
      <c r="AT71" s="97">
        <f>AU71+AV71+AW71</f>
        <v>30000</v>
      </c>
      <c r="AU71" s="97"/>
      <c r="AV71" s="86">
        <v>15000</v>
      </c>
      <c r="AW71" s="86">
        <v>15000</v>
      </c>
      <c r="AX71" s="97"/>
      <c r="AY71" s="97"/>
      <c r="AZ71" s="97"/>
      <c r="BA71" s="97"/>
    </row>
    <row r="72" spans="1:53" s="34" customFormat="1" ht="90" customHeight="1">
      <c r="A72" s="48" t="s">
        <v>258</v>
      </c>
      <c r="B72" s="58" t="s">
        <v>84</v>
      </c>
      <c r="C72" s="58"/>
      <c r="D72" s="85">
        <f aca="true" t="shared" si="12" ref="D72:S72">SUM(D73:D80)</f>
        <v>480729</v>
      </c>
      <c r="E72" s="85">
        <f t="shared" si="12"/>
        <v>0</v>
      </c>
      <c r="F72" s="85">
        <f t="shared" si="12"/>
        <v>0</v>
      </c>
      <c r="G72" s="85">
        <f t="shared" si="12"/>
        <v>0</v>
      </c>
      <c r="H72" s="85">
        <f t="shared" si="12"/>
        <v>0</v>
      </c>
      <c r="I72" s="85">
        <f t="shared" si="12"/>
        <v>0</v>
      </c>
      <c r="J72" s="85">
        <f t="shared" si="12"/>
        <v>0</v>
      </c>
      <c r="K72" s="85">
        <f t="shared" si="12"/>
        <v>0</v>
      </c>
      <c r="L72" s="85">
        <f t="shared" si="12"/>
        <v>0</v>
      </c>
      <c r="M72" s="85">
        <f t="shared" si="12"/>
        <v>0</v>
      </c>
      <c r="N72" s="85">
        <f t="shared" si="12"/>
        <v>0</v>
      </c>
      <c r="O72" s="85">
        <f t="shared" si="12"/>
        <v>0</v>
      </c>
      <c r="P72" s="85">
        <f t="shared" si="12"/>
        <v>0</v>
      </c>
      <c r="Q72" s="85">
        <f t="shared" si="12"/>
        <v>0</v>
      </c>
      <c r="R72" s="85">
        <f t="shared" si="12"/>
        <v>22959</v>
      </c>
      <c r="S72" s="85">
        <f t="shared" si="12"/>
        <v>35091</v>
      </c>
      <c r="T72" s="85">
        <f aca="true" t="shared" si="13" ref="T72:BA72">SUM(T73:T80)</f>
        <v>1148</v>
      </c>
      <c r="U72" s="85">
        <f t="shared" si="13"/>
        <v>13280</v>
      </c>
      <c r="V72" s="85">
        <f t="shared" si="13"/>
        <v>0</v>
      </c>
      <c r="W72" s="85">
        <f t="shared" si="13"/>
        <v>33983</v>
      </c>
      <c r="X72" s="85">
        <f t="shared" si="13"/>
        <v>32284</v>
      </c>
      <c r="Y72" s="85">
        <f t="shared" si="13"/>
        <v>1699</v>
      </c>
      <c r="Z72" s="85">
        <f t="shared" si="13"/>
        <v>0</v>
      </c>
      <c r="AA72" s="85">
        <f t="shared" si="13"/>
        <v>0</v>
      </c>
      <c r="AB72" s="85">
        <f t="shared" si="13"/>
        <v>89277</v>
      </c>
      <c r="AC72" s="85">
        <f t="shared" si="13"/>
        <v>84813</v>
      </c>
      <c r="AD72" s="85">
        <f t="shared" si="13"/>
        <v>4464</v>
      </c>
      <c r="AE72" s="85">
        <f t="shared" si="13"/>
        <v>0</v>
      </c>
      <c r="AF72" s="85">
        <f t="shared" si="13"/>
        <v>0</v>
      </c>
      <c r="AG72" s="85">
        <f t="shared" si="13"/>
        <v>43605</v>
      </c>
      <c r="AH72" s="85">
        <f t="shared" si="13"/>
        <v>41425</v>
      </c>
      <c r="AI72" s="85">
        <f t="shared" si="13"/>
        <v>2180</v>
      </c>
      <c r="AJ72" s="85">
        <f t="shared" si="13"/>
        <v>0</v>
      </c>
      <c r="AK72" s="85">
        <f t="shared" si="13"/>
        <v>0</v>
      </c>
      <c r="AL72" s="85">
        <f t="shared" si="13"/>
        <v>0</v>
      </c>
      <c r="AM72" s="85">
        <f t="shared" si="13"/>
        <v>0</v>
      </c>
      <c r="AN72" s="85">
        <f t="shared" si="13"/>
        <v>0</v>
      </c>
      <c r="AO72" s="85">
        <f t="shared" si="13"/>
        <v>0</v>
      </c>
      <c r="AP72" s="85">
        <f t="shared" si="13"/>
        <v>0</v>
      </c>
      <c r="AQ72" s="85">
        <f t="shared" si="13"/>
        <v>0</v>
      </c>
      <c r="AR72" s="85">
        <f t="shared" si="13"/>
        <v>0</v>
      </c>
      <c r="AS72" s="85">
        <f t="shared" si="13"/>
        <v>0</v>
      </c>
      <c r="AT72" s="85">
        <f t="shared" si="13"/>
        <v>0</v>
      </c>
      <c r="AU72" s="85">
        <f t="shared" si="13"/>
        <v>0</v>
      </c>
      <c r="AV72" s="85">
        <f t="shared" si="13"/>
        <v>0</v>
      </c>
      <c r="AW72" s="85">
        <f t="shared" si="13"/>
        <v>0</v>
      </c>
      <c r="AX72" s="85">
        <f t="shared" si="13"/>
        <v>0</v>
      </c>
      <c r="AY72" s="85">
        <f t="shared" si="13"/>
        <v>0</v>
      </c>
      <c r="AZ72" s="85">
        <f t="shared" si="13"/>
        <v>0</v>
      </c>
      <c r="BA72" s="85">
        <f t="shared" si="13"/>
        <v>0</v>
      </c>
    </row>
    <row r="73" spans="1:53" s="23" customFormat="1" ht="38.25" customHeight="1">
      <c r="A73" s="75" t="s">
        <v>96</v>
      </c>
      <c r="B73" s="135" t="s">
        <v>202</v>
      </c>
      <c r="C73" s="73" t="s">
        <v>375</v>
      </c>
      <c r="D73" s="69">
        <v>78786</v>
      </c>
      <c r="E73" s="69"/>
      <c r="F73" s="69"/>
      <c r="G73" s="69"/>
      <c r="H73" s="69"/>
      <c r="I73" s="69"/>
      <c r="J73" s="69"/>
      <c r="K73" s="69"/>
      <c r="L73" s="69"/>
      <c r="M73" s="51"/>
      <c r="N73" s="51"/>
      <c r="O73" s="51"/>
      <c r="P73" s="111"/>
      <c r="Q73" s="103"/>
      <c r="R73" s="104">
        <f>S73+T73+U73</f>
        <v>22959</v>
      </c>
      <c r="S73" s="101">
        <v>21811</v>
      </c>
      <c r="T73" s="101">
        <f>1148</f>
        <v>1148</v>
      </c>
      <c r="U73" s="71"/>
      <c r="V73" s="71"/>
      <c r="W73" s="104">
        <f>X73+Y73+Z73</f>
        <v>19081</v>
      </c>
      <c r="X73" s="101">
        <v>18127</v>
      </c>
      <c r="Y73" s="101">
        <v>954</v>
      </c>
      <c r="Z73" s="71"/>
      <c r="AA73" s="71"/>
      <c r="AB73" s="104">
        <f>AC73+AD73+AE73</f>
        <v>34458</v>
      </c>
      <c r="AC73" s="71">
        <v>32735</v>
      </c>
      <c r="AD73" s="71">
        <v>1723</v>
      </c>
      <c r="AE73" s="71"/>
      <c r="AF73" s="71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 s="23" customFormat="1" ht="38.25" customHeight="1">
      <c r="A74" s="43" t="s">
        <v>97</v>
      </c>
      <c r="B74" s="135" t="s">
        <v>203</v>
      </c>
      <c r="C74" s="73" t="s">
        <v>204</v>
      </c>
      <c r="D74" s="69">
        <v>88247</v>
      </c>
      <c r="E74" s="69"/>
      <c r="F74" s="69"/>
      <c r="G74" s="69"/>
      <c r="H74" s="69"/>
      <c r="I74" s="69"/>
      <c r="J74" s="69"/>
      <c r="K74" s="69"/>
      <c r="L74" s="69"/>
      <c r="M74" s="51"/>
      <c r="N74" s="51"/>
      <c r="O74" s="51"/>
      <c r="P74" s="111"/>
      <c r="Q74" s="103"/>
      <c r="R74" s="104"/>
      <c r="S74" s="101"/>
      <c r="T74" s="101"/>
      <c r="U74" s="71"/>
      <c r="V74" s="71"/>
      <c r="W74" s="104"/>
      <c r="X74" s="101"/>
      <c r="Y74" s="101"/>
      <c r="Z74" s="71"/>
      <c r="AA74" s="71"/>
      <c r="AB74" s="104">
        <f>AC74+AD74+AE74</f>
        <v>5263</v>
      </c>
      <c r="AC74" s="71">
        <v>5000</v>
      </c>
      <c r="AD74" s="71">
        <v>263</v>
      </c>
      <c r="AE74" s="71"/>
      <c r="AF74" s="71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s="23" customFormat="1" ht="90">
      <c r="A75" s="75" t="s">
        <v>449</v>
      </c>
      <c r="B75" s="136" t="s">
        <v>250</v>
      </c>
      <c r="C75" s="17"/>
      <c r="D75" s="37">
        <v>192354</v>
      </c>
      <c r="E75" s="18"/>
      <c r="F75" s="13"/>
      <c r="G75" s="14"/>
      <c r="H75" s="14"/>
      <c r="I75" s="19"/>
      <c r="J75" s="19"/>
      <c r="K75" s="19"/>
      <c r="L75" s="19"/>
      <c r="M75" s="109"/>
      <c r="N75" s="110"/>
      <c r="O75" s="110"/>
      <c r="P75" s="110"/>
      <c r="Q75" s="22"/>
      <c r="R75" s="20"/>
      <c r="S75" s="21"/>
      <c r="T75" s="21"/>
      <c r="U75" s="21"/>
      <c r="V75" s="21"/>
      <c r="W75" s="20"/>
      <c r="X75" s="21"/>
      <c r="Y75" s="114"/>
      <c r="Z75" s="21"/>
      <c r="AA75" s="21"/>
      <c r="AB75" s="20"/>
      <c r="AC75" s="21"/>
      <c r="AD75" s="21"/>
      <c r="AE75" s="21"/>
      <c r="AF75" s="21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s="23" customFormat="1" ht="33.75">
      <c r="A76" s="75" t="s">
        <v>450</v>
      </c>
      <c r="B76" s="136" t="s">
        <v>281</v>
      </c>
      <c r="C76" s="17" t="s">
        <v>286</v>
      </c>
      <c r="D76" s="37">
        <v>5950</v>
      </c>
      <c r="E76" s="18"/>
      <c r="F76" s="13"/>
      <c r="G76" s="14"/>
      <c r="H76" s="14"/>
      <c r="I76" s="19"/>
      <c r="J76" s="19"/>
      <c r="K76" s="19"/>
      <c r="L76" s="19"/>
      <c r="M76" s="109"/>
      <c r="N76" s="110"/>
      <c r="O76" s="110"/>
      <c r="P76" s="110"/>
      <c r="Q76" s="22"/>
      <c r="R76" s="20"/>
      <c r="S76" s="21"/>
      <c r="T76" s="21"/>
      <c r="U76" s="21"/>
      <c r="V76" s="21"/>
      <c r="W76" s="20"/>
      <c r="X76" s="21"/>
      <c r="Y76" s="21"/>
      <c r="Z76" s="21"/>
      <c r="AA76" s="21"/>
      <c r="AB76" s="104">
        <f>AC76+AD76+AE76</f>
        <v>5951</v>
      </c>
      <c r="AC76" s="18">
        <f>5950*0.95</f>
        <v>5653</v>
      </c>
      <c r="AD76" s="18">
        <f>5950*0.05</f>
        <v>298</v>
      </c>
      <c r="AE76" s="21"/>
      <c r="AF76" s="21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 s="23" customFormat="1" ht="33.75">
      <c r="A77" s="75" t="s">
        <v>451</v>
      </c>
      <c r="B77" s="136" t="s">
        <v>282</v>
      </c>
      <c r="C77" s="17" t="s">
        <v>284</v>
      </c>
      <c r="D77" s="37">
        <f>2721807*4.64*1.18/1000</f>
        <v>14902</v>
      </c>
      <c r="E77" s="18"/>
      <c r="F77" s="13"/>
      <c r="G77" s="14"/>
      <c r="H77" s="14"/>
      <c r="I77" s="19"/>
      <c r="J77" s="19"/>
      <c r="K77" s="19"/>
      <c r="L77" s="19"/>
      <c r="M77" s="109"/>
      <c r="N77" s="110"/>
      <c r="O77" s="110"/>
      <c r="P77" s="110"/>
      <c r="Q77" s="22"/>
      <c r="R77" s="20"/>
      <c r="S77" s="21"/>
      <c r="T77" s="21"/>
      <c r="U77" s="21"/>
      <c r="V77" s="21"/>
      <c r="W77" s="104">
        <f>X77+Y77+Z77</f>
        <v>14902</v>
      </c>
      <c r="X77" s="18">
        <f>2721807*4.64*1.18/1000*0.95</f>
        <v>14157</v>
      </c>
      <c r="Y77" s="18">
        <f>2721807*4.64*1.18/1000*0.05</f>
        <v>745</v>
      </c>
      <c r="Z77" s="21"/>
      <c r="AA77" s="21"/>
      <c r="AB77" s="20"/>
      <c r="AC77" s="21"/>
      <c r="AD77" s="21"/>
      <c r="AE77" s="21"/>
      <c r="AF77" s="21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s="23" customFormat="1" ht="45">
      <c r="A78" s="75" t="s">
        <v>452</v>
      </c>
      <c r="B78" s="136" t="s">
        <v>283</v>
      </c>
      <c r="C78" s="17" t="s">
        <v>287</v>
      </c>
      <c r="D78" s="37">
        <v>87210</v>
      </c>
      <c r="E78" s="18"/>
      <c r="F78" s="13"/>
      <c r="G78" s="14"/>
      <c r="H78" s="14"/>
      <c r="I78" s="19"/>
      <c r="J78" s="19"/>
      <c r="K78" s="19"/>
      <c r="L78" s="19"/>
      <c r="M78" s="109"/>
      <c r="N78" s="110"/>
      <c r="O78" s="110"/>
      <c r="P78" s="110"/>
      <c r="Q78" s="22"/>
      <c r="R78" s="20"/>
      <c r="S78" s="21"/>
      <c r="T78" s="21"/>
      <c r="U78" s="21"/>
      <c r="V78" s="21"/>
      <c r="W78" s="20"/>
      <c r="X78" s="21"/>
      <c r="Y78" s="21"/>
      <c r="Z78" s="21"/>
      <c r="AA78" s="21"/>
      <c r="AB78" s="97">
        <f>AC78+AD78+AE78</f>
        <v>43605</v>
      </c>
      <c r="AC78" s="21">
        <f>87210*0.95/2</f>
        <v>41425</v>
      </c>
      <c r="AD78" s="21">
        <f>87210*0.05/2</f>
        <v>2180</v>
      </c>
      <c r="AE78" s="21"/>
      <c r="AF78" s="21"/>
      <c r="AG78" s="97">
        <f>AH78+AI78+AJ78</f>
        <v>43605</v>
      </c>
      <c r="AH78" s="21">
        <f>87210*0.95/2</f>
        <v>41425</v>
      </c>
      <c r="AI78" s="21">
        <f>87210*0.05/2</f>
        <v>2180</v>
      </c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s="23" customFormat="1" ht="22.5">
      <c r="A79" s="75" t="s">
        <v>453</v>
      </c>
      <c r="B79" s="136" t="s">
        <v>376</v>
      </c>
      <c r="C79" s="17" t="s">
        <v>377</v>
      </c>
      <c r="D79" s="37">
        <v>6640</v>
      </c>
      <c r="E79" s="18"/>
      <c r="F79" s="13"/>
      <c r="G79" s="14"/>
      <c r="H79" s="14"/>
      <c r="I79" s="19"/>
      <c r="J79" s="19"/>
      <c r="K79" s="19"/>
      <c r="L79" s="19"/>
      <c r="M79" s="109"/>
      <c r="N79" s="110"/>
      <c r="O79" s="110"/>
      <c r="P79" s="110"/>
      <c r="Q79" s="22"/>
      <c r="R79" s="20"/>
      <c r="S79" s="104">
        <f>T79+U79+V79</f>
        <v>6640</v>
      </c>
      <c r="T79" s="21"/>
      <c r="U79" s="21">
        <v>6640</v>
      </c>
      <c r="V79" s="21"/>
      <c r="W79" s="20"/>
      <c r="X79" s="21"/>
      <c r="Y79" s="21"/>
      <c r="Z79" s="21"/>
      <c r="AA79" s="21"/>
      <c r="AB79" s="97"/>
      <c r="AC79" s="21"/>
      <c r="AD79" s="21"/>
      <c r="AE79" s="21"/>
      <c r="AF79" s="21"/>
      <c r="AG79" s="97"/>
      <c r="AH79" s="21"/>
      <c r="AI79" s="21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s="23" customFormat="1" ht="33.75">
      <c r="A80" s="75" t="s">
        <v>454</v>
      </c>
      <c r="B80" s="136" t="s">
        <v>378</v>
      </c>
      <c r="C80" s="17" t="s">
        <v>81</v>
      </c>
      <c r="D80" s="37">
        <v>6640</v>
      </c>
      <c r="E80" s="18"/>
      <c r="F80" s="13"/>
      <c r="G80" s="14"/>
      <c r="H80" s="14"/>
      <c r="I80" s="19"/>
      <c r="J80" s="19"/>
      <c r="K80" s="19"/>
      <c r="L80" s="19"/>
      <c r="M80" s="109"/>
      <c r="N80" s="110"/>
      <c r="O80" s="110"/>
      <c r="P80" s="110"/>
      <c r="Q80" s="22"/>
      <c r="R80" s="20"/>
      <c r="S80" s="104">
        <f>T80+U80+V80</f>
        <v>6640</v>
      </c>
      <c r="T80" s="21"/>
      <c r="U80" s="21">
        <v>6640</v>
      </c>
      <c r="V80" s="21"/>
      <c r="W80" s="20"/>
      <c r="X80" s="21"/>
      <c r="Y80" s="21"/>
      <c r="Z80" s="21"/>
      <c r="AA80" s="21"/>
      <c r="AB80" s="20"/>
      <c r="AC80" s="21"/>
      <c r="AD80" s="21"/>
      <c r="AE80" s="21"/>
      <c r="AF80" s="21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s="23" customFormat="1" ht="90.75" customHeight="1">
      <c r="A81" s="129" t="s">
        <v>455</v>
      </c>
      <c r="B81" s="32" t="s">
        <v>163</v>
      </c>
      <c r="C81" s="29"/>
      <c r="D81" s="31">
        <f>SUM(D82:D95)</f>
        <v>958563</v>
      </c>
      <c r="E81" s="31">
        <f aca="true" t="shared" si="14" ref="E81:AA81">SUM(E82:E95)</f>
        <v>456</v>
      </c>
      <c r="F81" s="31">
        <f t="shared" si="14"/>
        <v>37006</v>
      </c>
      <c r="G81" s="31" t="e">
        <f t="shared" si="14"/>
        <v>#REF!</v>
      </c>
      <c r="H81" s="31" t="e">
        <f t="shared" si="14"/>
        <v>#REF!</v>
      </c>
      <c r="I81" s="31" t="e">
        <f t="shared" si="14"/>
        <v>#REF!</v>
      </c>
      <c r="J81" s="31" t="e">
        <f t="shared" si="14"/>
        <v>#REF!</v>
      </c>
      <c r="K81" s="31">
        <f t="shared" si="14"/>
        <v>0</v>
      </c>
      <c r="L81" s="31">
        <f t="shared" si="14"/>
        <v>0</v>
      </c>
      <c r="M81" s="31">
        <f t="shared" si="14"/>
        <v>23026</v>
      </c>
      <c r="N81" s="31">
        <f t="shared" si="14"/>
        <v>20724</v>
      </c>
      <c r="O81" s="31">
        <f t="shared" si="14"/>
        <v>2302</v>
      </c>
      <c r="P81" s="31">
        <f t="shared" si="14"/>
        <v>0</v>
      </c>
      <c r="Q81" s="31">
        <f t="shared" si="14"/>
        <v>0</v>
      </c>
      <c r="R81" s="31">
        <f t="shared" si="14"/>
        <v>109101</v>
      </c>
      <c r="S81" s="31">
        <f t="shared" si="14"/>
        <v>99129</v>
      </c>
      <c r="T81" s="31">
        <f t="shared" si="14"/>
        <v>9972</v>
      </c>
      <c r="U81" s="31">
        <f t="shared" si="14"/>
        <v>0</v>
      </c>
      <c r="V81" s="31">
        <f t="shared" si="14"/>
        <v>0</v>
      </c>
      <c r="W81" s="31">
        <f t="shared" si="14"/>
        <v>97572</v>
      </c>
      <c r="X81" s="31">
        <f t="shared" si="14"/>
        <v>48501</v>
      </c>
      <c r="Y81" s="31">
        <f t="shared" si="14"/>
        <v>49072</v>
      </c>
      <c r="Z81" s="31">
        <f t="shared" si="14"/>
        <v>0</v>
      </c>
      <c r="AA81" s="31">
        <f t="shared" si="14"/>
        <v>0</v>
      </c>
      <c r="AB81" s="31">
        <f>SUM(AB82:AB95)</f>
        <v>181906</v>
      </c>
      <c r="AC81" s="31">
        <f aca="true" t="shared" si="15" ref="AC81:BA81">SUM(AC82:AC95)</f>
        <v>18702</v>
      </c>
      <c r="AD81" s="31">
        <f t="shared" si="15"/>
        <v>163204</v>
      </c>
      <c r="AE81" s="31">
        <f t="shared" si="15"/>
        <v>0</v>
      </c>
      <c r="AF81" s="31">
        <f t="shared" si="15"/>
        <v>0</v>
      </c>
      <c r="AG81" s="31">
        <f t="shared" si="15"/>
        <v>179129</v>
      </c>
      <c r="AH81" s="31">
        <f t="shared" si="15"/>
        <v>16737</v>
      </c>
      <c r="AI81" s="31">
        <f t="shared" si="15"/>
        <v>162391</v>
      </c>
      <c r="AJ81" s="31">
        <f t="shared" si="15"/>
        <v>0</v>
      </c>
      <c r="AK81" s="31">
        <f t="shared" si="15"/>
        <v>0</v>
      </c>
      <c r="AL81" s="31">
        <f t="shared" si="15"/>
        <v>105633</v>
      </c>
      <c r="AM81" s="31">
        <f t="shared" si="15"/>
        <v>24810</v>
      </c>
      <c r="AN81" s="31">
        <f t="shared" si="15"/>
        <v>80823</v>
      </c>
      <c r="AO81" s="31">
        <f t="shared" si="15"/>
        <v>0</v>
      </c>
      <c r="AP81" s="31">
        <f t="shared" si="15"/>
        <v>45684</v>
      </c>
      <c r="AQ81" s="31">
        <f t="shared" si="15"/>
        <v>15656</v>
      </c>
      <c r="AR81" s="31">
        <f t="shared" si="15"/>
        <v>45684</v>
      </c>
      <c r="AS81" s="31">
        <f t="shared" si="15"/>
        <v>15656</v>
      </c>
      <c r="AT81" s="31">
        <f t="shared" si="15"/>
        <v>79380</v>
      </c>
      <c r="AU81" s="31">
        <f t="shared" si="15"/>
        <v>0</v>
      </c>
      <c r="AV81" s="31">
        <f t="shared" si="15"/>
        <v>79380</v>
      </c>
      <c r="AW81" s="31">
        <f t="shared" si="15"/>
        <v>0</v>
      </c>
      <c r="AX81" s="31">
        <f t="shared" si="15"/>
        <v>72784</v>
      </c>
      <c r="AY81" s="31">
        <f t="shared" si="15"/>
        <v>0</v>
      </c>
      <c r="AZ81" s="31">
        <f t="shared" si="15"/>
        <v>72784</v>
      </c>
      <c r="BA81" s="31">
        <f t="shared" si="15"/>
        <v>0</v>
      </c>
    </row>
    <row r="82" spans="1:53" s="74" customFormat="1" ht="45">
      <c r="A82" s="72" t="s">
        <v>98</v>
      </c>
      <c r="B82" s="73" t="s">
        <v>73</v>
      </c>
      <c r="C82" s="73" t="s">
        <v>72</v>
      </c>
      <c r="D82" s="20">
        <v>331478</v>
      </c>
      <c r="E82" s="21"/>
      <c r="F82" s="21"/>
      <c r="G82" s="21"/>
      <c r="H82" s="21"/>
      <c r="I82" s="21"/>
      <c r="J82" s="21"/>
      <c r="K82" s="21"/>
      <c r="L82" s="21"/>
      <c r="M82" s="20"/>
      <c r="N82" s="21"/>
      <c r="O82" s="21"/>
      <c r="P82" s="21"/>
      <c r="Q82" s="21"/>
      <c r="R82" s="20">
        <f>S82+T82+U82</f>
        <v>3065</v>
      </c>
      <c r="S82" s="21">
        <v>2868</v>
      </c>
      <c r="T82" s="86">
        <v>197</v>
      </c>
      <c r="U82" s="21"/>
      <c r="V82" s="71"/>
      <c r="W82" s="20">
        <f>X82+Y82+Z82</f>
        <v>48346</v>
      </c>
      <c r="X82" s="21">
        <v>4198</v>
      </c>
      <c r="Y82" s="101">
        <f>43927.5+220.9</f>
        <v>44148.4</v>
      </c>
      <c r="Z82" s="71"/>
      <c r="AA82" s="71"/>
      <c r="AB82" s="70">
        <f>AC82+AD82+AE82</f>
        <v>148500</v>
      </c>
      <c r="AC82" s="70"/>
      <c r="AD82" s="71">
        <f>118500+30000</f>
        <v>148500</v>
      </c>
      <c r="AE82" s="71"/>
      <c r="AF82" s="71"/>
      <c r="AG82" s="20">
        <f>AH82+AI82+AJ82</f>
        <v>104632</v>
      </c>
      <c r="AH82" s="71"/>
      <c r="AI82" s="101">
        <f>44631.6+60000</f>
        <v>104631.6</v>
      </c>
      <c r="AJ82" s="101"/>
      <c r="AK82" s="101"/>
      <c r="AL82" s="20">
        <f>AM82+AN82+AO82</f>
        <v>26066</v>
      </c>
      <c r="AM82" s="71"/>
      <c r="AN82" s="20">
        <f>30000-3934</f>
        <v>26066</v>
      </c>
      <c r="AO82" s="71"/>
      <c r="AP82" s="71"/>
      <c r="AQ82" s="71"/>
      <c r="AR82" s="71"/>
      <c r="AS82" s="95"/>
      <c r="AT82" s="95"/>
      <c r="AU82" s="95"/>
      <c r="AV82" s="95"/>
      <c r="AW82" s="95"/>
      <c r="AX82" s="95"/>
      <c r="AY82" s="95"/>
      <c r="AZ82" s="95"/>
      <c r="BA82" s="95"/>
    </row>
    <row r="83" spans="1:54" s="74" customFormat="1" ht="45">
      <c r="A83" s="72" t="s">
        <v>99</v>
      </c>
      <c r="B83" s="73" t="s">
        <v>186</v>
      </c>
      <c r="C83" s="73" t="s">
        <v>285</v>
      </c>
      <c r="D83" s="70">
        <v>93639</v>
      </c>
      <c r="E83" s="71"/>
      <c r="F83" s="71"/>
      <c r="G83" s="71"/>
      <c r="H83" s="71"/>
      <c r="I83" s="71"/>
      <c r="J83" s="71"/>
      <c r="K83" s="71"/>
      <c r="L83" s="71"/>
      <c r="M83" s="109">
        <f>N83+O83</f>
        <v>4363</v>
      </c>
      <c r="N83" s="110">
        <v>3927</v>
      </c>
      <c r="O83" s="110">
        <v>436</v>
      </c>
      <c r="P83" s="110"/>
      <c r="Q83" s="71"/>
      <c r="R83" s="20"/>
      <c r="S83" s="101"/>
      <c r="T83" s="71"/>
      <c r="U83" s="71"/>
      <c r="V83" s="71"/>
      <c r="W83" s="20">
        <f>X83+Y83+Z83</f>
        <v>14213</v>
      </c>
      <c r="X83" s="71">
        <f>6195+6597</f>
        <v>12792</v>
      </c>
      <c r="Y83" s="71">
        <f>688+733</f>
        <v>1421</v>
      </c>
      <c r="Z83" s="71"/>
      <c r="AA83" s="71"/>
      <c r="AB83" s="70">
        <f>AC83+AD83+AE83</f>
        <v>12626</v>
      </c>
      <c r="AC83" s="71"/>
      <c r="AD83" s="71">
        <v>12626</v>
      </c>
      <c r="AE83" s="71"/>
      <c r="AF83" s="71"/>
      <c r="AG83" s="70">
        <f>AH83+AI83+AJ83</f>
        <v>12000</v>
      </c>
      <c r="AH83" s="71"/>
      <c r="AI83" s="71">
        <v>12000</v>
      </c>
      <c r="AJ83" s="95"/>
      <c r="AK83" s="95"/>
      <c r="AL83" s="70">
        <f>AM83+AN83+AO83</f>
        <v>12000</v>
      </c>
      <c r="AM83" s="71"/>
      <c r="AN83" s="71">
        <v>12000</v>
      </c>
      <c r="AO83" s="95"/>
      <c r="AP83" s="70">
        <f>AQ83+AR83+AS83</f>
        <v>15000</v>
      </c>
      <c r="AQ83" s="71"/>
      <c r="AR83" s="71">
        <v>15000</v>
      </c>
      <c r="AS83" s="95"/>
      <c r="AT83" s="70">
        <f>AU83+AV83+AW83</f>
        <v>15000</v>
      </c>
      <c r="AU83" s="71"/>
      <c r="AV83" s="71">
        <v>15000</v>
      </c>
      <c r="AW83" s="95"/>
      <c r="AX83" s="70">
        <f>AY83+AZ83+BA83</f>
        <v>15000</v>
      </c>
      <c r="AY83" s="71"/>
      <c r="AZ83" s="71">
        <v>15000</v>
      </c>
      <c r="BA83" s="95"/>
      <c r="BB83" s="102"/>
    </row>
    <row r="84" spans="1:53" s="74" customFormat="1" ht="22.5">
      <c r="A84" s="72" t="s">
        <v>100</v>
      </c>
      <c r="B84" s="73" t="s">
        <v>74</v>
      </c>
      <c r="C84" s="73" t="s">
        <v>379</v>
      </c>
      <c r="D84" s="70">
        <v>17210</v>
      </c>
      <c r="E84" s="71"/>
      <c r="F84" s="71"/>
      <c r="G84" s="71"/>
      <c r="H84" s="71"/>
      <c r="I84" s="71"/>
      <c r="J84" s="71"/>
      <c r="K84" s="71"/>
      <c r="L84" s="71"/>
      <c r="M84" s="109"/>
      <c r="N84" s="110"/>
      <c r="O84" s="110"/>
      <c r="P84" s="110"/>
      <c r="Q84" s="71"/>
      <c r="R84" s="20">
        <f aca="true" t="shared" si="16" ref="R84:R90">S84+T84+U84</f>
        <v>13652</v>
      </c>
      <c r="S84" s="101">
        <v>12287</v>
      </c>
      <c r="T84" s="71">
        <v>1365</v>
      </c>
      <c r="U84" s="71"/>
      <c r="V84" s="71"/>
      <c r="W84" s="20">
        <f>X84+Y84+Z84</f>
        <v>3558</v>
      </c>
      <c r="X84" s="71">
        <f>(D84-R84)*0.9</f>
        <v>3202</v>
      </c>
      <c r="Y84" s="71">
        <f>X84/0.9*0.1</f>
        <v>356</v>
      </c>
      <c r="Z84" s="71"/>
      <c r="AA84" s="71"/>
      <c r="AB84" s="71"/>
      <c r="AC84" s="71"/>
      <c r="AD84" s="71"/>
      <c r="AE84" s="71"/>
      <c r="AF84" s="71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</row>
    <row r="85" spans="1:53" s="60" customFormat="1" ht="45">
      <c r="A85" s="53" t="s">
        <v>101</v>
      </c>
      <c r="B85" s="17" t="s">
        <v>214</v>
      </c>
      <c r="C85" s="17" t="s">
        <v>215</v>
      </c>
      <c r="D85" s="20">
        <v>37462</v>
      </c>
      <c r="E85" s="59">
        <v>456</v>
      </c>
      <c r="F85" s="62">
        <f>D85-E85</f>
        <v>37006</v>
      </c>
      <c r="G85" s="63" t="e">
        <f>#REF!</f>
        <v>#REF!</v>
      </c>
      <c r="H85" s="63" t="e">
        <f>#REF!</f>
        <v>#REF!</v>
      </c>
      <c r="I85" s="64" t="e">
        <f>#REF!</f>
        <v>#REF!</v>
      </c>
      <c r="J85" s="64" t="e">
        <f>#REF!</f>
        <v>#REF!</v>
      </c>
      <c r="K85" s="64"/>
      <c r="L85" s="64"/>
      <c r="M85" s="112">
        <f>N85+O85+P85</f>
        <v>18663</v>
      </c>
      <c r="N85" s="110">
        <v>16797</v>
      </c>
      <c r="O85" s="110">
        <v>1866</v>
      </c>
      <c r="P85" s="113"/>
      <c r="Q85" s="18"/>
      <c r="R85" s="20">
        <f t="shared" si="16"/>
        <v>26199</v>
      </c>
      <c r="S85" s="21">
        <v>23579</v>
      </c>
      <c r="T85" s="21">
        <v>2620</v>
      </c>
      <c r="U85" s="21"/>
      <c r="V85" s="21"/>
      <c r="W85" s="20">
        <f>X85+Y85+Z85</f>
        <v>10141</v>
      </c>
      <c r="X85" s="149">
        <v>9127</v>
      </c>
      <c r="Y85" s="149">
        <v>1014.26</v>
      </c>
      <c r="Z85" s="21"/>
      <c r="AA85" s="21"/>
      <c r="AB85" s="20">
        <f>AC85+AD85+AE85</f>
        <v>0</v>
      </c>
      <c r="AC85" s="21"/>
      <c r="AD85" s="21"/>
      <c r="AE85" s="21"/>
      <c r="AF85" s="21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</row>
    <row r="86" spans="1:53" s="60" customFormat="1" ht="56.25">
      <c r="A86" s="53" t="s">
        <v>102</v>
      </c>
      <c r="B86" s="137" t="s">
        <v>216</v>
      </c>
      <c r="C86" s="17" t="s">
        <v>381</v>
      </c>
      <c r="D86" s="70">
        <v>23641</v>
      </c>
      <c r="E86" s="59"/>
      <c r="F86" s="62"/>
      <c r="G86" s="63"/>
      <c r="H86" s="63"/>
      <c r="I86" s="64"/>
      <c r="J86" s="64"/>
      <c r="K86" s="64"/>
      <c r="L86" s="64"/>
      <c r="M86" s="112"/>
      <c r="N86" s="110"/>
      <c r="O86" s="110"/>
      <c r="P86" s="113"/>
      <c r="Q86" s="18"/>
      <c r="R86" s="20">
        <f t="shared" si="16"/>
        <v>6992</v>
      </c>
      <c r="S86" s="21">
        <v>6293</v>
      </c>
      <c r="T86" s="21">
        <v>699</v>
      </c>
      <c r="U86" s="21"/>
      <c r="V86" s="21"/>
      <c r="W86" s="20">
        <f>X86+Y86+Z86</f>
        <v>12105</v>
      </c>
      <c r="X86" s="149">
        <v>10894</v>
      </c>
      <c r="Y86" s="149">
        <v>1210.55</v>
      </c>
      <c r="Z86" s="21"/>
      <c r="AA86" s="21"/>
      <c r="AB86" s="20">
        <f>AC86+AD86+AE86</f>
        <v>3574</v>
      </c>
      <c r="AC86" s="150">
        <v>3216</v>
      </c>
      <c r="AD86" s="150">
        <v>358.01</v>
      </c>
      <c r="AE86" s="21"/>
      <c r="AF86" s="21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</row>
    <row r="87" spans="1:53" s="74" customFormat="1" ht="33.75">
      <c r="A87" s="72" t="s">
        <v>103</v>
      </c>
      <c r="B87" s="135" t="s">
        <v>217</v>
      </c>
      <c r="C87" s="73" t="s">
        <v>218</v>
      </c>
      <c r="D87" s="70">
        <v>31601</v>
      </c>
      <c r="E87" s="71"/>
      <c r="F87" s="71"/>
      <c r="G87" s="71"/>
      <c r="H87" s="71"/>
      <c r="I87" s="71"/>
      <c r="J87" s="71"/>
      <c r="K87" s="71"/>
      <c r="L87" s="71"/>
      <c r="M87" s="109"/>
      <c r="N87" s="110"/>
      <c r="O87" s="110"/>
      <c r="P87" s="110"/>
      <c r="Q87" s="71"/>
      <c r="R87" s="20">
        <f t="shared" si="16"/>
        <v>620</v>
      </c>
      <c r="S87" s="138">
        <v>620</v>
      </c>
      <c r="T87" s="71"/>
      <c r="U87" s="71"/>
      <c r="V87" s="71"/>
      <c r="W87" s="20"/>
      <c r="X87" s="138"/>
      <c r="Y87" s="71"/>
      <c r="Z87" s="71"/>
      <c r="AA87" s="71"/>
      <c r="AB87" s="20">
        <f>AC87+AD87+AE87</f>
        <v>12777</v>
      </c>
      <c r="AC87" s="138">
        <f>11882.2-382.2</f>
        <v>11500</v>
      </c>
      <c r="AD87" s="71">
        <f>1320-43.3</f>
        <v>1277</v>
      </c>
      <c r="AE87" s="71"/>
      <c r="AF87" s="71"/>
      <c r="AG87" s="97">
        <f>AH87+AI87+AJ87</f>
        <v>9260</v>
      </c>
      <c r="AH87" s="71">
        <v>6534</v>
      </c>
      <c r="AI87" s="71">
        <v>2726</v>
      </c>
      <c r="AJ87" s="95"/>
      <c r="AK87" s="95"/>
      <c r="AL87" s="97">
        <f>AM87+AN87+AO87</f>
        <v>3879</v>
      </c>
      <c r="AM87" s="18">
        <v>3491</v>
      </c>
      <c r="AN87" s="95">
        <v>388</v>
      </c>
      <c r="AO87" s="95"/>
      <c r="AP87" s="97">
        <f>AQ87+AR87+AS87</f>
        <v>3684</v>
      </c>
      <c r="AQ87" s="18"/>
      <c r="AR87" s="95">
        <v>3684</v>
      </c>
      <c r="AS87" s="95"/>
      <c r="AT87" s="97">
        <f>AU87+AV87+AW87</f>
        <v>1380</v>
      </c>
      <c r="AU87" s="95"/>
      <c r="AV87" s="95">
        <v>1380</v>
      </c>
      <c r="AW87" s="95"/>
      <c r="AX87" s="97"/>
      <c r="AY87" s="95"/>
      <c r="AZ87" s="95"/>
      <c r="BA87" s="95"/>
    </row>
    <row r="88" spans="1:53" s="74" customFormat="1" ht="33.75">
      <c r="A88" s="72" t="s">
        <v>104</v>
      </c>
      <c r="B88" s="135" t="s">
        <v>219</v>
      </c>
      <c r="C88" s="73" t="s">
        <v>220</v>
      </c>
      <c r="D88" s="70">
        <f>R88+W88+AB88+AG88+AL88+AP88+AT88+AX88</f>
        <v>43576</v>
      </c>
      <c r="E88" s="71"/>
      <c r="F88" s="71"/>
      <c r="G88" s="71"/>
      <c r="H88" s="71"/>
      <c r="I88" s="71"/>
      <c r="J88" s="71"/>
      <c r="K88" s="71"/>
      <c r="L88" s="71"/>
      <c r="M88" s="109"/>
      <c r="N88" s="110"/>
      <c r="O88" s="110"/>
      <c r="P88" s="110"/>
      <c r="Q88" s="71"/>
      <c r="R88" s="20">
        <f t="shared" si="16"/>
        <v>767</v>
      </c>
      <c r="S88" s="86">
        <v>767</v>
      </c>
      <c r="T88" s="86"/>
      <c r="U88" s="71"/>
      <c r="V88" s="71"/>
      <c r="W88" s="20"/>
      <c r="X88" s="101"/>
      <c r="Y88" s="101"/>
      <c r="Z88" s="71"/>
      <c r="AA88" s="71"/>
      <c r="AB88" s="97"/>
      <c r="AC88" s="101"/>
      <c r="AD88" s="101"/>
      <c r="AE88" s="71"/>
      <c r="AF88" s="71"/>
      <c r="AG88" s="20">
        <f>AH88+AI88+AJ88</f>
        <v>11337</v>
      </c>
      <c r="AH88" s="101">
        <v>10202.8</v>
      </c>
      <c r="AI88" s="101">
        <v>1133.7</v>
      </c>
      <c r="AJ88" s="95"/>
      <c r="AK88" s="95"/>
      <c r="AL88" s="97">
        <f>AM88+AN88+AO88</f>
        <v>23688</v>
      </c>
      <c r="AM88" s="101">
        <v>21319.3</v>
      </c>
      <c r="AN88" s="101">
        <v>2368.7</v>
      </c>
      <c r="AO88" s="95"/>
      <c r="AP88" s="97">
        <f>AQ88+AR88+AS88</f>
        <v>3000</v>
      </c>
      <c r="AQ88" s="95"/>
      <c r="AR88" s="95">
        <v>3000</v>
      </c>
      <c r="AS88" s="95"/>
      <c r="AT88" s="97">
        <f>AU88+AV88+AW88</f>
        <v>3000</v>
      </c>
      <c r="AU88" s="95"/>
      <c r="AV88" s="95">
        <v>3000</v>
      </c>
      <c r="AW88" s="95"/>
      <c r="AX88" s="97">
        <f>AY88+AZ88+BA88</f>
        <v>1784</v>
      </c>
      <c r="AY88" s="95"/>
      <c r="AZ88" s="95">
        <v>1784</v>
      </c>
      <c r="BA88" s="95"/>
    </row>
    <row r="89" spans="1:53" s="74" customFormat="1" ht="33.75">
      <c r="A89" s="72" t="s">
        <v>105</v>
      </c>
      <c r="B89" s="135" t="s">
        <v>221</v>
      </c>
      <c r="C89" s="73" t="s">
        <v>380</v>
      </c>
      <c r="D89" s="70">
        <f>R89</f>
        <v>38176</v>
      </c>
      <c r="E89" s="71"/>
      <c r="F89" s="71"/>
      <c r="G89" s="71"/>
      <c r="H89" s="71"/>
      <c r="I89" s="71"/>
      <c r="J89" s="71"/>
      <c r="K89" s="71"/>
      <c r="L89" s="71"/>
      <c r="M89" s="109"/>
      <c r="N89" s="110"/>
      <c r="O89" s="110"/>
      <c r="P89" s="110"/>
      <c r="Q89" s="71"/>
      <c r="R89" s="20">
        <f t="shared" si="16"/>
        <v>38176</v>
      </c>
      <c r="S89" s="71">
        <v>34358</v>
      </c>
      <c r="T89" s="71">
        <v>3818</v>
      </c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</row>
    <row r="90" spans="1:53" s="74" customFormat="1" ht="45">
      <c r="A90" s="72" t="s">
        <v>222</v>
      </c>
      <c r="B90" s="135" t="s">
        <v>212</v>
      </c>
      <c r="C90" s="73" t="s">
        <v>213</v>
      </c>
      <c r="D90" s="70">
        <v>87702</v>
      </c>
      <c r="E90" s="71"/>
      <c r="F90" s="71"/>
      <c r="G90" s="71"/>
      <c r="H90" s="71"/>
      <c r="I90" s="71"/>
      <c r="J90" s="71"/>
      <c r="K90" s="71"/>
      <c r="L90" s="71"/>
      <c r="M90" s="109"/>
      <c r="N90" s="110"/>
      <c r="O90" s="110"/>
      <c r="P90" s="110"/>
      <c r="Q90" s="71"/>
      <c r="R90" s="20">
        <f t="shared" si="16"/>
        <v>16746</v>
      </c>
      <c r="S90" s="71">
        <v>15909</v>
      </c>
      <c r="T90" s="71">
        <v>837</v>
      </c>
      <c r="U90" s="71"/>
      <c r="V90" s="71"/>
      <c r="W90" s="20"/>
      <c r="X90" s="71"/>
      <c r="Y90" s="71"/>
      <c r="Z90" s="71"/>
      <c r="AA90" s="71"/>
      <c r="AB90" s="71"/>
      <c r="AC90" s="71"/>
      <c r="AD90" s="71"/>
      <c r="AE90" s="71"/>
      <c r="AF90" s="71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</row>
    <row r="91" spans="1:54" s="74" customFormat="1" ht="56.25">
      <c r="A91" s="72" t="s">
        <v>223</v>
      </c>
      <c r="B91" s="73" t="s">
        <v>370</v>
      </c>
      <c r="C91" s="73" t="s">
        <v>245</v>
      </c>
      <c r="D91" s="70">
        <v>191900</v>
      </c>
      <c r="E91" s="71"/>
      <c r="F91" s="71"/>
      <c r="G91" s="71"/>
      <c r="H91" s="71"/>
      <c r="I91" s="71"/>
      <c r="J91" s="71"/>
      <c r="K91" s="71"/>
      <c r="L91" s="71"/>
      <c r="M91" s="109"/>
      <c r="N91" s="110"/>
      <c r="O91" s="110"/>
      <c r="P91" s="110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97"/>
      <c r="AC91" s="71"/>
      <c r="AD91" s="71"/>
      <c r="AE91" s="71"/>
      <c r="AF91" s="71"/>
      <c r="AG91" s="97">
        <f>AH91+AI91+AJ91</f>
        <v>31900</v>
      </c>
      <c r="AH91" s="95"/>
      <c r="AI91" s="71">
        <v>31900</v>
      </c>
      <c r="AJ91" s="95"/>
      <c r="AK91" s="95"/>
      <c r="AL91" s="97">
        <f>AM91+AN91+AO91</f>
        <v>20000</v>
      </c>
      <c r="AM91" s="95"/>
      <c r="AN91" s="95">
        <v>20000</v>
      </c>
      <c r="AO91" s="95"/>
      <c r="AP91" s="97">
        <f>AQ91+AR91+AS91</f>
        <v>24000</v>
      </c>
      <c r="AQ91" s="95"/>
      <c r="AR91" s="95">
        <v>24000</v>
      </c>
      <c r="AS91" s="95"/>
      <c r="AT91" s="97">
        <f>AU91+AV91+AW91</f>
        <v>60000</v>
      </c>
      <c r="AU91" s="95"/>
      <c r="AV91" s="95">
        <v>60000</v>
      </c>
      <c r="AW91" s="95"/>
      <c r="AX91" s="97">
        <f>AY91+AZ91+BA91</f>
        <v>56000</v>
      </c>
      <c r="AY91" s="95"/>
      <c r="AZ91" s="95">
        <v>56000</v>
      </c>
      <c r="BA91" s="95"/>
      <c r="BB91" s="115">
        <f>AX91+AT91+AP91+AL91+AG91+AB91</f>
        <v>191900</v>
      </c>
    </row>
    <row r="92" spans="1:54" s="74" customFormat="1" ht="67.5">
      <c r="A92" s="72" t="s">
        <v>224</v>
      </c>
      <c r="B92" s="73" t="s">
        <v>246</v>
      </c>
      <c r="C92" s="73" t="s">
        <v>247</v>
      </c>
      <c r="D92" s="70">
        <v>45656</v>
      </c>
      <c r="E92" s="71"/>
      <c r="F92" s="71"/>
      <c r="G92" s="71"/>
      <c r="H92" s="71"/>
      <c r="I92" s="71"/>
      <c r="J92" s="71"/>
      <c r="K92" s="71"/>
      <c r="L92" s="71"/>
      <c r="M92" s="109"/>
      <c r="N92" s="110"/>
      <c r="O92" s="110"/>
      <c r="P92" s="110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97"/>
      <c r="AC92" s="71"/>
      <c r="AD92" s="71"/>
      <c r="AE92" s="71"/>
      <c r="AF92" s="71"/>
      <c r="AG92" s="97">
        <f>AH92+AI92+AJ92</f>
        <v>10000</v>
      </c>
      <c r="AH92" s="71"/>
      <c r="AI92" s="71">
        <v>10000</v>
      </c>
      <c r="AJ92" s="71"/>
      <c r="AK92" s="71"/>
      <c r="AL92" s="97">
        <f>AM92+AN92+AO92</f>
        <v>20000</v>
      </c>
      <c r="AM92" s="95"/>
      <c r="AN92" s="95">
        <v>20000</v>
      </c>
      <c r="AO92" s="95"/>
      <c r="AP92" s="95"/>
      <c r="AQ92" s="97">
        <f>AR92+AS92+AT92</f>
        <v>15656</v>
      </c>
      <c r="AR92" s="95"/>
      <c r="AS92" s="95">
        <v>15656</v>
      </c>
      <c r="AT92" s="95"/>
      <c r="AU92" s="95"/>
      <c r="AV92" s="95"/>
      <c r="AW92" s="95"/>
      <c r="AX92" s="95"/>
      <c r="AY92" s="95"/>
      <c r="AZ92" s="95"/>
      <c r="BA92" s="95"/>
      <c r="BB92" s="115">
        <f>AX92+AT92+AP92+AL92+AG92+AB92</f>
        <v>30000</v>
      </c>
    </row>
    <row r="93" spans="1:54" s="74" customFormat="1" ht="56.25">
      <c r="A93" s="72" t="s">
        <v>244</v>
      </c>
      <c r="B93" s="73" t="s">
        <v>384</v>
      </c>
      <c r="C93" s="73"/>
      <c r="D93" s="70">
        <f>R93</f>
        <v>2884</v>
      </c>
      <c r="E93" s="71"/>
      <c r="F93" s="71"/>
      <c r="G93" s="71"/>
      <c r="H93" s="71"/>
      <c r="I93" s="71"/>
      <c r="J93" s="71"/>
      <c r="K93" s="71"/>
      <c r="L93" s="71"/>
      <c r="M93" s="109"/>
      <c r="N93" s="110"/>
      <c r="O93" s="110"/>
      <c r="P93" s="110"/>
      <c r="Q93" s="71"/>
      <c r="R93" s="20">
        <f>S93+T93+U93</f>
        <v>2884</v>
      </c>
      <c r="S93" s="71">
        <v>2448</v>
      </c>
      <c r="T93" s="71">
        <v>436</v>
      </c>
      <c r="U93" s="71"/>
      <c r="V93" s="71"/>
      <c r="W93" s="71"/>
      <c r="X93" s="71"/>
      <c r="Y93" s="71"/>
      <c r="Z93" s="71"/>
      <c r="AA93" s="71"/>
      <c r="AB93" s="97"/>
      <c r="AC93" s="71"/>
      <c r="AD93" s="71"/>
      <c r="AE93" s="71"/>
      <c r="AF93" s="71"/>
      <c r="AG93" s="97"/>
      <c r="AH93" s="95"/>
      <c r="AI93" s="95"/>
      <c r="AJ93" s="95"/>
      <c r="AK93" s="95"/>
      <c r="AL93" s="97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115"/>
    </row>
    <row r="94" spans="1:54" s="74" customFormat="1" ht="45">
      <c r="A94" s="72" t="s">
        <v>456</v>
      </c>
      <c r="B94" s="73" t="s">
        <v>383</v>
      </c>
      <c r="C94" s="73"/>
      <c r="D94" s="70">
        <f>W94</f>
        <v>5556</v>
      </c>
      <c r="E94" s="71"/>
      <c r="F94" s="71"/>
      <c r="G94" s="71"/>
      <c r="H94" s="71"/>
      <c r="I94" s="71"/>
      <c r="J94" s="71"/>
      <c r="K94" s="71"/>
      <c r="L94" s="71"/>
      <c r="M94" s="109"/>
      <c r="N94" s="110"/>
      <c r="O94" s="110"/>
      <c r="P94" s="110"/>
      <c r="Q94" s="71"/>
      <c r="R94" s="20"/>
      <c r="S94" s="71"/>
      <c r="T94" s="71"/>
      <c r="U94" s="71"/>
      <c r="V94" s="71"/>
      <c r="W94" s="71">
        <f>X94+Y94</f>
        <v>5556</v>
      </c>
      <c r="X94" s="71">
        <f>5000</f>
        <v>5000</v>
      </c>
      <c r="Y94" s="71">
        <f>X94/0.9*0.1</f>
        <v>556</v>
      </c>
      <c r="Z94" s="71"/>
      <c r="AA94" s="71"/>
      <c r="AB94" s="97"/>
      <c r="AC94" s="71"/>
      <c r="AD94" s="71"/>
      <c r="AE94" s="71"/>
      <c r="AF94" s="71"/>
      <c r="AG94" s="97"/>
      <c r="AH94" s="95"/>
      <c r="AI94" s="95"/>
      <c r="AJ94" s="95"/>
      <c r="AK94" s="95"/>
      <c r="AL94" s="97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115"/>
    </row>
    <row r="95" spans="1:54" s="74" customFormat="1" ht="33.75">
      <c r="A95" s="72" t="s">
        <v>457</v>
      </c>
      <c r="B95" s="151" t="s">
        <v>382</v>
      </c>
      <c r="C95" s="73"/>
      <c r="D95" s="70">
        <f>W95+AB95</f>
        <v>8082</v>
      </c>
      <c r="E95" s="71"/>
      <c r="F95" s="71"/>
      <c r="G95" s="71"/>
      <c r="H95" s="71"/>
      <c r="I95" s="71"/>
      <c r="J95" s="71"/>
      <c r="K95" s="71"/>
      <c r="L95" s="71"/>
      <c r="M95" s="109"/>
      <c r="N95" s="110"/>
      <c r="O95" s="110"/>
      <c r="P95" s="110"/>
      <c r="Q95" s="71"/>
      <c r="R95" s="20"/>
      <c r="S95" s="71"/>
      <c r="T95" s="71"/>
      <c r="U95" s="71"/>
      <c r="V95" s="71"/>
      <c r="W95" s="71">
        <f>X95+Y95</f>
        <v>3653</v>
      </c>
      <c r="X95" s="149">
        <v>3288</v>
      </c>
      <c r="Y95" s="149">
        <f>X95/0.9*0.1</f>
        <v>365.33</v>
      </c>
      <c r="Z95" s="71"/>
      <c r="AA95" s="71"/>
      <c r="AB95" s="71">
        <f>AC95+AD95</f>
        <v>4429</v>
      </c>
      <c r="AC95" s="149">
        <v>3986</v>
      </c>
      <c r="AD95" s="152">
        <f>AC95/0.9*0.1</f>
        <v>442.9</v>
      </c>
      <c r="AE95" s="71"/>
      <c r="AF95" s="71"/>
      <c r="AG95" s="97"/>
      <c r="AH95" s="95"/>
      <c r="AI95" s="95"/>
      <c r="AJ95" s="95"/>
      <c r="AK95" s="95"/>
      <c r="AL95" s="97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115"/>
    </row>
    <row r="96" spans="1:53" ht="112.5">
      <c r="A96" s="46" t="s">
        <v>6</v>
      </c>
      <c r="B96" s="32" t="s">
        <v>249</v>
      </c>
      <c r="C96" s="29"/>
      <c r="D96" s="33">
        <f>D97</f>
        <v>450</v>
      </c>
      <c r="E96" s="30"/>
      <c r="F96" s="33"/>
      <c r="G96" s="31"/>
      <c r="H96" s="50"/>
      <c r="I96" s="50"/>
      <c r="J96" s="50"/>
      <c r="K96" s="50"/>
      <c r="L96" s="50"/>
      <c r="M96" s="109">
        <f>M97</f>
        <v>0</v>
      </c>
      <c r="N96" s="110">
        <f>N97</f>
        <v>0</v>
      </c>
      <c r="O96" s="110">
        <f>O97</f>
        <v>0</v>
      </c>
      <c r="P96" s="110">
        <f>P97</f>
        <v>0</v>
      </c>
      <c r="Q96" s="50">
        <f aca="true" t="shared" si="17" ref="Q96:BA96">Q97</f>
        <v>0</v>
      </c>
      <c r="R96" s="50">
        <f t="shared" si="17"/>
        <v>450</v>
      </c>
      <c r="S96" s="50">
        <f t="shared" si="17"/>
        <v>0</v>
      </c>
      <c r="T96" s="50">
        <f t="shared" si="17"/>
        <v>450</v>
      </c>
      <c r="U96" s="50">
        <f t="shared" si="17"/>
        <v>0</v>
      </c>
      <c r="V96" s="50">
        <f t="shared" si="17"/>
        <v>0</v>
      </c>
      <c r="W96" s="50">
        <f t="shared" si="17"/>
        <v>0</v>
      </c>
      <c r="X96" s="50">
        <f t="shared" si="17"/>
        <v>0</v>
      </c>
      <c r="Y96" s="50">
        <f t="shared" si="17"/>
        <v>0</v>
      </c>
      <c r="Z96" s="50">
        <f t="shared" si="17"/>
        <v>0</v>
      </c>
      <c r="AA96" s="50">
        <f t="shared" si="17"/>
        <v>0</v>
      </c>
      <c r="AB96" s="50">
        <f t="shared" si="17"/>
        <v>0</v>
      </c>
      <c r="AC96" s="50">
        <f t="shared" si="17"/>
        <v>0</v>
      </c>
      <c r="AD96" s="50">
        <f t="shared" si="17"/>
        <v>0</v>
      </c>
      <c r="AE96" s="50">
        <f t="shared" si="17"/>
        <v>0</v>
      </c>
      <c r="AF96" s="50">
        <f t="shared" si="17"/>
        <v>0</v>
      </c>
      <c r="AG96" s="50">
        <f t="shared" si="17"/>
        <v>0</v>
      </c>
      <c r="AH96" s="50">
        <f t="shared" si="17"/>
        <v>0</v>
      </c>
      <c r="AI96" s="50">
        <f t="shared" si="17"/>
        <v>0</v>
      </c>
      <c r="AJ96" s="50">
        <f t="shared" si="17"/>
        <v>0</v>
      </c>
      <c r="AK96" s="50">
        <f t="shared" si="17"/>
        <v>0</v>
      </c>
      <c r="AL96" s="50">
        <f t="shared" si="17"/>
        <v>0</v>
      </c>
      <c r="AM96" s="50">
        <f t="shared" si="17"/>
        <v>0</v>
      </c>
      <c r="AN96" s="50">
        <f t="shared" si="17"/>
        <v>0</v>
      </c>
      <c r="AO96" s="50">
        <f t="shared" si="17"/>
        <v>0</v>
      </c>
      <c r="AP96" s="50">
        <f t="shared" si="17"/>
        <v>0</v>
      </c>
      <c r="AQ96" s="50">
        <f t="shared" si="17"/>
        <v>0</v>
      </c>
      <c r="AR96" s="50">
        <f t="shared" si="17"/>
        <v>0</v>
      </c>
      <c r="AS96" s="50">
        <f t="shared" si="17"/>
        <v>0</v>
      </c>
      <c r="AT96" s="50">
        <f t="shared" si="17"/>
        <v>0</v>
      </c>
      <c r="AU96" s="50">
        <f t="shared" si="17"/>
        <v>0</v>
      </c>
      <c r="AV96" s="50">
        <f t="shared" si="17"/>
        <v>0</v>
      </c>
      <c r="AW96" s="50">
        <f t="shared" si="17"/>
        <v>0</v>
      </c>
      <c r="AX96" s="50">
        <f t="shared" si="17"/>
        <v>0</v>
      </c>
      <c r="AY96" s="50">
        <f t="shared" si="17"/>
        <v>0</v>
      </c>
      <c r="AZ96" s="50">
        <f t="shared" si="17"/>
        <v>0</v>
      </c>
      <c r="BA96" s="50">
        <f t="shared" si="17"/>
        <v>0</v>
      </c>
    </row>
    <row r="97" spans="1:53" s="23" customFormat="1" ht="86.25" customHeight="1">
      <c r="A97" s="44" t="s">
        <v>106</v>
      </c>
      <c r="B97" s="24" t="s">
        <v>248</v>
      </c>
      <c r="C97" s="17"/>
      <c r="D97" s="37">
        <v>450</v>
      </c>
      <c r="E97" s="18"/>
      <c r="F97" s="37"/>
      <c r="G97" s="20"/>
      <c r="H97" s="21"/>
      <c r="I97" s="21"/>
      <c r="J97" s="21"/>
      <c r="K97" s="21"/>
      <c r="L97" s="21"/>
      <c r="M97" s="109"/>
      <c r="N97" s="110"/>
      <c r="O97" s="110"/>
      <c r="P97" s="110"/>
      <c r="Q97" s="18"/>
      <c r="R97" s="20">
        <f>T97</f>
        <v>450</v>
      </c>
      <c r="S97" s="21"/>
      <c r="T97" s="21">
        <v>450</v>
      </c>
      <c r="U97" s="21"/>
      <c r="V97" s="21"/>
      <c r="W97" s="20"/>
      <c r="X97" s="21"/>
      <c r="Y97" s="21"/>
      <c r="Z97" s="21"/>
      <c r="AA97" s="21"/>
      <c r="AB97" s="20"/>
      <c r="AC97" s="21"/>
      <c r="AD97" s="21"/>
      <c r="AE97" s="21"/>
      <c r="AF97" s="21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:53" s="23" customFormat="1" ht="93" customHeight="1">
      <c r="A98" s="48" t="s">
        <v>7</v>
      </c>
      <c r="B98" s="32" t="s">
        <v>107</v>
      </c>
      <c r="C98" s="29"/>
      <c r="D98" s="33">
        <f>SUM(D99:D104)</f>
        <v>156588</v>
      </c>
      <c r="E98" s="30"/>
      <c r="F98" s="33"/>
      <c r="G98" s="31"/>
      <c r="H98" s="31"/>
      <c r="I98" s="50"/>
      <c r="J98" s="50"/>
      <c r="K98" s="50"/>
      <c r="L98" s="50"/>
      <c r="M98" s="109">
        <f>M99+M100+M101</f>
        <v>0</v>
      </c>
      <c r="N98" s="110">
        <f>N99+N100+N101</f>
        <v>0</v>
      </c>
      <c r="O98" s="110">
        <f>O99+O100+O101</f>
        <v>0</v>
      </c>
      <c r="P98" s="110">
        <f>P99+P100+P101</f>
        <v>0</v>
      </c>
      <c r="Q98" s="33">
        <f aca="true" t="shared" si="18" ref="Q98:AJ98">SUM(Q99:Q104)</f>
        <v>0</v>
      </c>
      <c r="R98" s="33">
        <f t="shared" si="18"/>
        <v>23000</v>
      </c>
      <c r="S98" s="33">
        <f t="shared" si="18"/>
        <v>0</v>
      </c>
      <c r="T98" s="33">
        <f t="shared" si="18"/>
        <v>0</v>
      </c>
      <c r="U98" s="33">
        <f t="shared" si="18"/>
        <v>23000</v>
      </c>
      <c r="V98" s="33">
        <f t="shared" si="18"/>
        <v>0</v>
      </c>
      <c r="W98" s="33">
        <f t="shared" si="18"/>
        <v>74967</v>
      </c>
      <c r="X98" s="33">
        <f t="shared" si="18"/>
        <v>0</v>
      </c>
      <c r="Y98" s="33">
        <f t="shared" si="18"/>
        <v>54550</v>
      </c>
      <c r="Z98" s="33">
        <f t="shared" si="18"/>
        <v>20417</v>
      </c>
      <c r="AA98" s="33">
        <f t="shared" si="18"/>
        <v>0</v>
      </c>
      <c r="AB98" s="33">
        <f t="shared" si="18"/>
        <v>43750</v>
      </c>
      <c r="AC98" s="33">
        <f t="shared" si="18"/>
        <v>0</v>
      </c>
      <c r="AD98" s="33">
        <f t="shared" si="18"/>
        <v>43750</v>
      </c>
      <c r="AE98" s="33">
        <f t="shared" si="18"/>
        <v>0</v>
      </c>
      <c r="AF98" s="33">
        <f t="shared" si="18"/>
        <v>0</v>
      </c>
      <c r="AG98" s="33">
        <f t="shared" si="18"/>
        <v>4841</v>
      </c>
      <c r="AH98" s="33">
        <f t="shared" si="18"/>
        <v>4599</v>
      </c>
      <c r="AI98" s="33">
        <f t="shared" si="18"/>
        <v>242</v>
      </c>
      <c r="AJ98" s="33">
        <f t="shared" si="18"/>
        <v>0</v>
      </c>
      <c r="AK98" s="33"/>
      <c r="AL98" s="33">
        <f aca="true" t="shared" si="19" ref="AL98:BA98">SUM(AL99:AL104)</f>
        <v>0</v>
      </c>
      <c r="AM98" s="33">
        <f t="shared" si="19"/>
        <v>0</v>
      </c>
      <c r="AN98" s="33">
        <f t="shared" si="19"/>
        <v>0</v>
      </c>
      <c r="AO98" s="33">
        <f t="shared" si="19"/>
        <v>0</v>
      </c>
      <c r="AP98" s="33">
        <f t="shared" si="19"/>
        <v>0</v>
      </c>
      <c r="AQ98" s="33">
        <f t="shared" si="19"/>
        <v>0</v>
      </c>
      <c r="AR98" s="33">
        <f t="shared" si="19"/>
        <v>0</v>
      </c>
      <c r="AS98" s="33">
        <f t="shared" si="19"/>
        <v>0</v>
      </c>
      <c r="AT98" s="33">
        <f t="shared" si="19"/>
        <v>0</v>
      </c>
      <c r="AU98" s="33">
        <f t="shared" si="19"/>
        <v>0</v>
      </c>
      <c r="AV98" s="33">
        <f t="shared" si="19"/>
        <v>0</v>
      </c>
      <c r="AW98" s="33">
        <f t="shared" si="19"/>
        <v>0</v>
      </c>
      <c r="AX98" s="33">
        <f t="shared" si="19"/>
        <v>0</v>
      </c>
      <c r="AY98" s="33">
        <f t="shared" si="19"/>
        <v>0</v>
      </c>
      <c r="AZ98" s="33">
        <f t="shared" si="19"/>
        <v>0</v>
      </c>
      <c r="BA98" s="33">
        <f t="shared" si="19"/>
        <v>0</v>
      </c>
    </row>
    <row r="99" spans="1:53" s="23" customFormat="1" ht="89.25" customHeight="1">
      <c r="A99" s="75" t="s">
        <v>458</v>
      </c>
      <c r="B99" s="135" t="s">
        <v>207</v>
      </c>
      <c r="C99" s="73" t="s">
        <v>205</v>
      </c>
      <c r="D99" s="69">
        <f>4900+W99+AB99</f>
        <v>65558</v>
      </c>
      <c r="E99" s="69"/>
      <c r="F99" s="69"/>
      <c r="G99" s="69"/>
      <c r="H99" s="69"/>
      <c r="I99" s="69"/>
      <c r="J99" s="69"/>
      <c r="K99" s="69"/>
      <c r="L99" s="69"/>
      <c r="M99" s="51"/>
      <c r="N99" s="51"/>
      <c r="O99" s="51"/>
      <c r="P99" s="111"/>
      <c r="Q99" s="18"/>
      <c r="R99" s="87"/>
      <c r="S99" s="88"/>
      <c r="T99" s="101"/>
      <c r="U99" s="71"/>
      <c r="V99" s="71"/>
      <c r="W99" s="69">
        <f>SUM(X99:AA99)</f>
        <v>33029</v>
      </c>
      <c r="X99" s="79"/>
      <c r="Y99" s="71">
        <f>(5000+25582.6)*1.08</f>
        <v>33029</v>
      </c>
      <c r="Z99" s="71"/>
      <c r="AA99" s="71"/>
      <c r="AB99" s="69">
        <f>SUM(AC99:AF99)</f>
        <v>27629</v>
      </c>
      <c r="AC99" s="71"/>
      <c r="AD99" s="71">
        <f>25582.6*1.08</f>
        <v>27629</v>
      </c>
      <c r="AE99" s="71"/>
      <c r="AF99" s="71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:53" s="23" customFormat="1" ht="96" customHeight="1">
      <c r="A100" s="75" t="s">
        <v>459</v>
      </c>
      <c r="B100" s="135" t="s">
        <v>206</v>
      </c>
      <c r="C100" s="73" t="s">
        <v>208</v>
      </c>
      <c r="D100" s="69">
        <f>4900+W100+AB100</f>
        <v>36466</v>
      </c>
      <c r="E100" s="69"/>
      <c r="F100" s="69"/>
      <c r="G100" s="69"/>
      <c r="H100" s="69"/>
      <c r="I100" s="69"/>
      <c r="J100" s="69"/>
      <c r="K100" s="69"/>
      <c r="L100" s="69"/>
      <c r="M100" s="51"/>
      <c r="N100" s="51"/>
      <c r="O100" s="51"/>
      <c r="P100" s="111"/>
      <c r="Q100" s="18"/>
      <c r="R100" s="87"/>
      <c r="S100" s="88"/>
      <c r="T100" s="101"/>
      <c r="U100" s="71"/>
      <c r="V100" s="71"/>
      <c r="W100" s="87">
        <f>SUM(X100:AA100)</f>
        <v>18357</v>
      </c>
      <c r="X100" s="88"/>
      <c r="Y100" s="101">
        <f>(4766.7+12230.5)*1.08</f>
        <v>18357</v>
      </c>
      <c r="Z100" s="71"/>
      <c r="AA100" s="71"/>
      <c r="AB100" s="87">
        <f>SUM(AC100:AF100)</f>
        <v>13208.9</v>
      </c>
      <c r="AC100" s="101"/>
      <c r="AD100" s="101">
        <f>12230.5*1.08</f>
        <v>13208.9</v>
      </c>
      <c r="AE100" s="71"/>
      <c r="AF100" s="71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 s="23" customFormat="1" ht="96" customHeight="1">
      <c r="A101" s="75" t="s">
        <v>460</v>
      </c>
      <c r="B101" s="139" t="s">
        <v>209</v>
      </c>
      <c r="C101" s="73" t="s">
        <v>210</v>
      </c>
      <c r="D101" s="69">
        <f>230+W101+AB101</f>
        <v>6306</v>
      </c>
      <c r="E101" s="69"/>
      <c r="F101" s="69"/>
      <c r="G101" s="69"/>
      <c r="H101" s="69"/>
      <c r="I101" s="69"/>
      <c r="J101" s="69"/>
      <c r="K101" s="69"/>
      <c r="L101" s="69"/>
      <c r="M101" s="51"/>
      <c r="N101" s="51"/>
      <c r="O101" s="51"/>
      <c r="P101" s="111"/>
      <c r="Q101" s="18"/>
      <c r="R101" s="87"/>
      <c r="S101" s="88"/>
      <c r="T101" s="101"/>
      <c r="U101" s="71"/>
      <c r="V101" s="71"/>
      <c r="W101" s="87">
        <f>SUM(X101:AA101)</f>
        <v>3164</v>
      </c>
      <c r="X101" s="88"/>
      <c r="Y101" s="101">
        <f>(233.3+2696.3)*1.08</f>
        <v>3164</v>
      </c>
      <c r="Z101" s="71"/>
      <c r="AA101" s="71"/>
      <c r="AB101" s="87">
        <f>SUM(AC101:AF101)</f>
        <v>2912</v>
      </c>
      <c r="AC101" s="101"/>
      <c r="AD101" s="101">
        <f>2696.3*1.08</f>
        <v>2912</v>
      </c>
      <c r="AE101" s="71"/>
      <c r="AF101" s="71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:53" s="23" customFormat="1" ht="33.75">
      <c r="A102" s="75" t="s">
        <v>461</v>
      </c>
      <c r="B102" s="17" t="s">
        <v>385</v>
      </c>
      <c r="C102" s="17" t="s">
        <v>387</v>
      </c>
      <c r="D102" s="69">
        <f>R102+W102</f>
        <v>36777</v>
      </c>
      <c r="E102" s="18"/>
      <c r="F102" s="13"/>
      <c r="G102" s="14"/>
      <c r="H102" s="14"/>
      <c r="I102" s="19"/>
      <c r="J102" s="19"/>
      <c r="K102" s="19"/>
      <c r="L102" s="19"/>
      <c r="M102" s="109"/>
      <c r="N102" s="110"/>
      <c r="O102" s="110"/>
      <c r="P102" s="110"/>
      <c r="Q102" s="18" t="s">
        <v>211</v>
      </c>
      <c r="R102" s="97">
        <f>S102+T102+U102</f>
        <v>16360</v>
      </c>
      <c r="S102" s="21"/>
      <c r="T102" s="21"/>
      <c r="U102" s="21">
        <v>16360</v>
      </c>
      <c r="V102" s="21"/>
      <c r="W102" s="97">
        <f>X102+Y102+Z102</f>
        <v>20417</v>
      </c>
      <c r="X102" s="86"/>
      <c r="Y102" s="86"/>
      <c r="Z102" s="21">
        <v>20417</v>
      </c>
      <c r="AA102" s="21"/>
      <c r="AB102" s="20"/>
      <c r="AC102" s="21"/>
      <c r="AD102" s="21"/>
      <c r="AE102" s="21"/>
      <c r="AF102" s="21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s="23" customFormat="1" ht="33.75">
      <c r="A103" s="75" t="s">
        <v>462</v>
      </c>
      <c r="B103" s="17" t="s">
        <v>386</v>
      </c>
      <c r="C103" s="17" t="s">
        <v>377</v>
      </c>
      <c r="D103" s="69">
        <v>6640</v>
      </c>
      <c r="E103" s="18"/>
      <c r="F103" s="13"/>
      <c r="G103" s="14"/>
      <c r="H103" s="14"/>
      <c r="I103" s="19"/>
      <c r="J103" s="19"/>
      <c r="K103" s="19"/>
      <c r="L103" s="19"/>
      <c r="M103" s="109"/>
      <c r="N103" s="110"/>
      <c r="O103" s="110"/>
      <c r="P103" s="110"/>
      <c r="Q103" s="18" t="s">
        <v>211</v>
      </c>
      <c r="R103" s="97">
        <f>S103+T103+U103</f>
        <v>6640</v>
      </c>
      <c r="S103" s="21"/>
      <c r="T103" s="21"/>
      <c r="U103" s="21">
        <v>6640</v>
      </c>
      <c r="V103" s="21"/>
      <c r="W103" s="97"/>
      <c r="X103" s="86"/>
      <c r="Y103" s="86"/>
      <c r="Z103" s="21"/>
      <c r="AA103" s="21"/>
      <c r="AB103" s="20"/>
      <c r="AC103" s="21"/>
      <c r="AD103" s="21"/>
      <c r="AE103" s="21"/>
      <c r="AF103" s="21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 s="23" customFormat="1" ht="33.75">
      <c r="A104" s="75" t="s">
        <v>463</v>
      </c>
      <c r="B104" s="140" t="s">
        <v>301</v>
      </c>
      <c r="C104" s="17" t="s">
        <v>368</v>
      </c>
      <c r="D104" s="69">
        <v>4841</v>
      </c>
      <c r="E104" s="18"/>
      <c r="F104" s="13"/>
      <c r="G104" s="14"/>
      <c r="H104" s="14"/>
      <c r="I104" s="19"/>
      <c r="J104" s="19"/>
      <c r="K104" s="19"/>
      <c r="L104" s="19"/>
      <c r="M104" s="109"/>
      <c r="N104" s="110"/>
      <c r="O104" s="110"/>
      <c r="P104" s="110"/>
      <c r="Q104" s="18"/>
      <c r="R104" s="20"/>
      <c r="S104" s="21"/>
      <c r="T104" s="21"/>
      <c r="U104" s="21"/>
      <c r="V104" s="21"/>
      <c r="W104" s="97"/>
      <c r="X104" s="79"/>
      <c r="Y104" s="79"/>
      <c r="Z104" s="21"/>
      <c r="AA104" s="21"/>
      <c r="AB104" s="97"/>
      <c r="AC104" s="21"/>
      <c r="AD104" s="21"/>
      <c r="AE104" s="21"/>
      <c r="AF104" s="21"/>
      <c r="AG104" s="97">
        <f>AH104+AI104</f>
        <v>4841</v>
      </c>
      <c r="AH104" s="21">
        <f>4841*0.95</f>
        <v>4599</v>
      </c>
      <c r="AI104" s="21">
        <f>4841*0.05</f>
        <v>242</v>
      </c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ht="67.5">
      <c r="A105" s="46" t="s">
        <v>8</v>
      </c>
      <c r="B105" s="32" t="s">
        <v>388</v>
      </c>
      <c r="C105" s="29"/>
      <c r="D105" s="33">
        <f>SUM(D106:D148)</f>
        <v>208681</v>
      </c>
      <c r="E105" s="30"/>
      <c r="F105" s="33"/>
      <c r="G105" s="31"/>
      <c r="H105" s="50"/>
      <c r="I105" s="50"/>
      <c r="J105" s="50"/>
      <c r="K105" s="50"/>
      <c r="L105" s="50"/>
      <c r="M105" s="109">
        <f>M106</f>
        <v>0</v>
      </c>
      <c r="N105" s="110">
        <f>N106</f>
        <v>0</v>
      </c>
      <c r="O105" s="110">
        <f>O106</f>
        <v>0</v>
      </c>
      <c r="P105" s="110">
        <f>P106</f>
        <v>0</v>
      </c>
      <c r="Q105" s="33">
        <f aca="true" t="shared" si="20" ref="Q105:BA105">SUM(Q106:Q148)</f>
        <v>0</v>
      </c>
      <c r="R105" s="33">
        <f t="shared" si="20"/>
        <v>54031</v>
      </c>
      <c r="S105" s="33">
        <f t="shared" si="20"/>
        <v>0</v>
      </c>
      <c r="T105" s="33">
        <f t="shared" si="20"/>
        <v>12152</v>
      </c>
      <c r="U105" s="33">
        <f t="shared" si="20"/>
        <v>41879</v>
      </c>
      <c r="V105" s="33">
        <f t="shared" si="20"/>
        <v>0</v>
      </c>
      <c r="W105" s="33">
        <f t="shared" si="20"/>
        <v>31256</v>
      </c>
      <c r="X105" s="33">
        <f t="shared" si="20"/>
        <v>0</v>
      </c>
      <c r="Y105" s="33">
        <f t="shared" si="20"/>
        <v>31256</v>
      </c>
      <c r="Z105" s="33">
        <f t="shared" si="20"/>
        <v>0</v>
      </c>
      <c r="AA105" s="33">
        <f t="shared" si="20"/>
        <v>0</v>
      </c>
      <c r="AB105" s="33">
        <f t="shared" si="20"/>
        <v>34478</v>
      </c>
      <c r="AC105" s="33">
        <f t="shared" si="20"/>
        <v>0</v>
      </c>
      <c r="AD105" s="33">
        <f t="shared" si="20"/>
        <v>34478</v>
      </c>
      <c r="AE105" s="33">
        <f t="shared" si="20"/>
        <v>0</v>
      </c>
      <c r="AF105" s="33">
        <f t="shared" si="20"/>
        <v>0</v>
      </c>
      <c r="AG105" s="33">
        <f t="shared" si="20"/>
        <v>37235</v>
      </c>
      <c r="AH105" s="33">
        <f t="shared" si="20"/>
        <v>0</v>
      </c>
      <c r="AI105" s="33">
        <f t="shared" si="20"/>
        <v>37235</v>
      </c>
      <c r="AJ105" s="33">
        <f t="shared" si="20"/>
        <v>0</v>
      </c>
      <c r="AK105" s="33">
        <f t="shared" si="20"/>
        <v>0</v>
      </c>
      <c r="AL105" s="33">
        <f t="shared" si="20"/>
        <v>52283</v>
      </c>
      <c r="AM105" s="33">
        <f t="shared" si="20"/>
        <v>0</v>
      </c>
      <c r="AN105" s="33">
        <f t="shared" si="20"/>
        <v>52283</v>
      </c>
      <c r="AO105" s="33">
        <f t="shared" si="20"/>
        <v>0</v>
      </c>
      <c r="AP105" s="33">
        <f t="shared" si="20"/>
        <v>0</v>
      </c>
      <c r="AQ105" s="33">
        <f t="shared" si="20"/>
        <v>0</v>
      </c>
      <c r="AR105" s="33">
        <f t="shared" si="20"/>
        <v>0</v>
      </c>
      <c r="AS105" s="33">
        <f t="shared" si="20"/>
        <v>0</v>
      </c>
      <c r="AT105" s="33">
        <f t="shared" si="20"/>
        <v>0</v>
      </c>
      <c r="AU105" s="33">
        <f t="shared" si="20"/>
        <v>0</v>
      </c>
      <c r="AV105" s="33">
        <f t="shared" si="20"/>
        <v>0</v>
      </c>
      <c r="AW105" s="33">
        <f t="shared" si="20"/>
        <v>0</v>
      </c>
      <c r="AX105" s="33">
        <f t="shared" si="20"/>
        <v>0</v>
      </c>
      <c r="AY105" s="33">
        <f t="shared" si="20"/>
        <v>0</v>
      </c>
      <c r="AZ105" s="33">
        <f t="shared" si="20"/>
        <v>0</v>
      </c>
      <c r="BA105" s="33">
        <f t="shared" si="20"/>
        <v>0</v>
      </c>
    </row>
    <row r="106" spans="1:53" s="15" customFormat="1" ht="67.5">
      <c r="A106" s="75" t="s">
        <v>251</v>
      </c>
      <c r="B106" s="141" t="s">
        <v>389</v>
      </c>
      <c r="C106" s="73" t="s">
        <v>390</v>
      </c>
      <c r="D106" s="87">
        <v>20517</v>
      </c>
      <c r="E106" s="69"/>
      <c r="F106" s="69"/>
      <c r="G106" s="69"/>
      <c r="H106" s="69"/>
      <c r="I106" s="69"/>
      <c r="J106" s="69"/>
      <c r="K106" s="69"/>
      <c r="L106" s="69"/>
      <c r="M106" s="51"/>
      <c r="N106" s="51"/>
      <c r="O106" s="51"/>
      <c r="P106" s="111"/>
      <c r="Q106" s="69" t="s">
        <v>391</v>
      </c>
      <c r="R106" s="69">
        <f>S106+T106+U106+V106</f>
        <v>20517</v>
      </c>
      <c r="S106" s="69"/>
      <c r="T106" s="69">
        <v>425</v>
      </c>
      <c r="U106" s="69">
        <v>20092</v>
      </c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</row>
    <row r="107" spans="1:53" s="15" customFormat="1" ht="67.5">
      <c r="A107" s="75" t="s">
        <v>252</v>
      </c>
      <c r="B107" s="142" t="s">
        <v>392</v>
      </c>
      <c r="C107" s="73"/>
      <c r="D107" s="87">
        <v>1269</v>
      </c>
      <c r="E107" s="69"/>
      <c r="F107" s="69"/>
      <c r="G107" s="69"/>
      <c r="H107" s="69"/>
      <c r="I107" s="69"/>
      <c r="J107" s="69"/>
      <c r="K107" s="69"/>
      <c r="L107" s="69"/>
      <c r="M107" s="51"/>
      <c r="N107" s="51"/>
      <c r="O107" s="51"/>
      <c r="P107" s="111"/>
      <c r="Q107" s="69" t="s">
        <v>391</v>
      </c>
      <c r="R107" s="69">
        <f>S107+T107+U107+V107</f>
        <v>1269</v>
      </c>
      <c r="S107" s="69"/>
      <c r="T107" s="69">
        <v>52</v>
      </c>
      <c r="U107" s="69">
        <f>844+373</f>
        <v>1217</v>
      </c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</row>
    <row r="108" spans="1:53" s="15" customFormat="1" ht="67.5">
      <c r="A108" s="75" t="s">
        <v>253</v>
      </c>
      <c r="B108" s="143" t="s">
        <v>393</v>
      </c>
      <c r="C108" s="73" t="s">
        <v>292</v>
      </c>
      <c r="D108" s="87">
        <v>602</v>
      </c>
      <c r="E108" s="69"/>
      <c r="F108" s="69"/>
      <c r="G108" s="69"/>
      <c r="H108" s="69"/>
      <c r="I108" s="69"/>
      <c r="J108" s="69"/>
      <c r="K108" s="69"/>
      <c r="L108" s="69"/>
      <c r="M108" s="51"/>
      <c r="N108" s="51"/>
      <c r="O108" s="51"/>
      <c r="P108" s="111"/>
      <c r="Q108" s="69"/>
      <c r="R108" s="69">
        <f>S108+T108+U108+V108</f>
        <v>602</v>
      </c>
      <c r="S108" s="69"/>
      <c r="T108" s="69">
        <v>602</v>
      </c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</row>
    <row r="109" spans="1:53" s="15" customFormat="1" ht="67.5">
      <c r="A109" s="75" t="s">
        <v>254</v>
      </c>
      <c r="B109" s="139" t="s">
        <v>394</v>
      </c>
      <c r="C109" s="73"/>
      <c r="D109" s="69">
        <v>1750</v>
      </c>
      <c r="E109" s="69"/>
      <c r="F109" s="69"/>
      <c r="G109" s="69"/>
      <c r="H109" s="69"/>
      <c r="I109" s="69"/>
      <c r="J109" s="69"/>
      <c r="K109" s="69"/>
      <c r="L109" s="69"/>
      <c r="M109" s="51"/>
      <c r="N109" s="51"/>
      <c r="O109" s="111"/>
      <c r="P109" s="111"/>
      <c r="Q109" s="69"/>
      <c r="R109" s="69">
        <f>S109+T109+U109+V109</f>
        <v>1750</v>
      </c>
      <c r="S109" s="69"/>
      <c r="T109" s="69">
        <v>1750</v>
      </c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</row>
    <row r="110" spans="1:53" s="15" customFormat="1" ht="67.5">
      <c r="A110" s="75" t="s">
        <v>255</v>
      </c>
      <c r="B110" s="139" t="s">
        <v>395</v>
      </c>
      <c r="C110" s="17" t="s">
        <v>396</v>
      </c>
      <c r="D110" s="37">
        <v>20632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18"/>
      <c r="P110" s="18"/>
      <c r="Q110" s="69"/>
      <c r="R110" s="69">
        <f>S110+T110+U110+V110</f>
        <v>21234</v>
      </c>
      <c r="S110" s="69"/>
      <c r="T110" s="69">
        <v>664</v>
      </c>
      <c r="U110" s="69">
        <f>19968+602</f>
        <v>20570</v>
      </c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</row>
    <row r="111" spans="1:53" s="15" customFormat="1" ht="67.5">
      <c r="A111" s="75" t="s">
        <v>256</v>
      </c>
      <c r="B111" s="139" t="s">
        <v>397</v>
      </c>
      <c r="C111" s="17" t="s">
        <v>289</v>
      </c>
      <c r="D111" s="37">
        <v>2797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18"/>
      <c r="P111" s="18"/>
      <c r="Q111" s="69"/>
      <c r="R111" s="69">
        <f>SUM(S111:U111)</f>
        <v>2797</v>
      </c>
      <c r="S111" s="69"/>
      <c r="T111" s="79">
        <v>2797</v>
      </c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</row>
    <row r="112" spans="1:53" s="15" customFormat="1" ht="45">
      <c r="A112" s="75" t="s">
        <v>257</v>
      </c>
      <c r="B112" s="139" t="s">
        <v>290</v>
      </c>
      <c r="C112" s="17" t="s">
        <v>291</v>
      </c>
      <c r="D112" s="37">
        <f>R112+W112+AB112+AG112+AL112+AP112+AT112+AX112</f>
        <v>5132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8"/>
      <c r="P112" s="18"/>
      <c r="Q112" s="69"/>
      <c r="R112" s="69"/>
      <c r="S112" s="69"/>
      <c r="T112" s="69"/>
      <c r="U112" s="69"/>
      <c r="V112" s="69"/>
      <c r="W112" s="69">
        <f>X112+Y112+Z112</f>
        <v>5132</v>
      </c>
      <c r="X112" s="69"/>
      <c r="Y112" s="79">
        <v>5132</v>
      </c>
      <c r="Z112" s="69"/>
      <c r="AA112" s="69"/>
      <c r="AB112" s="69"/>
      <c r="AC112" s="69"/>
      <c r="AD112" s="69"/>
      <c r="AE112" s="69"/>
      <c r="AF112" s="69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</row>
    <row r="113" spans="1:53" s="15" customFormat="1" ht="33.75">
      <c r="A113" s="75" t="s">
        <v>464</v>
      </c>
      <c r="B113" s="139" t="s">
        <v>417</v>
      </c>
      <c r="C113" s="17"/>
      <c r="D113" s="37">
        <f aca="true" t="shared" si="21" ref="D113:D143">R113+W113+AB113+AG113+AL113+AP113+AT113+AX113</f>
        <v>6634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18"/>
      <c r="P113" s="18"/>
      <c r="Q113" s="69"/>
      <c r="R113" s="69"/>
      <c r="S113" s="69"/>
      <c r="T113" s="69"/>
      <c r="U113" s="69"/>
      <c r="V113" s="69"/>
      <c r="W113" s="69">
        <f>X113+Y113+Z113</f>
        <v>1327</v>
      </c>
      <c r="X113" s="69"/>
      <c r="Y113" s="79">
        <v>1327</v>
      </c>
      <c r="Z113" s="69"/>
      <c r="AA113" s="69"/>
      <c r="AB113" s="69">
        <f>AC113+AD113+AE113</f>
        <v>5307</v>
      </c>
      <c r="AC113" s="69"/>
      <c r="AD113" s="79">
        <v>5307</v>
      </c>
      <c r="AE113" s="69"/>
      <c r="AF113" s="69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</row>
    <row r="114" spans="1:53" s="15" customFormat="1" ht="22.5">
      <c r="A114" s="75" t="s">
        <v>288</v>
      </c>
      <c r="B114" s="139" t="s">
        <v>418</v>
      </c>
      <c r="C114" s="17"/>
      <c r="D114" s="37">
        <f t="shared" si="21"/>
        <v>7324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18"/>
      <c r="P114" s="18"/>
      <c r="Q114" s="69"/>
      <c r="R114" s="69"/>
      <c r="S114" s="69"/>
      <c r="T114" s="69"/>
      <c r="U114" s="69"/>
      <c r="V114" s="69"/>
      <c r="W114" s="69"/>
      <c r="X114" s="69"/>
      <c r="Y114" s="79"/>
      <c r="Z114" s="69"/>
      <c r="AA114" s="69"/>
      <c r="AB114" s="69">
        <f>AC114+AD114+AE114</f>
        <v>1465</v>
      </c>
      <c r="AC114" s="69"/>
      <c r="AD114" s="79">
        <v>1465</v>
      </c>
      <c r="AE114" s="69"/>
      <c r="AF114" s="69"/>
      <c r="AG114" s="69">
        <f>AH114+AI114+AJ114</f>
        <v>5859</v>
      </c>
      <c r="AH114" s="92"/>
      <c r="AI114" s="92">
        <v>5859</v>
      </c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</row>
    <row r="115" spans="1:53" s="15" customFormat="1" ht="45">
      <c r="A115" s="75" t="s">
        <v>465</v>
      </c>
      <c r="B115" s="139" t="s">
        <v>419</v>
      </c>
      <c r="C115" s="73"/>
      <c r="D115" s="37">
        <f t="shared" si="21"/>
        <v>8569</v>
      </c>
      <c r="E115" s="69"/>
      <c r="F115" s="69"/>
      <c r="G115" s="69"/>
      <c r="H115" s="69"/>
      <c r="I115" s="69"/>
      <c r="J115" s="69"/>
      <c r="K115" s="69"/>
      <c r="L115" s="69"/>
      <c r="M115" s="51"/>
      <c r="N115" s="51"/>
      <c r="O115" s="111"/>
      <c r="P115" s="111"/>
      <c r="Q115" s="69"/>
      <c r="R115" s="69">
        <f>SUM(S115:U115)</f>
        <v>1714</v>
      </c>
      <c r="S115" s="69"/>
      <c r="T115" s="69">
        <v>1714</v>
      </c>
      <c r="U115" s="69"/>
      <c r="V115" s="69"/>
      <c r="W115" s="69">
        <f>SUM(X115:Z115)</f>
        <v>6855</v>
      </c>
      <c r="X115" s="69"/>
      <c r="Y115" s="69">
        <v>6855</v>
      </c>
      <c r="Z115" s="69"/>
      <c r="AA115" s="69"/>
      <c r="AB115" s="69"/>
      <c r="AC115" s="69"/>
      <c r="AD115" s="69"/>
      <c r="AE115" s="69"/>
      <c r="AF115" s="69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</row>
    <row r="116" spans="1:53" s="15" customFormat="1" ht="33.75">
      <c r="A116" s="75" t="s">
        <v>466</v>
      </c>
      <c r="B116" s="139" t="s">
        <v>420</v>
      </c>
      <c r="C116" s="73"/>
      <c r="D116" s="37">
        <f t="shared" si="21"/>
        <v>5829</v>
      </c>
      <c r="E116" s="69"/>
      <c r="F116" s="69"/>
      <c r="G116" s="69"/>
      <c r="H116" s="69"/>
      <c r="I116" s="69"/>
      <c r="J116" s="69"/>
      <c r="K116" s="69"/>
      <c r="L116" s="69"/>
      <c r="M116" s="51"/>
      <c r="N116" s="51"/>
      <c r="O116" s="111"/>
      <c r="P116" s="111"/>
      <c r="Q116" s="69"/>
      <c r="R116" s="69"/>
      <c r="S116" s="69"/>
      <c r="T116" s="69"/>
      <c r="U116" s="69"/>
      <c r="V116" s="69"/>
      <c r="W116" s="69">
        <f>SUM(X116:Z116)</f>
        <v>1166</v>
      </c>
      <c r="X116" s="69"/>
      <c r="Y116" s="69">
        <v>1166</v>
      </c>
      <c r="Z116" s="69"/>
      <c r="AA116" s="69"/>
      <c r="AB116" s="69">
        <f>SUM(AC116:AE116)</f>
        <v>4663</v>
      </c>
      <c r="AC116" s="69"/>
      <c r="AD116" s="69">
        <v>4663</v>
      </c>
      <c r="AE116" s="69"/>
      <c r="AF116" s="69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</row>
    <row r="117" spans="1:53" s="15" customFormat="1" ht="33.75">
      <c r="A117" s="75" t="s">
        <v>467</v>
      </c>
      <c r="B117" s="139" t="s">
        <v>421</v>
      </c>
      <c r="C117" s="73"/>
      <c r="D117" s="37">
        <f t="shared" si="21"/>
        <v>7944</v>
      </c>
      <c r="E117" s="69"/>
      <c r="F117" s="69"/>
      <c r="G117" s="69"/>
      <c r="H117" s="69"/>
      <c r="I117" s="69"/>
      <c r="J117" s="69"/>
      <c r="K117" s="69"/>
      <c r="L117" s="69"/>
      <c r="M117" s="51"/>
      <c r="N117" s="51"/>
      <c r="O117" s="111"/>
      <c r="P117" s="111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>
        <f>SUM(AC117:AE117)</f>
        <v>1589</v>
      </c>
      <c r="AC117" s="69"/>
      <c r="AD117" s="69">
        <v>1589</v>
      </c>
      <c r="AE117" s="69"/>
      <c r="AF117" s="69"/>
      <c r="AG117" s="69">
        <f>SUM(AH117:AJ117)</f>
        <v>6355</v>
      </c>
      <c r="AH117" s="92"/>
      <c r="AI117" s="92">
        <v>6355.3</v>
      </c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</row>
    <row r="118" spans="1:53" s="15" customFormat="1" ht="33.75">
      <c r="A118" s="75" t="s">
        <v>468</v>
      </c>
      <c r="B118" s="139" t="s">
        <v>422</v>
      </c>
      <c r="C118" s="73"/>
      <c r="D118" s="37">
        <f t="shared" si="21"/>
        <v>4542</v>
      </c>
      <c r="E118" s="69"/>
      <c r="F118" s="69"/>
      <c r="G118" s="69"/>
      <c r="H118" s="69"/>
      <c r="I118" s="69"/>
      <c r="J118" s="69"/>
      <c r="K118" s="69"/>
      <c r="L118" s="69"/>
      <c r="M118" s="51"/>
      <c r="N118" s="51"/>
      <c r="O118" s="111"/>
      <c r="P118" s="111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>
        <f>SUM(AH118:AJ118)</f>
        <v>908</v>
      </c>
      <c r="AH118" s="92"/>
      <c r="AI118" s="92">
        <v>908.4</v>
      </c>
      <c r="AJ118" s="92"/>
      <c r="AK118" s="92"/>
      <c r="AL118" s="69">
        <f>SUM(AM118:AO118)</f>
        <v>3634</v>
      </c>
      <c r="AM118" s="92"/>
      <c r="AN118" s="92">
        <v>3633.7</v>
      </c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</row>
    <row r="119" spans="1:53" s="15" customFormat="1" ht="22.5">
      <c r="A119" s="75" t="s">
        <v>469</v>
      </c>
      <c r="B119" s="139" t="s">
        <v>423</v>
      </c>
      <c r="C119" s="73"/>
      <c r="D119" s="37">
        <f t="shared" si="21"/>
        <v>1464</v>
      </c>
      <c r="E119" s="69"/>
      <c r="F119" s="69"/>
      <c r="G119" s="69"/>
      <c r="H119" s="69"/>
      <c r="I119" s="69"/>
      <c r="J119" s="69"/>
      <c r="K119" s="69"/>
      <c r="L119" s="69"/>
      <c r="M119" s="51"/>
      <c r="N119" s="51"/>
      <c r="O119" s="111"/>
      <c r="P119" s="111"/>
      <c r="Q119" s="69"/>
      <c r="R119" s="69">
        <f>SUM(S119:U119)</f>
        <v>293</v>
      </c>
      <c r="S119" s="69"/>
      <c r="T119" s="69">
        <v>293</v>
      </c>
      <c r="U119" s="69"/>
      <c r="V119" s="69"/>
      <c r="W119" s="69">
        <f>SUM(X119:Z119)</f>
        <v>1171</v>
      </c>
      <c r="X119" s="69"/>
      <c r="Y119" s="69">
        <v>1171</v>
      </c>
      <c r="Z119" s="69"/>
      <c r="AA119" s="69"/>
      <c r="AB119" s="69"/>
      <c r="AC119" s="69"/>
      <c r="AD119" s="69"/>
      <c r="AE119" s="69"/>
      <c r="AF119" s="69"/>
      <c r="AG119" s="69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</row>
    <row r="120" spans="1:53" s="15" customFormat="1" ht="22.5">
      <c r="A120" s="75" t="s">
        <v>470</v>
      </c>
      <c r="B120" s="139" t="s">
        <v>424</v>
      </c>
      <c r="C120" s="73"/>
      <c r="D120" s="37">
        <f t="shared" si="21"/>
        <v>368</v>
      </c>
      <c r="E120" s="69"/>
      <c r="F120" s="69"/>
      <c r="G120" s="69"/>
      <c r="H120" s="69"/>
      <c r="I120" s="69"/>
      <c r="J120" s="69"/>
      <c r="K120" s="69"/>
      <c r="L120" s="69"/>
      <c r="M120" s="51"/>
      <c r="N120" s="51"/>
      <c r="O120" s="111"/>
      <c r="P120" s="111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>
        <f>SUM(AH120:AJ120)</f>
        <v>74</v>
      </c>
      <c r="AH120" s="92"/>
      <c r="AI120" s="92">
        <v>73.5</v>
      </c>
      <c r="AJ120" s="92"/>
      <c r="AK120" s="92"/>
      <c r="AL120" s="69">
        <f>SUM(AM120:AO120)</f>
        <v>294</v>
      </c>
      <c r="AM120" s="92"/>
      <c r="AN120" s="92">
        <v>294</v>
      </c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</row>
    <row r="121" spans="1:53" s="15" customFormat="1" ht="56.25">
      <c r="A121" s="75" t="s">
        <v>471</v>
      </c>
      <c r="B121" s="139" t="s">
        <v>425</v>
      </c>
      <c r="C121" s="73"/>
      <c r="D121" s="37">
        <f t="shared" si="21"/>
        <v>5840</v>
      </c>
      <c r="E121" s="69"/>
      <c r="F121" s="69"/>
      <c r="G121" s="69"/>
      <c r="H121" s="69"/>
      <c r="I121" s="69"/>
      <c r="J121" s="69"/>
      <c r="K121" s="69"/>
      <c r="L121" s="69"/>
      <c r="M121" s="51"/>
      <c r="N121" s="51"/>
      <c r="O121" s="111"/>
      <c r="P121" s="111"/>
      <c r="Q121" s="69"/>
      <c r="R121" s="69"/>
      <c r="S121" s="69"/>
      <c r="T121" s="69"/>
      <c r="U121" s="69"/>
      <c r="V121" s="69"/>
      <c r="W121" s="69">
        <f>SUM(X121:Z121)</f>
        <v>170</v>
      </c>
      <c r="X121" s="69"/>
      <c r="Y121" s="69">
        <v>170</v>
      </c>
      <c r="Z121" s="69"/>
      <c r="AA121" s="69"/>
      <c r="AB121" s="69">
        <f>SUM(AC121:AE121)</f>
        <v>1890</v>
      </c>
      <c r="AC121" s="69"/>
      <c r="AD121" s="69">
        <v>1890</v>
      </c>
      <c r="AE121" s="69"/>
      <c r="AF121" s="69"/>
      <c r="AG121" s="69">
        <f>SUM(AH121:AJ121)</f>
        <v>1890</v>
      </c>
      <c r="AH121" s="69"/>
      <c r="AI121" s="69">
        <v>1890</v>
      </c>
      <c r="AJ121" s="92"/>
      <c r="AK121" s="92"/>
      <c r="AL121" s="69">
        <f>SUM(AM121:AO121)</f>
        <v>1890</v>
      </c>
      <c r="AM121" s="69"/>
      <c r="AN121" s="69">
        <v>1890</v>
      </c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</row>
    <row r="122" spans="1:53" s="15" customFormat="1" ht="45">
      <c r="A122" s="75" t="s">
        <v>472</v>
      </c>
      <c r="B122" s="139" t="s">
        <v>426</v>
      </c>
      <c r="C122" s="73"/>
      <c r="D122" s="37">
        <f t="shared" si="21"/>
        <v>340</v>
      </c>
      <c r="E122" s="69"/>
      <c r="F122" s="69"/>
      <c r="G122" s="69"/>
      <c r="H122" s="69"/>
      <c r="I122" s="69"/>
      <c r="J122" s="69"/>
      <c r="K122" s="69"/>
      <c r="L122" s="69"/>
      <c r="M122" s="51"/>
      <c r="N122" s="51"/>
      <c r="O122" s="111"/>
      <c r="P122" s="111"/>
      <c r="Q122" s="69"/>
      <c r="R122" s="69">
        <f>SUM(S122:U122)</f>
        <v>340</v>
      </c>
      <c r="S122" s="69"/>
      <c r="T122" s="69">
        <v>340</v>
      </c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</row>
    <row r="123" spans="1:53" s="15" customFormat="1" ht="33.75">
      <c r="A123" s="75" t="s">
        <v>473</v>
      </c>
      <c r="B123" s="139" t="s">
        <v>293</v>
      </c>
      <c r="C123" s="73"/>
      <c r="D123" s="37">
        <f t="shared" si="21"/>
        <v>0</v>
      </c>
      <c r="E123" s="69"/>
      <c r="F123" s="69"/>
      <c r="G123" s="69"/>
      <c r="H123" s="69"/>
      <c r="I123" s="69"/>
      <c r="J123" s="69"/>
      <c r="K123" s="69"/>
      <c r="L123" s="69"/>
      <c r="M123" s="51"/>
      <c r="N123" s="51"/>
      <c r="O123" s="111"/>
      <c r="P123" s="111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</row>
    <row r="124" spans="1:53" s="15" customFormat="1" ht="67.5">
      <c r="A124" s="75" t="s">
        <v>474</v>
      </c>
      <c r="B124" s="139" t="s">
        <v>294</v>
      </c>
      <c r="C124" s="73"/>
      <c r="D124" s="37">
        <f t="shared" si="21"/>
        <v>0</v>
      </c>
      <c r="E124" s="69"/>
      <c r="F124" s="69"/>
      <c r="G124" s="69"/>
      <c r="H124" s="69"/>
      <c r="I124" s="69"/>
      <c r="J124" s="69"/>
      <c r="K124" s="69"/>
      <c r="L124" s="69"/>
      <c r="M124" s="51"/>
      <c r="N124" s="51"/>
      <c r="O124" s="111"/>
      <c r="P124" s="111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</row>
    <row r="125" spans="1:53" s="15" customFormat="1" ht="45">
      <c r="A125" s="75" t="s">
        <v>475</v>
      </c>
      <c r="B125" s="139" t="s">
        <v>295</v>
      </c>
      <c r="C125" s="73"/>
      <c r="D125" s="37">
        <f t="shared" si="21"/>
        <v>0</v>
      </c>
      <c r="E125" s="69"/>
      <c r="F125" s="69"/>
      <c r="G125" s="69"/>
      <c r="H125" s="69"/>
      <c r="I125" s="69"/>
      <c r="J125" s="69"/>
      <c r="K125" s="69"/>
      <c r="L125" s="69"/>
      <c r="M125" s="51"/>
      <c r="N125" s="51"/>
      <c r="O125" s="111"/>
      <c r="P125" s="111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</row>
    <row r="126" spans="1:53" s="15" customFormat="1" ht="45">
      <c r="A126" s="75" t="s">
        <v>476</v>
      </c>
      <c r="B126" s="139" t="s">
        <v>296</v>
      </c>
      <c r="C126" s="73"/>
      <c r="D126" s="37">
        <f t="shared" si="21"/>
        <v>0</v>
      </c>
      <c r="E126" s="69"/>
      <c r="F126" s="69"/>
      <c r="G126" s="69"/>
      <c r="H126" s="69"/>
      <c r="I126" s="69"/>
      <c r="J126" s="69"/>
      <c r="K126" s="69"/>
      <c r="L126" s="69"/>
      <c r="M126" s="51"/>
      <c r="N126" s="51"/>
      <c r="O126" s="111"/>
      <c r="P126" s="111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</row>
    <row r="127" spans="1:53" s="15" customFormat="1" ht="22.5">
      <c r="A127" s="75" t="s">
        <v>477</v>
      </c>
      <c r="B127" s="139" t="s">
        <v>297</v>
      </c>
      <c r="C127" s="73"/>
      <c r="D127" s="37">
        <f t="shared" si="21"/>
        <v>0</v>
      </c>
      <c r="E127" s="69"/>
      <c r="F127" s="69"/>
      <c r="G127" s="69"/>
      <c r="H127" s="69"/>
      <c r="I127" s="69"/>
      <c r="J127" s="69"/>
      <c r="K127" s="69"/>
      <c r="L127" s="69"/>
      <c r="M127" s="51"/>
      <c r="N127" s="51"/>
      <c r="O127" s="111"/>
      <c r="P127" s="111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</row>
    <row r="128" spans="1:53" s="15" customFormat="1" ht="33.75">
      <c r="A128" s="75" t="s">
        <v>480</v>
      </c>
      <c r="B128" s="139" t="s">
        <v>298</v>
      </c>
      <c r="C128" s="73"/>
      <c r="D128" s="37">
        <f t="shared" si="21"/>
        <v>0</v>
      </c>
      <c r="E128" s="69"/>
      <c r="F128" s="69"/>
      <c r="G128" s="69"/>
      <c r="H128" s="69"/>
      <c r="I128" s="69"/>
      <c r="J128" s="69"/>
      <c r="K128" s="69"/>
      <c r="L128" s="69"/>
      <c r="M128" s="51"/>
      <c r="N128" s="51"/>
      <c r="O128" s="111"/>
      <c r="P128" s="111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</row>
    <row r="129" spans="1:53" s="15" customFormat="1" ht="67.5">
      <c r="A129" s="75" t="s">
        <v>479</v>
      </c>
      <c r="B129" s="139" t="s">
        <v>427</v>
      </c>
      <c r="C129" s="73"/>
      <c r="D129" s="37">
        <f t="shared" si="21"/>
        <v>22440</v>
      </c>
      <c r="E129" s="69"/>
      <c r="F129" s="69"/>
      <c r="G129" s="69"/>
      <c r="H129" s="69"/>
      <c r="I129" s="69"/>
      <c r="J129" s="69"/>
      <c r="K129" s="69"/>
      <c r="L129" s="69"/>
      <c r="M129" s="51"/>
      <c r="N129" s="51"/>
      <c r="O129" s="111"/>
      <c r="P129" s="111"/>
      <c r="Q129" s="69"/>
      <c r="R129" s="69">
        <f>SUM(S129:U129)</f>
        <v>2040</v>
      </c>
      <c r="S129" s="69"/>
      <c r="T129" s="69">
        <v>2040</v>
      </c>
      <c r="U129" s="69"/>
      <c r="V129" s="69"/>
      <c r="W129" s="69">
        <f>SUM(X129:Z129)</f>
        <v>5100</v>
      </c>
      <c r="X129" s="69"/>
      <c r="Y129" s="69">
        <f>5100</f>
        <v>5100</v>
      </c>
      <c r="Z129" s="69"/>
      <c r="AA129" s="69"/>
      <c r="AB129" s="69">
        <f>SUM(AC129:AE129)</f>
        <v>5100</v>
      </c>
      <c r="AC129" s="69"/>
      <c r="AD129" s="69">
        <f>5100</f>
        <v>5100</v>
      </c>
      <c r="AE129" s="69"/>
      <c r="AF129" s="69"/>
      <c r="AG129" s="69">
        <f>SUM(AH129:AJ129)</f>
        <v>5100</v>
      </c>
      <c r="AH129" s="69"/>
      <c r="AI129" s="69">
        <f>5100</f>
        <v>5100</v>
      </c>
      <c r="AJ129" s="92"/>
      <c r="AK129" s="92"/>
      <c r="AL129" s="69">
        <f>SUM(AM129:AO129)</f>
        <v>5100</v>
      </c>
      <c r="AM129" s="69"/>
      <c r="AN129" s="69">
        <f>5100</f>
        <v>5100</v>
      </c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</row>
    <row r="130" spans="1:53" s="15" customFormat="1" ht="22.5">
      <c r="A130" s="75" t="s">
        <v>481</v>
      </c>
      <c r="B130" s="139" t="s">
        <v>428</v>
      </c>
      <c r="C130" s="73"/>
      <c r="D130" s="37">
        <f t="shared" si="21"/>
        <v>5874</v>
      </c>
      <c r="E130" s="69"/>
      <c r="F130" s="69"/>
      <c r="G130" s="69"/>
      <c r="H130" s="69"/>
      <c r="I130" s="69"/>
      <c r="J130" s="69"/>
      <c r="K130" s="69"/>
      <c r="L130" s="69"/>
      <c r="M130" s="51"/>
      <c r="N130" s="51"/>
      <c r="O130" s="111"/>
      <c r="P130" s="111"/>
      <c r="Q130" s="69"/>
      <c r="R130" s="69"/>
      <c r="S130" s="69"/>
      <c r="T130" s="69"/>
      <c r="U130" s="69"/>
      <c r="V130" s="69"/>
      <c r="W130" s="69">
        <f>SUM(X130:Z130)</f>
        <v>534</v>
      </c>
      <c r="X130" s="69"/>
      <c r="Y130" s="69">
        <v>534</v>
      </c>
      <c r="Z130" s="69"/>
      <c r="AA130" s="69"/>
      <c r="AB130" s="69">
        <f>SUM(AC130:AE130)</f>
        <v>5340</v>
      </c>
      <c r="AC130" s="69"/>
      <c r="AD130" s="69">
        <v>5340</v>
      </c>
      <c r="AE130" s="69"/>
      <c r="AF130" s="69"/>
      <c r="AG130" s="69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</row>
    <row r="131" spans="1:53" s="15" customFormat="1" ht="22.5">
      <c r="A131" s="75" t="s">
        <v>482</v>
      </c>
      <c r="B131" s="139" t="s">
        <v>429</v>
      </c>
      <c r="C131" s="73"/>
      <c r="D131" s="37">
        <f t="shared" si="21"/>
        <v>150</v>
      </c>
      <c r="E131" s="69"/>
      <c r="F131" s="69"/>
      <c r="G131" s="69"/>
      <c r="H131" s="69"/>
      <c r="I131" s="69"/>
      <c r="J131" s="69"/>
      <c r="K131" s="69"/>
      <c r="L131" s="69"/>
      <c r="M131" s="51"/>
      <c r="N131" s="51"/>
      <c r="O131" s="111"/>
      <c r="P131" s="111"/>
      <c r="Q131" s="69"/>
      <c r="R131" s="69"/>
      <c r="S131" s="69"/>
      <c r="T131" s="69"/>
      <c r="U131" s="69"/>
      <c r="V131" s="69"/>
      <c r="W131" s="69">
        <f>SUM(X131:Z131)</f>
        <v>150</v>
      </c>
      <c r="X131" s="69"/>
      <c r="Y131" s="69">
        <v>150</v>
      </c>
      <c r="Z131" s="69"/>
      <c r="AA131" s="69"/>
      <c r="AB131" s="69"/>
      <c r="AC131" s="69"/>
      <c r="AD131" s="69"/>
      <c r="AE131" s="69"/>
      <c r="AF131" s="69"/>
      <c r="AG131" s="69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</row>
    <row r="132" spans="1:53" s="15" customFormat="1" ht="45">
      <c r="A132" s="75" t="s">
        <v>483</v>
      </c>
      <c r="B132" s="139" t="s">
        <v>430</v>
      </c>
      <c r="C132" s="73"/>
      <c r="D132" s="37">
        <f t="shared" si="21"/>
        <v>8778</v>
      </c>
      <c r="E132" s="69"/>
      <c r="F132" s="69"/>
      <c r="G132" s="69"/>
      <c r="H132" s="69"/>
      <c r="I132" s="69"/>
      <c r="J132" s="69"/>
      <c r="K132" s="69"/>
      <c r="L132" s="69"/>
      <c r="M132" s="51"/>
      <c r="N132" s="51"/>
      <c r="O132" s="111"/>
      <c r="P132" s="111"/>
      <c r="Q132" s="69"/>
      <c r="R132" s="69"/>
      <c r="S132" s="69"/>
      <c r="T132" s="69"/>
      <c r="U132" s="69"/>
      <c r="V132" s="69"/>
      <c r="W132" s="69">
        <f>SUM(X132:Z132)</f>
        <v>798</v>
      </c>
      <c r="X132" s="69"/>
      <c r="Y132" s="69">
        <v>798</v>
      </c>
      <c r="Z132" s="69"/>
      <c r="AA132" s="69"/>
      <c r="AB132" s="69">
        <f>SUM(AC132:AE132)</f>
        <v>2660</v>
      </c>
      <c r="AC132" s="69"/>
      <c r="AD132" s="69">
        <v>2660</v>
      </c>
      <c r="AE132" s="69"/>
      <c r="AF132" s="69"/>
      <c r="AG132" s="69">
        <f>SUM(AH132:AJ132)</f>
        <v>2660</v>
      </c>
      <c r="AH132" s="69"/>
      <c r="AI132" s="69">
        <v>2660</v>
      </c>
      <c r="AJ132" s="92"/>
      <c r="AK132" s="92"/>
      <c r="AL132" s="69">
        <f>SUM(AM132:AO132)</f>
        <v>2660</v>
      </c>
      <c r="AM132" s="69"/>
      <c r="AN132" s="69">
        <v>2660</v>
      </c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</row>
    <row r="133" spans="1:53" s="15" customFormat="1" ht="11.25">
      <c r="A133" s="75" t="s">
        <v>484</v>
      </c>
      <c r="B133" s="139" t="s">
        <v>431</v>
      </c>
      <c r="C133" s="73"/>
      <c r="D133" s="37">
        <f t="shared" si="21"/>
        <v>2049</v>
      </c>
      <c r="E133" s="69"/>
      <c r="F133" s="69"/>
      <c r="G133" s="69"/>
      <c r="H133" s="69"/>
      <c r="I133" s="69"/>
      <c r="J133" s="69"/>
      <c r="K133" s="69"/>
      <c r="L133" s="69"/>
      <c r="M133" s="51"/>
      <c r="N133" s="51"/>
      <c r="O133" s="111"/>
      <c r="P133" s="111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>
        <f>SUM(AH133:AJ133)</f>
        <v>186</v>
      </c>
      <c r="AH133" s="92"/>
      <c r="AI133" s="92">
        <v>186.3</v>
      </c>
      <c r="AJ133" s="92"/>
      <c r="AK133" s="92"/>
      <c r="AL133" s="69">
        <f>SUM(AM133:AO133)</f>
        <v>1863</v>
      </c>
      <c r="AM133" s="92"/>
      <c r="AN133" s="92">
        <v>1863</v>
      </c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</row>
    <row r="134" spans="1:53" s="15" customFormat="1" ht="33.75">
      <c r="A134" s="75" t="s">
        <v>485</v>
      </c>
      <c r="B134" s="139" t="s">
        <v>432</v>
      </c>
      <c r="C134" s="73"/>
      <c r="D134" s="37">
        <f t="shared" si="21"/>
        <v>1948</v>
      </c>
      <c r="E134" s="69"/>
      <c r="F134" s="69"/>
      <c r="G134" s="69"/>
      <c r="H134" s="69"/>
      <c r="I134" s="69"/>
      <c r="J134" s="69"/>
      <c r="K134" s="69"/>
      <c r="L134" s="69"/>
      <c r="M134" s="51"/>
      <c r="N134" s="51"/>
      <c r="O134" s="111"/>
      <c r="P134" s="111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>
        <f>SUM(AC134:AE134)</f>
        <v>177</v>
      </c>
      <c r="AC134" s="69"/>
      <c r="AD134" s="69">
        <v>177</v>
      </c>
      <c r="AE134" s="69"/>
      <c r="AF134" s="69"/>
      <c r="AG134" s="69">
        <f>SUM(AH134:AJ134)</f>
        <v>1771</v>
      </c>
      <c r="AH134" s="92"/>
      <c r="AI134" s="92">
        <v>1770.6</v>
      </c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</row>
    <row r="135" spans="1:53" s="15" customFormat="1" ht="33.75">
      <c r="A135" s="75" t="s">
        <v>486</v>
      </c>
      <c r="B135" s="139" t="s">
        <v>433</v>
      </c>
      <c r="C135" s="73"/>
      <c r="D135" s="37">
        <f t="shared" si="21"/>
        <v>36749</v>
      </c>
      <c r="E135" s="69"/>
      <c r="F135" s="69"/>
      <c r="G135" s="69"/>
      <c r="H135" s="69"/>
      <c r="I135" s="69"/>
      <c r="J135" s="69"/>
      <c r="K135" s="69"/>
      <c r="L135" s="69"/>
      <c r="M135" s="51"/>
      <c r="N135" s="51"/>
      <c r="O135" s="111"/>
      <c r="P135" s="111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>
        <f>SUM(AH135:AJ135)</f>
        <v>3341</v>
      </c>
      <c r="AH135" s="92"/>
      <c r="AI135" s="92">
        <v>3340.8</v>
      </c>
      <c r="AJ135" s="92"/>
      <c r="AK135" s="92"/>
      <c r="AL135" s="69">
        <f>SUM(AM135:AO135)</f>
        <v>33408</v>
      </c>
      <c r="AM135" s="92"/>
      <c r="AN135" s="92">
        <v>33408.3</v>
      </c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</row>
    <row r="136" spans="1:53" s="15" customFormat="1" ht="33.75">
      <c r="A136" s="75" t="s">
        <v>487</v>
      </c>
      <c r="B136" s="139" t="s">
        <v>434</v>
      </c>
      <c r="C136" s="73"/>
      <c r="D136" s="37">
        <f t="shared" si="21"/>
        <v>572</v>
      </c>
      <c r="E136" s="69"/>
      <c r="F136" s="69"/>
      <c r="G136" s="69"/>
      <c r="H136" s="69"/>
      <c r="I136" s="69"/>
      <c r="J136" s="69"/>
      <c r="K136" s="69"/>
      <c r="L136" s="69"/>
      <c r="M136" s="51"/>
      <c r="N136" s="51"/>
      <c r="O136" s="111"/>
      <c r="P136" s="111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>
        <f>SUM(AC136:AE136)</f>
        <v>52</v>
      </c>
      <c r="AC136" s="69"/>
      <c r="AD136" s="69">
        <v>52</v>
      </c>
      <c r="AE136" s="69"/>
      <c r="AF136" s="69"/>
      <c r="AG136" s="69">
        <f>SUM(AH136:AJ136)</f>
        <v>520</v>
      </c>
      <c r="AH136" s="92"/>
      <c r="AI136" s="92">
        <v>520.3</v>
      </c>
      <c r="AJ136" s="92"/>
      <c r="AK136" s="92"/>
      <c r="AL136" s="69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</row>
    <row r="137" spans="1:53" s="15" customFormat="1" ht="56.25">
      <c r="A137" s="75" t="s">
        <v>488</v>
      </c>
      <c r="B137" s="139" t="s">
        <v>435</v>
      </c>
      <c r="C137" s="73"/>
      <c r="D137" s="37">
        <f t="shared" si="21"/>
        <v>2297</v>
      </c>
      <c r="E137" s="69"/>
      <c r="F137" s="69"/>
      <c r="G137" s="69"/>
      <c r="H137" s="69"/>
      <c r="I137" s="69"/>
      <c r="J137" s="69"/>
      <c r="K137" s="69"/>
      <c r="L137" s="69"/>
      <c r="M137" s="51"/>
      <c r="N137" s="51"/>
      <c r="O137" s="111"/>
      <c r="P137" s="111"/>
      <c r="Q137" s="69"/>
      <c r="R137" s="69"/>
      <c r="S137" s="69"/>
      <c r="T137" s="69"/>
      <c r="U137" s="69"/>
      <c r="V137" s="69"/>
      <c r="W137" s="69">
        <f>SUM(X137:Z137)</f>
        <v>209</v>
      </c>
      <c r="X137" s="69"/>
      <c r="Y137" s="69">
        <v>209</v>
      </c>
      <c r="Z137" s="69"/>
      <c r="AA137" s="69"/>
      <c r="AB137" s="69">
        <f>SUM(AC137:AE137)</f>
        <v>2088</v>
      </c>
      <c r="AC137" s="69"/>
      <c r="AD137" s="69">
        <v>2088</v>
      </c>
      <c r="AE137" s="69"/>
      <c r="AF137" s="69"/>
      <c r="AG137" s="69"/>
      <c r="AH137" s="92"/>
      <c r="AI137" s="92"/>
      <c r="AJ137" s="92"/>
      <c r="AK137" s="92"/>
      <c r="AL137" s="69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</row>
    <row r="138" spans="1:53" s="15" customFormat="1" ht="22.5">
      <c r="A138" s="75" t="s">
        <v>478</v>
      </c>
      <c r="B138" s="139" t="s">
        <v>436</v>
      </c>
      <c r="C138" s="73"/>
      <c r="D138" s="37">
        <f t="shared" si="21"/>
        <v>2012</v>
      </c>
      <c r="E138" s="69"/>
      <c r="F138" s="69"/>
      <c r="G138" s="69"/>
      <c r="H138" s="69"/>
      <c r="I138" s="69"/>
      <c r="J138" s="69"/>
      <c r="K138" s="69"/>
      <c r="L138" s="69"/>
      <c r="M138" s="51"/>
      <c r="N138" s="51"/>
      <c r="O138" s="111"/>
      <c r="P138" s="111"/>
      <c r="Q138" s="69"/>
      <c r="R138" s="69">
        <f>SUM(S138:U138)</f>
        <v>183</v>
      </c>
      <c r="S138" s="69"/>
      <c r="T138" s="69">
        <v>183</v>
      </c>
      <c r="U138" s="69"/>
      <c r="V138" s="69"/>
      <c r="W138" s="69">
        <f>SUM(X138:Z138)</f>
        <v>1829</v>
      </c>
      <c r="X138" s="69"/>
      <c r="Y138" s="69">
        <v>1829</v>
      </c>
      <c r="Z138" s="69"/>
      <c r="AA138" s="69"/>
      <c r="AB138" s="69"/>
      <c r="AC138" s="69"/>
      <c r="AD138" s="69"/>
      <c r="AE138" s="69"/>
      <c r="AF138" s="69"/>
      <c r="AG138" s="69"/>
      <c r="AH138" s="92"/>
      <c r="AI138" s="92"/>
      <c r="AJ138" s="92"/>
      <c r="AK138" s="92"/>
      <c r="AL138" s="69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</row>
    <row r="139" spans="1:53" s="15" customFormat="1" ht="67.5">
      <c r="A139" s="75" t="s">
        <v>489</v>
      </c>
      <c r="B139" s="139" t="s">
        <v>437</v>
      </c>
      <c r="C139" s="73"/>
      <c r="D139" s="37">
        <f t="shared" si="21"/>
        <v>914</v>
      </c>
      <c r="E139" s="69"/>
      <c r="F139" s="69"/>
      <c r="G139" s="69"/>
      <c r="H139" s="69"/>
      <c r="I139" s="69"/>
      <c r="J139" s="69"/>
      <c r="K139" s="69"/>
      <c r="L139" s="69"/>
      <c r="M139" s="51"/>
      <c r="N139" s="51"/>
      <c r="O139" s="111"/>
      <c r="P139" s="111"/>
      <c r="Q139" s="69"/>
      <c r="R139" s="69">
        <f>SUM(S139:U139)</f>
        <v>914</v>
      </c>
      <c r="S139" s="69"/>
      <c r="T139" s="69">
        <v>914</v>
      </c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92"/>
      <c r="AI139" s="92"/>
      <c r="AJ139" s="92"/>
      <c r="AK139" s="92"/>
      <c r="AL139" s="69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</row>
    <row r="140" spans="1:53" s="15" customFormat="1" ht="45">
      <c r="A140" s="75" t="s">
        <v>490</v>
      </c>
      <c r="B140" s="139" t="s">
        <v>438</v>
      </c>
      <c r="C140" s="73"/>
      <c r="D140" s="37">
        <f t="shared" si="21"/>
        <v>4642</v>
      </c>
      <c r="E140" s="69"/>
      <c r="F140" s="69"/>
      <c r="G140" s="69"/>
      <c r="H140" s="69"/>
      <c r="I140" s="69"/>
      <c r="J140" s="69"/>
      <c r="K140" s="69"/>
      <c r="L140" s="69"/>
      <c r="M140" s="51"/>
      <c r="N140" s="51"/>
      <c r="O140" s="111"/>
      <c r="P140" s="111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>
        <f>SUM(AC140:AE140)</f>
        <v>422</v>
      </c>
      <c r="AC140" s="69"/>
      <c r="AD140" s="69">
        <v>422</v>
      </c>
      <c r="AE140" s="69"/>
      <c r="AF140" s="69"/>
      <c r="AG140" s="69">
        <f>SUM(AH140:AJ140)</f>
        <v>4220</v>
      </c>
      <c r="AH140" s="69"/>
      <c r="AI140" s="69">
        <v>4220</v>
      </c>
      <c r="AJ140" s="92"/>
      <c r="AK140" s="92"/>
      <c r="AL140" s="69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</row>
    <row r="141" spans="1:53" s="15" customFormat="1" ht="33.75">
      <c r="A141" s="75" t="s">
        <v>491</v>
      </c>
      <c r="B141" s="139" t="s">
        <v>439</v>
      </c>
      <c r="C141" s="73"/>
      <c r="D141" s="37">
        <f t="shared" si="21"/>
        <v>1583</v>
      </c>
      <c r="E141" s="69"/>
      <c r="F141" s="69"/>
      <c r="G141" s="69"/>
      <c r="H141" s="69"/>
      <c r="I141" s="69"/>
      <c r="J141" s="69"/>
      <c r="K141" s="69"/>
      <c r="L141" s="69"/>
      <c r="M141" s="51"/>
      <c r="N141" s="51"/>
      <c r="O141" s="111"/>
      <c r="P141" s="111"/>
      <c r="Q141" s="69"/>
      <c r="R141" s="69">
        <f>SUM(S141:U141)</f>
        <v>365</v>
      </c>
      <c r="S141" s="69"/>
      <c r="T141" s="69">
        <v>365</v>
      </c>
      <c r="U141" s="69"/>
      <c r="V141" s="69"/>
      <c r="W141" s="69">
        <f>SUM(X141:Z141)</f>
        <v>1218</v>
      </c>
      <c r="X141" s="69"/>
      <c r="Y141" s="69">
        <v>1218</v>
      </c>
      <c r="Z141" s="69"/>
      <c r="AA141" s="69"/>
      <c r="AB141" s="69"/>
      <c r="AC141" s="69"/>
      <c r="AD141" s="69"/>
      <c r="AE141" s="69"/>
      <c r="AF141" s="69"/>
      <c r="AG141" s="69"/>
      <c r="AH141" s="92"/>
      <c r="AI141" s="92"/>
      <c r="AJ141" s="92"/>
      <c r="AK141" s="92"/>
      <c r="AL141" s="69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</row>
    <row r="142" spans="1:53" s="15" customFormat="1" ht="56.25">
      <c r="A142" s="75" t="s">
        <v>492</v>
      </c>
      <c r="B142" s="139" t="s">
        <v>440</v>
      </c>
      <c r="C142" s="73"/>
      <c r="D142" s="37">
        <f t="shared" si="21"/>
        <v>436</v>
      </c>
      <c r="E142" s="69"/>
      <c r="F142" s="69"/>
      <c r="G142" s="69"/>
      <c r="H142" s="69"/>
      <c r="I142" s="69"/>
      <c r="J142" s="69"/>
      <c r="K142" s="69"/>
      <c r="L142" s="69"/>
      <c r="M142" s="51"/>
      <c r="N142" s="51"/>
      <c r="O142" s="111"/>
      <c r="P142" s="111"/>
      <c r="Q142" s="69"/>
      <c r="R142" s="69">
        <f>SUM(S142:U142)</f>
        <v>13</v>
      </c>
      <c r="S142" s="69"/>
      <c r="T142" s="69">
        <v>13</v>
      </c>
      <c r="U142" s="69"/>
      <c r="V142" s="69"/>
      <c r="W142" s="69">
        <f>SUM(X142:Z142)</f>
        <v>423</v>
      </c>
      <c r="X142" s="69"/>
      <c r="Y142" s="69">
        <v>423</v>
      </c>
      <c r="Z142" s="69"/>
      <c r="AA142" s="69"/>
      <c r="AB142" s="69"/>
      <c r="AC142" s="69"/>
      <c r="AD142" s="69"/>
      <c r="AE142" s="69"/>
      <c r="AF142" s="69"/>
      <c r="AG142" s="69"/>
      <c r="AH142" s="92"/>
      <c r="AI142" s="92"/>
      <c r="AJ142" s="92"/>
      <c r="AK142" s="92"/>
      <c r="AL142" s="69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</row>
    <row r="143" spans="1:53" s="15" customFormat="1" ht="33.75">
      <c r="A143" s="75" t="s">
        <v>493</v>
      </c>
      <c r="B143" s="139" t="s">
        <v>441</v>
      </c>
      <c r="C143" s="73"/>
      <c r="D143" s="37">
        <f t="shared" si="21"/>
        <v>13736</v>
      </c>
      <c r="E143" s="69"/>
      <c r="F143" s="69"/>
      <c r="G143" s="69"/>
      <c r="H143" s="69"/>
      <c r="I143" s="69"/>
      <c r="J143" s="69"/>
      <c r="K143" s="69"/>
      <c r="L143" s="69"/>
      <c r="M143" s="51"/>
      <c r="N143" s="51"/>
      <c r="O143" s="111"/>
      <c r="P143" s="111"/>
      <c r="Q143" s="69"/>
      <c r="R143" s="69"/>
      <c r="S143" s="69"/>
      <c r="T143" s="69"/>
      <c r="U143" s="69"/>
      <c r="V143" s="69"/>
      <c r="W143" s="69">
        <f>SUM(X143:Z143)</f>
        <v>3434</v>
      </c>
      <c r="X143" s="69"/>
      <c r="Y143" s="69">
        <v>3434</v>
      </c>
      <c r="Z143" s="69"/>
      <c r="AA143" s="69"/>
      <c r="AB143" s="69">
        <f>SUM(AC143:AE143)</f>
        <v>3434</v>
      </c>
      <c r="AC143" s="69"/>
      <c r="AD143" s="69">
        <v>3434</v>
      </c>
      <c r="AE143" s="69"/>
      <c r="AF143" s="69"/>
      <c r="AG143" s="69">
        <f>SUM(AH143:AJ143)</f>
        <v>3434</v>
      </c>
      <c r="AH143" s="69"/>
      <c r="AI143" s="69">
        <v>3434</v>
      </c>
      <c r="AJ143" s="92"/>
      <c r="AK143" s="92"/>
      <c r="AL143" s="69">
        <f>SUM(AM143:AO143)</f>
        <v>3434</v>
      </c>
      <c r="AM143" s="69"/>
      <c r="AN143" s="69">
        <v>3434</v>
      </c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</row>
    <row r="144" spans="1:53" s="15" customFormat="1" ht="45">
      <c r="A144" s="132"/>
      <c r="B144" s="144" t="s">
        <v>442</v>
      </c>
      <c r="C144" s="13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35"/>
      <c r="P144" s="35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4"/>
      <c r="AK144" s="134"/>
      <c r="AL144" s="12"/>
      <c r="AM144" s="12"/>
      <c r="AN144" s="12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</row>
    <row r="145" spans="1:53" s="15" customFormat="1" ht="33.75">
      <c r="A145" s="75" t="s">
        <v>494</v>
      </c>
      <c r="B145" s="139" t="s">
        <v>443</v>
      </c>
      <c r="C145" s="73"/>
      <c r="D145" s="37">
        <f>R145+W145+AB145+AG145+AL145+AP145+AT145+AX145</f>
        <v>519</v>
      </c>
      <c r="E145" s="69"/>
      <c r="F145" s="69"/>
      <c r="G145" s="69"/>
      <c r="H145" s="69"/>
      <c r="I145" s="69"/>
      <c r="J145" s="69"/>
      <c r="K145" s="69"/>
      <c r="L145" s="69"/>
      <c r="M145" s="51"/>
      <c r="N145" s="51"/>
      <c r="O145" s="111"/>
      <c r="P145" s="111"/>
      <c r="Q145" s="69"/>
      <c r="R145" s="69"/>
      <c r="S145" s="69"/>
      <c r="T145" s="69"/>
      <c r="U145" s="69"/>
      <c r="V145" s="69"/>
      <c r="W145" s="69">
        <f>SUM(X145:Z145)</f>
        <v>283</v>
      </c>
      <c r="X145" s="69"/>
      <c r="Y145" s="69">
        <v>283</v>
      </c>
      <c r="Z145" s="69"/>
      <c r="AA145" s="69"/>
      <c r="AB145" s="69">
        <f>SUM(AC145:AE145)</f>
        <v>236</v>
      </c>
      <c r="AC145" s="69"/>
      <c r="AD145" s="69">
        <v>236</v>
      </c>
      <c r="AE145" s="69"/>
      <c r="AF145" s="69"/>
      <c r="AG145" s="69"/>
      <c r="AH145" s="69"/>
      <c r="AI145" s="69"/>
      <c r="AJ145" s="92"/>
      <c r="AK145" s="92"/>
      <c r="AL145" s="69"/>
      <c r="AM145" s="69"/>
      <c r="AN145" s="69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</row>
    <row r="146" spans="1:53" s="15" customFormat="1" ht="33.75">
      <c r="A146" s="75" t="s">
        <v>495</v>
      </c>
      <c r="B146" s="139" t="s">
        <v>444</v>
      </c>
      <c r="C146" s="73"/>
      <c r="D146" s="37">
        <f>R146+W146+AB146+AG146+AL146+AP146+AT146+AX146</f>
        <v>805</v>
      </c>
      <c r="E146" s="69"/>
      <c r="F146" s="69"/>
      <c r="G146" s="69"/>
      <c r="H146" s="69"/>
      <c r="I146" s="69"/>
      <c r="J146" s="69"/>
      <c r="K146" s="69"/>
      <c r="L146" s="69"/>
      <c r="M146" s="51"/>
      <c r="N146" s="51"/>
      <c r="O146" s="111"/>
      <c r="P146" s="111"/>
      <c r="Q146" s="69"/>
      <c r="R146" s="69"/>
      <c r="S146" s="69"/>
      <c r="T146" s="69"/>
      <c r="U146" s="69"/>
      <c r="V146" s="69"/>
      <c r="W146" s="69">
        <f>SUM(X146:Z146)</f>
        <v>439</v>
      </c>
      <c r="X146" s="69"/>
      <c r="Y146" s="69">
        <v>439</v>
      </c>
      <c r="Z146" s="69"/>
      <c r="AA146" s="69"/>
      <c r="AB146" s="69"/>
      <c r="AC146" s="69"/>
      <c r="AD146" s="69"/>
      <c r="AE146" s="69"/>
      <c r="AF146" s="69"/>
      <c r="AG146" s="69">
        <f>SUM(AH146:AJ146)</f>
        <v>366</v>
      </c>
      <c r="AH146" s="69"/>
      <c r="AI146" s="69">
        <v>366</v>
      </c>
      <c r="AJ146" s="92"/>
      <c r="AK146" s="92"/>
      <c r="AL146" s="69"/>
      <c r="AM146" s="69"/>
      <c r="AN146" s="69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</row>
    <row r="147" spans="1:53" s="15" customFormat="1" ht="33.75">
      <c r="A147" s="75" t="s">
        <v>496</v>
      </c>
      <c r="B147" s="139" t="s">
        <v>445</v>
      </c>
      <c r="C147" s="73"/>
      <c r="D147" s="37">
        <f>R147+W147+AB147+AG147+AL147+AP147+AT147+AX147</f>
        <v>1018</v>
      </c>
      <c r="E147" s="69"/>
      <c r="F147" s="69"/>
      <c r="G147" s="69"/>
      <c r="H147" s="69"/>
      <c r="I147" s="69"/>
      <c r="J147" s="69"/>
      <c r="K147" s="69"/>
      <c r="L147" s="69"/>
      <c r="M147" s="51"/>
      <c r="N147" s="51"/>
      <c r="O147" s="111"/>
      <c r="P147" s="111"/>
      <c r="Q147" s="69"/>
      <c r="R147" s="69"/>
      <c r="S147" s="69"/>
      <c r="T147" s="69"/>
      <c r="U147" s="69"/>
      <c r="V147" s="69"/>
      <c r="W147" s="69">
        <f>SUM(X147:Z147)</f>
        <v>1018</v>
      </c>
      <c r="X147" s="69"/>
      <c r="Y147" s="69">
        <v>1018</v>
      </c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92"/>
      <c r="AK147" s="92"/>
      <c r="AL147" s="69"/>
      <c r="AM147" s="69"/>
      <c r="AN147" s="69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</row>
    <row r="148" spans="1:53" s="15" customFormat="1" ht="45">
      <c r="A148" s="75" t="s">
        <v>497</v>
      </c>
      <c r="B148" s="139" t="s">
        <v>446</v>
      </c>
      <c r="C148" s="73"/>
      <c r="D148" s="37">
        <f>R148+W148+AB148+AG148+AL148+AP148+AT148+AX148</f>
        <v>606</v>
      </c>
      <c r="E148" s="69"/>
      <c r="F148" s="69"/>
      <c r="G148" s="69"/>
      <c r="H148" s="69"/>
      <c r="I148" s="69"/>
      <c r="J148" s="69"/>
      <c r="K148" s="69"/>
      <c r="L148" s="69"/>
      <c r="M148" s="51"/>
      <c r="N148" s="51"/>
      <c r="O148" s="111"/>
      <c r="P148" s="111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>
        <f>SUM(AC148:AE148)</f>
        <v>55</v>
      </c>
      <c r="AC148" s="69"/>
      <c r="AD148" s="69">
        <v>55</v>
      </c>
      <c r="AE148" s="69"/>
      <c r="AF148" s="69"/>
      <c r="AG148" s="69">
        <f>SUM(AH148:AJ148)</f>
        <v>551</v>
      </c>
      <c r="AH148" s="69"/>
      <c r="AI148" s="69">
        <v>551</v>
      </c>
      <c r="AJ148" s="92"/>
      <c r="AK148" s="92"/>
      <c r="AL148" s="69"/>
      <c r="AM148" s="69"/>
      <c r="AN148" s="69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</row>
    <row r="149" spans="1:53" s="23" customFormat="1" ht="11.25">
      <c r="A149" s="75"/>
      <c r="B149" s="140"/>
      <c r="C149" s="17"/>
      <c r="D149" s="69"/>
      <c r="E149" s="18"/>
      <c r="F149" s="13"/>
      <c r="G149" s="14"/>
      <c r="H149" s="14"/>
      <c r="I149" s="19"/>
      <c r="J149" s="19"/>
      <c r="K149" s="19"/>
      <c r="L149" s="19"/>
      <c r="M149" s="109"/>
      <c r="N149" s="110"/>
      <c r="O149" s="110"/>
      <c r="P149" s="110"/>
      <c r="Q149" s="18"/>
      <c r="R149" s="20"/>
      <c r="S149" s="21"/>
      <c r="T149" s="21"/>
      <c r="U149" s="21"/>
      <c r="V149" s="21"/>
      <c r="W149" s="97"/>
      <c r="X149" s="79"/>
      <c r="Y149" s="79"/>
      <c r="Z149" s="21"/>
      <c r="AA149" s="21"/>
      <c r="AB149" s="97"/>
      <c r="AC149" s="21"/>
      <c r="AD149" s="21"/>
      <c r="AE149" s="21"/>
      <c r="AF149" s="21"/>
      <c r="AG149" s="97"/>
      <c r="AH149" s="21"/>
      <c r="AI149" s="21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:53" s="15" customFormat="1" ht="22.5">
      <c r="A150" s="153" t="s">
        <v>53</v>
      </c>
      <c r="B150" s="154" t="s">
        <v>3</v>
      </c>
      <c r="C150" s="155"/>
      <c r="D150" s="155">
        <f>D152+D155+D161+D186+D197+D215</f>
        <v>1343019</v>
      </c>
      <c r="E150" s="155" t="e">
        <f>#REF!+E152+E155+#REF!+E161+E186+E197+E215</f>
        <v>#REF!</v>
      </c>
      <c r="F150" s="155" t="e">
        <f>#REF!+F152+F155+#REF!+F161+F186+F197+F215</f>
        <v>#REF!</v>
      </c>
      <c r="G150" s="155" t="e">
        <f>#REF!+G152+G155+#REF!+G161+G186+G197+G215</f>
        <v>#REF!</v>
      </c>
      <c r="H150" s="155" t="e">
        <f>#REF!+H152+H155+#REF!+H161+H186+H197+H215</f>
        <v>#REF!</v>
      </c>
      <c r="I150" s="155" t="e">
        <f>#REF!+I152+I155+#REF!+I161+I186+I197+I215</f>
        <v>#REF!</v>
      </c>
      <c r="J150" s="155" t="e">
        <f>#REF!+J152+J155+#REF!+J161+J186+J197+J215</f>
        <v>#REF!</v>
      </c>
      <c r="K150" s="155" t="e">
        <f>#REF!+K152+K155+#REF!+K161+K186+K197+K215</f>
        <v>#REF!</v>
      </c>
      <c r="L150" s="155" t="e">
        <f>#REF!+L152+L155+#REF!+L161+L186+L197+L215</f>
        <v>#REF!</v>
      </c>
      <c r="M150" s="51" t="e">
        <f>#REF!+M152+M155+#REF!+M161+M186+M197+M215</f>
        <v>#REF!</v>
      </c>
      <c r="N150" s="51" t="e">
        <f>#REF!+N152+N155+#REF!+N161+N186+N197+N215</f>
        <v>#REF!</v>
      </c>
      <c r="O150" s="51" t="e">
        <f>#REF!+O152+O155+#REF!+O161+O186+O197+O215</f>
        <v>#REF!</v>
      </c>
      <c r="P150" s="51" t="e">
        <f>#REF!+P152+P155+#REF!+P161+P186+P197+P215</f>
        <v>#REF!</v>
      </c>
      <c r="Q150" s="155">
        <f aca="true" t="shared" si="22" ref="Q150:BA150">Q152+Q155+Q161+Q186+Q197+Q215</f>
        <v>0</v>
      </c>
      <c r="R150" s="155">
        <f t="shared" si="22"/>
        <v>230505</v>
      </c>
      <c r="S150" s="155">
        <f t="shared" si="22"/>
        <v>15870</v>
      </c>
      <c r="T150" s="155">
        <f t="shared" si="22"/>
        <v>9555</v>
      </c>
      <c r="U150" s="155">
        <f t="shared" si="22"/>
        <v>0</v>
      </c>
      <c r="V150" s="155">
        <f t="shared" si="22"/>
        <v>60000</v>
      </c>
      <c r="W150" s="155">
        <f t="shared" si="22"/>
        <v>143333</v>
      </c>
      <c r="X150" s="155">
        <f t="shared" si="22"/>
        <v>51323</v>
      </c>
      <c r="Y150" s="155">
        <f t="shared" si="22"/>
        <v>4490</v>
      </c>
      <c r="Z150" s="155">
        <f t="shared" si="22"/>
        <v>0</v>
      </c>
      <c r="AA150" s="155">
        <f t="shared" si="22"/>
        <v>0</v>
      </c>
      <c r="AB150" s="155">
        <f t="shared" si="22"/>
        <v>148790</v>
      </c>
      <c r="AC150" s="155">
        <f t="shared" si="22"/>
        <v>4590</v>
      </c>
      <c r="AD150" s="155">
        <f t="shared" si="22"/>
        <v>2810</v>
      </c>
      <c r="AE150" s="155">
        <f t="shared" si="22"/>
        <v>0</v>
      </c>
      <c r="AF150" s="155">
        <f t="shared" si="22"/>
        <v>0</v>
      </c>
      <c r="AG150" s="155">
        <f t="shared" si="22"/>
        <v>283050</v>
      </c>
      <c r="AH150" s="155">
        <f t="shared" si="22"/>
        <v>78030</v>
      </c>
      <c r="AI150" s="155">
        <f t="shared" si="22"/>
        <v>15770</v>
      </c>
      <c r="AJ150" s="155">
        <f t="shared" si="22"/>
        <v>0</v>
      </c>
      <c r="AK150" s="155">
        <f t="shared" si="22"/>
        <v>0</v>
      </c>
      <c r="AL150" s="155">
        <f t="shared" si="22"/>
        <v>312390</v>
      </c>
      <c r="AM150" s="155">
        <f t="shared" si="22"/>
        <v>100980</v>
      </c>
      <c r="AN150" s="155">
        <f t="shared" si="22"/>
        <v>19820</v>
      </c>
      <c r="AO150" s="155">
        <f t="shared" si="22"/>
        <v>0</v>
      </c>
      <c r="AP150" s="155">
        <f t="shared" si="22"/>
        <v>228666</v>
      </c>
      <c r="AQ150" s="155">
        <f t="shared" si="22"/>
        <v>45900</v>
      </c>
      <c r="AR150" s="155">
        <f t="shared" si="22"/>
        <v>9100</v>
      </c>
      <c r="AS150" s="155">
        <f t="shared" si="22"/>
        <v>0</v>
      </c>
      <c r="AT150" s="155">
        <f t="shared" si="22"/>
        <v>124605</v>
      </c>
      <c r="AU150" s="155">
        <f t="shared" si="22"/>
        <v>0</v>
      </c>
      <c r="AV150" s="155">
        <f t="shared" si="22"/>
        <v>0</v>
      </c>
      <c r="AW150" s="155">
        <f t="shared" si="22"/>
        <v>0</v>
      </c>
      <c r="AX150" s="155">
        <f t="shared" si="22"/>
        <v>120080</v>
      </c>
      <c r="AY150" s="155">
        <f t="shared" si="22"/>
        <v>0</v>
      </c>
      <c r="AZ150" s="155">
        <f t="shared" si="22"/>
        <v>0</v>
      </c>
      <c r="BA150" s="155">
        <f t="shared" si="22"/>
        <v>0</v>
      </c>
    </row>
    <row r="151" spans="1:53" s="15" customFormat="1" ht="11.25">
      <c r="A151" s="78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51"/>
      <c r="N151" s="51"/>
      <c r="O151" s="51"/>
      <c r="P151" s="51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</row>
    <row r="152" spans="1:53" s="15" customFormat="1" ht="135">
      <c r="A152" s="78" t="s">
        <v>299</v>
      </c>
      <c r="B152" s="11" t="s">
        <v>398</v>
      </c>
      <c r="C152" s="11"/>
      <c r="D152" s="12">
        <f>D153</f>
        <v>93114</v>
      </c>
      <c r="E152" s="12" t="e">
        <f>E153+#REF!+#REF!+#REF!+#REF!</f>
        <v>#REF!</v>
      </c>
      <c r="F152" s="12" t="e">
        <f>F153+#REF!+#REF!+#REF!+#REF!</f>
        <v>#REF!</v>
      </c>
      <c r="G152" s="12" t="e">
        <f>G153+#REF!+#REF!+#REF!+#REF!</f>
        <v>#REF!</v>
      </c>
      <c r="H152" s="12" t="e">
        <f>H153+#REF!+#REF!+#REF!+#REF!</f>
        <v>#REF!</v>
      </c>
      <c r="I152" s="12" t="e">
        <f>I153+#REF!+#REF!+#REF!+#REF!</f>
        <v>#REF!</v>
      </c>
      <c r="J152" s="12" t="e">
        <f>J153+#REF!+#REF!+#REF!+#REF!</f>
        <v>#REF!</v>
      </c>
      <c r="K152" s="12" t="e">
        <f>K153+#REF!+#REF!+#REF!+#REF!</f>
        <v>#REF!</v>
      </c>
      <c r="L152" s="12" t="e">
        <f>L153+#REF!+#REF!+#REF!+#REF!</f>
        <v>#REF!</v>
      </c>
      <c r="M152" s="51" t="e">
        <f>M153+#REF!+#REF!+#REF!+#REF!</f>
        <v>#REF!</v>
      </c>
      <c r="N152" s="51" t="e">
        <f>N153+#REF!+#REF!+#REF!+#REF!</f>
        <v>#REF!</v>
      </c>
      <c r="O152" s="51" t="e">
        <f>O153+#REF!+#REF!+#REF!+#REF!</f>
        <v>#REF!</v>
      </c>
      <c r="P152" s="111" t="e">
        <f>P153+#REF!+#REF!+#REF!+#REF!</f>
        <v>#REF!</v>
      </c>
      <c r="Q152" s="12">
        <f aca="true" t="shared" si="23" ref="Q152:BA152">Q153</f>
        <v>0</v>
      </c>
      <c r="R152" s="12">
        <f t="shared" si="23"/>
        <v>15870</v>
      </c>
      <c r="S152" s="12">
        <f t="shared" si="23"/>
        <v>15870</v>
      </c>
      <c r="T152" s="12">
        <f t="shared" si="23"/>
        <v>0</v>
      </c>
      <c r="U152" s="12">
        <f t="shared" si="23"/>
        <v>0</v>
      </c>
      <c r="V152" s="12">
        <f t="shared" si="23"/>
        <v>0</v>
      </c>
      <c r="W152" s="12">
        <f t="shared" si="23"/>
        <v>0</v>
      </c>
      <c r="X152" s="12">
        <f t="shared" si="23"/>
        <v>0</v>
      </c>
      <c r="Y152" s="12">
        <f t="shared" si="23"/>
        <v>0</v>
      </c>
      <c r="Z152" s="12">
        <f t="shared" si="23"/>
        <v>0</v>
      </c>
      <c r="AA152" s="12">
        <f t="shared" si="23"/>
        <v>0</v>
      </c>
      <c r="AB152" s="12">
        <f t="shared" si="23"/>
        <v>0</v>
      </c>
      <c r="AC152" s="12">
        <f t="shared" si="23"/>
        <v>0</v>
      </c>
      <c r="AD152" s="12">
        <f t="shared" si="23"/>
        <v>0</v>
      </c>
      <c r="AE152" s="12">
        <f t="shared" si="23"/>
        <v>0</v>
      </c>
      <c r="AF152" s="12">
        <f t="shared" si="23"/>
        <v>0</v>
      </c>
      <c r="AG152" s="12">
        <f t="shared" si="23"/>
        <v>0</v>
      </c>
      <c r="AH152" s="12">
        <f t="shared" si="23"/>
        <v>0</v>
      </c>
      <c r="AI152" s="12">
        <f t="shared" si="23"/>
        <v>0</v>
      </c>
      <c r="AJ152" s="12">
        <f t="shared" si="23"/>
        <v>0</v>
      </c>
      <c r="AK152" s="12"/>
      <c r="AL152" s="12">
        <f t="shared" si="23"/>
        <v>0</v>
      </c>
      <c r="AM152" s="12">
        <f t="shared" si="23"/>
        <v>0</v>
      </c>
      <c r="AN152" s="12">
        <f t="shared" si="23"/>
        <v>0</v>
      </c>
      <c r="AO152" s="12">
        <f t="shared" si="23"/>
        <v>0</v>
      </c>
      <c r="AP152" s="12">
        <f t="shared" si="23"/>
        <v>0</v>
      </c>
      <c r="AQ152" s="12">
        <f t="shared" si="23"/>
        <v>0</v>
      </c>
      <c r="AR152" s="12">
        <f t="shared" si="23"/>
        <v>0</v>
      </c>
      <c r="AS152" s="12">
        <f t="shared" si="23"/>
        <v>0</v>
      </c>
      <c r="AT152" s="12">
        <f t="shared" si="23"/>
        <v>0</v>
      </c>
      <c r="AU152" s="12">
        <f t="shared" si="23"/>
        <v>0</v>
      </c>
      <c r="AV152" s="12">
        <f t="shared" si="23"/>
        <v>0</v>
      </c>
      <c r="AW152" s="12">
        <f t="shared" si="23"/>
        <v>0</v>
      </c>
      <c r="AX152" s="12">
        <f t="shared" si="23"/>
        <v>0</v>
      </c>
      <c r="AY152" s="12">
        <f t="shared" si="23"/>
        <v>0</v>
      </c>
      <c r="AZ152" s="12">
        <f t="shared" si="23"/>
        <v>0</v>
      </c>
      <c r="BA152" s="12">
        <f t="shared" si="23"/>
        <v>0</v>
      </c>
    </row>
    <row r="153" spans="1:53" s="15" customFormat="1" ht="67.5">
      <c r="A153" s="75" t="s">
        <v>300</v>
      </c>
      <c r="B153" s="76" t="s">
        <v>80</v>
      </c>
      <c r="C153" s="17">
        <v>2.01</v>
      </c>
      <c r="D153" s="37">
        <v>93114</v>
      </c>
      <c r="E153" s="18">
        <f>1455+44037</f>
        <v>45492</v>
      </c>
      <c r="F153" s="13">
        <f>D153-E153</f>
        <v>47622</v>
      </c>
      <c r="G153" s="19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  <c r="K153" s="19"/>
      <c r="L153" s="19"/>
      <c r="M153" s="109">
        <f>N153+O153+P153</f>
        <v>775</v>
      </c>
      <c r="N153" s="110"/>
      <c r="O153" s="111">
        <v>775</v>
      </c>
      <c r="P153" s="51"/>
      <c r="Q153" s="69"/>
      <c r="R153" s="69">
        <f>S153+T153+U153+V153</f>
        <v>15870</v>
      </c>
      <c r="S153" s="79">
        <v>15870</v>
      </c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</row>
    <row r="154" spans="1:53" s="15" customFormat="1" ht="12.75" customHeight="1">
      <c r="A154" s="75"/>
      <c r="B154" s="73"/>
      <c r="C154" s="68"/>
      <c r="D154" s="69"/>
      <c r="E154" s="69"/>
      <c r="F154" s="69"/>
      <c r="G154" s="69"/>
      <c r="H154" s="69"/>
      <c r="I154" s="69"/>
      <c r="J154" s="69"/>
      <c r="K154" s="69"/>
      <c r="L154" s="69"/>
      <c r="M154" s="51"/>
      <c r="N154" s="111"/>
      <c r="O154" s="111"/>
      <c r="P154" s="111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</row>
    <row r="155" spans="1:53" s="15" customFormat="1" ht="25.5" customHeight="1">
      <c r="A155" s="47" t="s">
        <v>302</v>
      </c>
      <c r="B155" s="11" t="s">
        <v>399</v>
      </c>
      <c r="C155" s="11"/>
      <c r="D155" s="12">
        <f>D158+D159+D160</f>
        <v>92000</v>
      </c>
      <c r="E155" s="12" t="e">
        <f>E158+#REF!+#REF!+E160+#REF!+#REF!+#REF!</f>
        <v>#REF!</v>
      </c>
      <c r="F155" s="12" t="e">
        <f>F158+#REF!+#REF!+F160+#REF!+#REF!+#REF!</f>
        <v>#REF!</v>
      </c>
      <c r="G155" s="12" t="e">
        <f>G158+#REF!+#REF!+G160+#REF!+#REF!+#REF!</f>
        <v>#REF!</v>
      </c>
      <c r="H155" s="12" t="e">
        <f>H158+#REF!+#REF!+H160+#REF!+#REF!+#REF!</f>
        <v>#REF!</v>
      </c>
      <c r="I155" s="12" t="e">
        <f>I158+#REF!+#REF!+I160+#REF!+#REF!+#REF!</f>
        <v>#REF!</v>
      </c>
      <c r="J155" s="12" t="e">
        <f>J158+#REF!+#REF!+J160+#REF!+#REF!+#REF!</f>
        <v>#REF!</v>
      </c>
      <c r="K155" s="12" t="e">
        <f>K158+#REF!+#REF!+K160+#REF!+#REF!+#REF!</f>
        <v>#REF!</v>
      </c>
      <c r="L155" s="12" t="e">
        <f>L158+#REF!+#REF!+L160+#REF!+#REF!+#REF!</f>
        <v>#REF!</v>
      </c>
      <c r="M155" s="51" t="e">
        <f>M158+#REF!+#REF!+M160+#REF!+#REF!+#REF!</f>
        <v>#REF!</v>
      </c>
      <c r="N155" s="111" t="e">
        <f>N158+#REF!+#REF!+N160+#REF!+#REF!+#REF!</f>
        <v>#REF!</v>
      </c>
      <c r="O155" s="111" t="e">
        <f>O158+#REF!+#REF!+O160+#REF!+#REF!+#REF!</f>
        <v>#REF!</v>
      </c>
      <c r="P155" s="111" t="e">
        <f>P158+#REF!+#REF!+P160+#REF!+#REF!+#REF!</f>
        <v>#REF!</v>
      </c>
      <c r="Q155" s="12">
        <f aca="true" t="shared" si="24" ref="Q155:BA155">Q158+Q159+Q160</f>
        <v>0</v>
      </c>
      <c r="R155" s="12">
        <f t="shared" si="24"/>
        <v>60000</v>
      </c>
      <c r="S155" s="12">
        <f t="shared" si="24"/>
        <v>0</v>
      </c>
      <c r="T155" s="12">
        <f t="shared" si="24"/>
        <v>0</v>
      </c>
      <c r="U155" s="12">
        <f t="shared" si="24"/>
        <v>0</v>
      </c>
      <c r="V155" s="12">
        <f t="shared" si="24"/>
        <v>60000</v>
      </c>
      <c r="W155" s="12">
        <f t="shared" si="24"/>
        <v>20000</v>
      </c>
      <c r="X155" s="12">
        <f t="shared" si="24"/>
        <v>17100</v>
      </c>
      <c r="Y155" s="12">
        <f t="shared" si="24"/>
        <v>2900</v>
      </c>
      <c r="Z155" s="12">
        <f t="shared" si="24"/>
        <v>0</v>
      </c>
      <c r="AA155" s="12">
        <f t="shared" si="24"/>
        <v>0</v>
      </c>
      <c r="AB155" s="12">
        <f t="shared" si="24"/>
        <v>2000</v>
      </c>
      <c r="AC155" s="12">
        <f t="shared" si="24"/>
        <v>0</v>
      </c>
      <c r="AD155" s="12">
        <f t="shared" si="24"/>
        <v>2000</v>
      </c>
      <c r="AE155" s="12">
        <f t="shared" si="24"/>
        <v>0</v>
      </c>
      <c r="AF155" s="12">
        <f t="shared" si="24"/>
        <v>0</v>
      </c>
      <c r="AG155" s="12">
        <f t="shared" si="24"/>
        <v>2000</v>
      </c>
      <c r="AH155" s="12">
        <f t="shared" si="24"/>
        <v>0</v>
      </c>
      <c r="AI155" s="12">
        <f t="shared" si="24"/>
        <v>2000</v>
      </c>
      <c r="AJ155" s="12">
        <f t="shared" si="24"/>
        <v>0</v>
      </c>
      <c r="AK155" s="12">
        <f t="shared" si="24"/>
        <v>0</v>
      </c>
      <c r="AL155" s="12">
        <f t="shared" si="24"/>
        <v>2000</v>
      </c>
      <c r="AM155" s="12">
        <f t="shared" si="24"/>
        <v>0</v>
      </c>
      <c r="AN155" s="12">
        <f t="shared" si="24"/>
        <v>2000</v>
      </c>
      <c r="AO155" s="12">
        <f t="shared" si="24"/>
        <v>0</v>
      </c>
      <c r="AP155" s="12">
        <f t="shared" si="24"/>
        <v>1000</v>
      </c>
      <c r="AQ155" s="12">
        <f t="shared" si="24"/>
        <v>0</v>
      </c>
      <c r="AR155" s="12">
        <f t="shared" si="24"/>
        <v>1000</v>
      </c>
      <c r="AS155" s="12">
        <f t="shared" si="24"/>
        <v>0</v>
      </c>
      <c r="AT155" s="12">
        <f t="shared" si="24"/>
        <v>0</v>
      </c>
      <c r="AU155" s="12">
        <f t="shared" si="24"/>
        <v>0</v>
      </c>
      <c r="AV155" s="12">
        <f t="shared" si="24"/>
        <v>0</v>
      </c>
      <c r="AW155" s="12">
        <f t="shared" si="24"/>
        <v>0</v>
      </c>
      <c r="AX155" s="12">
        <f t="shared" si="24"/>
        <v>0</v>
      </c>
      <c r="AY155" s="12">
        <f t="shared" si="24"/>
        <v>0</v>
      </c>
      <c r="AZ155" s="12">
        <f t="shared" si="24"/>
        <v>0</v>
      </c>
      <c r="BA155" s="12">
        <f t="shared" si="24"/>
        <v>0</v>
      </c>
    </row>
    <row r="156" spans="1:53" s="15" customFormat="1" ht="65.25" customHeight="1" hidden="1">
      <c r="A156" s="75"/>
      <c r="B156" s="139" t="s">
        <v>227</v>
      </c>
      <c r="C156" s="36"/>
      <c r="D156" s="37" t="e">
        <f>#REF!</f>
        <v>#REF!</v>
      </c>
      <c r="E156" s="12"/>
      <c r="F156" s="12"/>
      <c r="G156" s="12"/>
      <c r="H156" s="12"/>
      <c r="I156" s="12"/>
      <c r="J156" s="12"/>
      <c r="K156" s="12"/>
      <c r="L156" s="12"/>
      <c r="M156" s="51"/>
      <c r="N156" s="111"/>
      <c r="O156" s="111"/>
      <c r="P156" s="111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</row>
    <row r="157" spans="1:53" s="15" customFormat="1" ht="72" customHeight="1" hidden="1">
      <c r="A157" s="75"/>
      <c r="B157" s="139" t="s">
        <v>228</v>
      </c>
      <c r="C157" s="36"/>
      <c r="D157" s="37" t="e">
        <f>#REF!</f>
        <v>#REF!</v>
      </c>
      <c r="E157" s="12"/>
      <c r="F157" s="12"/>
      <c r="G157" s="12"/>
      <c r="H157" s="12"/>
      <c r="I157" s="12"/>
      <c r="J157" s="12"/>
      <c r="K157" s="12"/>
      <c r="L157" s="12"/>
      <c r="M157" s="51"/>
      <c r="N157" s="111"/>
      <c r="O157" s="111"/>
      <c r="P157" s="111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</row>
    <row r="158" spans="1:53" s="15" customFormat="1" ht="72" customHeight="1">
      <c r="A158" s="75" t="s">
        <v>303</v>
      </c>
      <c r="B158" s="73" t="s">
        <v>79</v>
      </c>
      <c r="C158" s="68"/>
      <c r="D158" s="69">
        <v>18000</v>
      </c>
      <c r="E158" s="69"/>
      <c r="F158" s="69"/>
      <c r="G158" s="69"/>
      <c r="H158" s="69"/>
      <c r="I158" s="69"/>
      <c r="J158" s="69"/>
      <c r="K158" s="69"/>
      <c r="L158" s="69"/>
      <c r="M158" s="51">
        <f>N158+O158</f>
        <v>2000</v>
      </c>
      <c r="N158" s="51"/>
      <c r="O158" s="111">
        <v>2000</v>
      </c>
      <c r="P158" s="111"/>
      <c r="Q158" s="69"/>
      <c r="R158" s="69"/>
      <c r="S158" s="69"/>
      <c r="T158" s="69"/>
      <c r="U158" s="69"/>
      <c r="V158" s="69"/>
      <c r="W158" s="69">
        <f>X158+Y158</f>
        <v>18000</v>
      </c>
      <c r="X158" s="79">
        <f>18000*0.95</f>
        <v>17100</v>
      </c>
      <c r="Y158" s="79">
        <f>18000*0.05</f>
        <v>900</v>
      </c>
      <c r="Z158" s="69"/>
      <c r="AA158" s="69"/>
      <c r="AB158" s="69"/>
      <c r="AC158" s="69"/>
      <c r="AD158" s="69"/>
      <c r="AE158" s="69"/>
      <c r="AF158" s="69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</row>
    <row r="159" spans="1:53" s="15" customFormat="1" ht="29.25" customHeight="1">
      <c r="A159" s="75" t="s">
        <v>369</v>
      </c>
      <c r="B159" s="73" t="s">
        <v>90</v>
      </c>
      <c r="C159" s="68"/>
      <c r="D159" s="69">
        <v>9000</v>
      </c>
      <c r="E159" s="69"/>
      <c r="F159" s="69"/>
      <c r="G159" s="69"/>
      <c r="H159" s="69"/>
      <c r="I159" s="69"/>
      <c r="J159" s="69"/>
      <c r="K159" s="69"/>
      <c r="L159" s="69"/>
      <c r="M159" s="51"/>
      <c r="N159" s="51"/>
      <c r="O159" s="111"/>
      <c r="P159" s="111"/>
      <c r="Q159" s="69"/>
      <c r="R159" s="69"/>
      <c r="S159" s="69"/>
      <c r="T159" s="18"/>
      <c r="U159" s="69"/>
      <c r="V159" s="69"/>
      <c r="W159" s="69">
        <f>X159+Y159+Z159+AA159</f>
        <v>2000</v>
      </c>
      <c r="X159" s="69"/>
      <c r="Y159" s="18">
        <v>2000</v>
      </c>
      <c r="Z159" s="69"/>
      <c r="AA159" s="69"/>
      <c r="AB159" s="69">
        <f>AC159+AD159+AE159+AF159</f>
        <v>2000</v>
      </c>
      <c r="AC159" s="69"/>
      <c r="AD159" s="18">
        <v>2000</v>
      </c>
      <c r="AE159" s="69"/>
      <c r="AF159" s="69"/>
      <c r="AG159" s="69">
        <f>AH159+AI159+AJ159+AK159</f>
        <v>2000</v>
      </c>
      <c r="AH159" s="69"/>
      <c r="AI159" s="18">
        <v>2000</v>
      </c>
      <c r="AJ159" s="69"/>
      <c r="AK159" s="69"/>
      <c r="AL159" s="69">
        <f>AM159+AN159+AO159+AQ159</f>
        <v>2000</v>
      </c>
      <c r="AM159" s="69"/>
      <c r="AN159" s="18">
        <v>2000</v>
      </c>
      <c r="AO159" s="92"/>
      <c r="AP159" s="69">
        <f>AQ159+AR159+AS159+AT159</f>
        <v>1000</v>
      </c>
      <c r="AQ159" s="92"/>
      <c r="AR159" s="16">
        <f>1000</f>
        <v>1000</v>
      </c>
      <c r="AS159" s="16"/>
      <c r="AT159" s="92"/>
      <c r="AU159" s="92"/>
      <c r="AV159" s="92"/>
      <c r="AW159" s="92"/>
      <c r="AX159" s="92"/>
      <c r="AY159" s="92"/>
      <c r="AZ159" s="92"/>
      <c r="BA159" s="92"/>
    </row>
    <row r="160" spans="1:53" s="15" customFormat="1" ht="11.25">
      <c r="A160" s="75" t="s">
        <v>306</v>
      </c>
      <c r="B160" s="73" t="s">
        <v>92</v>
      </c>
      <c r="C160" s="68"/>
      <c r="D160" s="69">
        <v>65000</v>
      </c>
      <c r="E160" s="69"/>
      <c r="F160" s="69"/>
      <c r="G160" s="69"/>
      <c r="H160" s="69"/>
      <c r="I160" s="69"/>
      <c r="J160" s="69"/>
      <c r="K160" s="69"/>
      <c r="L160" s="69"/>
      <c r="M160" s="51"/>
      <c r="N160" s="111"/>
      <c r="O160" s="111"/>
      <c r="P160" s="111"/>
      <c r="Q160" s="69"/>
      <c r="R160" s="69">
        <f>S160+T160+U160+V160</f>
        <v>60000</v>
      </c>
      <c r="S160" s="69"/>
      <c r="T160" s="69"/>
      <c r="U160" s="69"/>
      <c r="V160" s="79">
        <v>60000</v>
      </c>
      <c r="W160" s="69"/>
      <c r="X160" s="69"/>
      <c r="Y160" s="69"/>
      <c r="Z160" s="69"/>
      <c r="AA160" s="79"/>
      <c r="AB160" s="69"/>
      <c r="AC160" s="69"/>
      <c r="AD160" s="69"/>
      <c r="AE160" s="69"/>
      <c r="AF160" s="69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</row>
    <row r="161" spans="1:53" s="15" customFormat="1" ht="22.5">
      <c r="A161" s="47" t="s">
        <v>307</v>
      </c>
      <c r="B161" s="11" t="s">
        <v>146</v>
      </c>
      <c r="C161" s="11"/>
      <c r="D161" s="12">
        <f>D162+D163+D164+D165+D166+D167+D168+D169+D170+D171+D172+D173+D174+D175+D176+D177+D178+D179+D180+D181+D182+D183+D184+D185</f>
        <v>1065</v>
      </c>
      <c r="E161" s="12" t="e">
        <f>E162+E163+E164+E165+E166+E167+E168+E169+E170+E171+E172+E173+E174+E175+E176+E177+E178+E179+E180+E181+E182+E183+E184+E185+#REF!</f>
        <v>#REF!</v>
      </c>
      <c r="F161" s="12" t="e">
        <f>F162+F163+F164+F165+F166+F167+F168+F169+F170+F171+F172+F173+F174+F175+F176+F177+F178+F179+F180+F181+F182+F183+F184+F185+#REF!</f>
        <v>#REF!</v>
      </c>
      <c r="G161" s="12" t="e">
        <f>G162+G163+G164+G165+G166+G167+G168+G169+G170+G171+G172+G173+G174+G175+G176+G177+G178+G179+G180+G181+G182+G183+G184+G185+#REF!</f>
        <v>#REF!</v>
      </c>
      <c r="H161" s="12" t="e">
        <f>H162+H163+H164+H165+H166+H167+H168+H169+H170+H171+H172+H173+H174+H175+H176+H177+H178+H179+H180+H181+H182+H183+H184+H185+#REF!</f>
        <v>#REF!</v>
      </c>
      <c r="I161" s="12" t="e">
        <f>I162+I163+I164+I165+I166+I167+I168+I169+I170+I171+I172+I173+I174+I175+I176+I177+I178+I179+I180+I181+I182+I183+I184+I185+#REF!</f>
        <v>#REF!</v>
      </c>
      <c r="J161" s="12" t="e">
        <f>J162+J163+J164+J165+J166+J167+J168+J169+J170+J171+J172+J173+J174+J175+J176+J177+J178+J179+J180+J181+J182+J183+J184+J185+#REF!</f>
        <v>#REF!</v>
      </c>
      <c r="K161" s="12" t="e">
        <f>K162+K163+K164+K165+K166+K167+K168+K169+K170+K171+K172+K173+K174+K175+K176+K177+K178+K179+K180+K181+K182+K183+K184+K185+#REF!</f>
        <v>#REF!</v>
      </c>
      <c r="L161" s="12" t="e">
        <f>L162+L163+L164+L165+L166+L167+L168+L169+L170+L171+L172+L173+L174+L175+L176+L177+L178+L179+L180+L181+L182+L183+L184+L185+#REF!</f>
        <v>#REF!</v>
      </c>
      <c r="M161" s="51" t="e">
        <f>M162+M163+M164+M165+M166+M167+M168+M169+M170+M171+M172+M173+M174+M175+M176+M177+M178+M179+M180+M181+M182+M183+M184+M185+#REF!</f>
        <v>#REF!</v>
      </c>
      <c r="N161" s="111" t="e">
        <f>N162+N163+N164+N165+N166+N167+N168+N169+N170+N171+N172+N173+N174+N175+N176+N177+N178+N179+N180+N181+N182+N183+N184+N185+#REF!</f>
        <v>#REF!</v>
      </c>
      <c r="O161" s="111" t="e">
        <f>O162+O163+O164+O165+O166+O167+O168+O169+O170+O171+O172+O173+O174+O175+O176+O177+O178+O179+O180+O181+O182+O183+O184+O185+#REF!</f>
        <v>#REF!</v>
      </c>
      <c r="P161" s="111" t="e">
        <f>P162+P163+P164+P165+P166+P167+P168+P169+P170+P171+P172+P173+P174+P175+P176+P177+P178+P179+P180+P181+P182+P183+P184+P185+#REF!</f>
        <v>#REF!</v>
      </c>
      <c r="Q161" s="12"/>
      <c r="R161" s="12">
        <f aca="true" t="shared" si="25" ref="R161:BA161">R162+R163+R164+R165+R166+R167+R168+R169+R170+R171+R172+R173+R174+R175+R176+R177+R178+R179+R180+R181+R182+R183+R184+R185</f>
        <v>6391</v>
      </c>
      <c r="S161" s="12">
        <f t="shared" si="25"/>
        <v>0</v>
      </c>
      <c r="T161" s="35">
        <f>T162+T163+T164+T165+T166+T167+T168+T169+T170+T171+T172+T173+T174+T175+T176+T177+T178+T179+T180+T181+T182+T183+T184+T185</f>
        <v>6391</v>
      </c>
      <c r="U161" s="12">
        <f t="shared" si="25"/>
        <v>0</v>
      </c>
      <c r="V161" s="12">
        <f t="shared" si="25"/>
        <v>0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>
        <f t="shared" si="25"/>
        <v>0</v>
      </c>
      <c r="AK161" s="12"/>
      <c r="AL161" s="12">
        <f t="shared" si="25"/>
        <v>0</v>
      </c>
      <c r="AM161" s="12">
        <f t="shared" si="25"/>
        <v>0</v>
      </c>
      <c r="AN161" s="12">
        <f t="shared" si="25"/>
        <v>0</v>
      </c>
      <c r="AO161" s="12">
        <f t="shared" si="25"/>
        <v>0</v>
      </c>
      <c r="AP161" s="12">
        <f t="shared" si="25"/>
        <v>0</v>
      </c>
      <c r="AQ161" s="12">
        <f t="shared" si="25"/>
        <v>0</v>
      </c>
      <c r="AR161" s="12">
        <f t="shared" si="25"/>
        <v>0</v>
      </c>
      <c r="AS161" s="12">
        <f t="shared" si="25"/>
        <v>0</v>
      </c>
      <c r="AT161" s="12">
        <f t="shared" si="25"/>
        <v>0</v>
      </c>
      <c r="AU161" s="12">
        <f t="shared" si="25"/>
        <v>0</v>
      </c>
      <c r="AV161" s="12">
        <f t="shared" si="25"/>
        <v>0</v>
      </c>
      <c r="AW161" s="12">
        <f t="shared" si="25"/>
        <v>0</v>
      </c>
      <c r="AX161" s="12">
        <f t="shared" si="25"/>
        <v>0</v>
      </c>
      <c r="AY161" s="12">
        <f t="shared" si="25"/>
        <v>0</v>
      </c>
      <c r="AZ161" s="12">
        <f t="shared" si="25"/>
        <v>0</v>
      </c>
      <c r="BA161" s="12">
        <f t="shared" si="25"/>
        <v>0</v>
      </c>
    </row>
    <row r="162" spans="1:53" s="15" customFormat="1" ht="22.5">
      <c r="A162" s="75" t="s">
        <v>308</v>
      </c>
      <c r="B162" s="73" t="s">
        <v>82</v>
      </c>
      <c r="C162" s="68"/>
      <c r="D162" s="69"/>
      <c r="E162" s="69"/>
      <c r="F162" s="69"/>
      <c r="G162" s="69"/>
      <c r="H162" s="69"/>
      <c r="I162" s="69"/>
      <c r="J162" s="69"/>
      <c r="K162" s="69"/>
      <c r="L162" s="69"/>
      <c r="M162" s="51">
        <f>N162+O162</f>
        <v>5247</v>
      </c>
      <c r="N162" s="111">
        <v>5047</v>
      </c>
      <c r="O162" s="111">
        <v>200</v>
      </c>
      <c r="P162" s="111"/>
      <c r="Q162" s="69"/>
      <c r="R162" s="69"/>
      <c r="S162" s="69"/>
      <c r="T162" s="69"/>
      <c r="U162" s="69"/>
      <c r="V162" s="69"/>
      <c r="W162" s="69"/>
      <c r="X162" s="79"/>
      <c r="Y162" s="79"/>
      <c r="Z162" s="79"/>
      <c r="AA162" s="79"/>
      <c r="AB162" s="69">
        <v>10000</v>
      </c>
      <c r="AC162" s="79"/>
      <c r="AD162" s="79"/>
      <c r="AE162" s="69"/>
      <c r="AF162" s="69"/>
      <c r="AG162" s="97"/>
      <c r="AH162" s="86"/>
      <c r="AI162" s="86"/>
      <c r="AJ162" s="86"/>
      <c r="AK162" s="86"/>
      <c r="AL162" s="97"/>
      <c r="AM162" s="86"/>
      <c r="AN162" s="86"/>
      <c r="AO162" s="97"/>
      <c r="AP162" s="97"/>
      <c r="AQ162" s="86"/>
      <c r="AR162" s="86"/>
      <c r="AS162" s="97"/>
      <c r="AT162" s="97"/>
      <c r="AU162" s="97"/>
      <c r="AV162" s="86"/>
      <c r="AW162" s="86"/>
      <c r="AX162" s="97"/>
      <c r="AY162" s="97"/>
      <c r="AZ162" s="97"/>
      <c r="BA162" s="97"/>
    </row>
    <row r="163" spans="1:53" s="15" customFormat="1" ht="56.25">
      <c r="A163" s="75" t="s">
        <v>309</v>
      </c>
      <c r="B163" s="73" t="s">
        <v>83</v>
      </c>
      <c r="C163" s="68"/>
      <c r="D163" s="69"/>
      <c r="E163" s="69"/>
      <c r="F163" s="69"/>
      <c r="G163" s="69"/>
      <c r="H163" s="69"/>
      <c r="I163" s="69"/>
      <c r="J163" s="69"/>
      <c r="K163" s="69"/>
      <c r="L163" s="69"/>
      <c r="M163" s="51">
        <f>N163+O163+P163</f>
        <v>4166</v>
      </c>
      <c r="N163" s="111"/>
      <c r="O163" s="111">
        <v>4166</v>
      </c>
      <c r="P163" s="111"/>
      <c r="Q163" s="69"/>
      <c r="R163" s="69"/>
      <c r="S163" s="69"/>
      <c r="T163" s="69"/>
      <c r="U163" s="69"/>
      <c r="V163" s="69"/>
      <c r="W163" s="69"/>
      <c r="X163" s="79"/>
      <c r="Y163" s="79"/>
      <c r="Z163" s="79"/>
      <c r="AA163" s="79"/>
      <c r="AB163" s="69"/>
      <c r="AC163" s="79"/>
      <c r="AD163" s="79"/>
      <c r="AE163" s="69"/>
      <c r="AF163" s="69"/>
      <c r="AG163" s="97"/>
      <c r="AH163" s="86"/>
      <c r="AI163" s="86"/>
      <c r="AJ163" s="86"/>
      <c r="AK163" s="86"/>
      <c r="AL163" s="97"/>
      <c r="AM163" s="86"/>
      <c r="AN163" s="86"/>
      <c r="AO163" s="97"/>
      <c r="AP163" s="97"/>
      <c r="AQ163" s="86"/>
      <c r="AR163" s="86"/>
      <c r="AS163" s="97"/>
      <c r="AT163" s="97"/>
      <c r="AU163" s="97"/>
      <c r="AV163" s="86"/>
      <c r="AW163" s="86"/>
      <c r="AX163" s="97"/>
      <c r="AY163" s="97"/>
      <c r="AZ163" s="97"/>
      <c r="BA163" s="97"/>
    </row>
    <row r="164" spans="1:53" s="15" customFormat="1" ht="33.75">
      <c r="A164" s="75" t="s">
        <v>310</v>
      </c>
      <c r="B164" s="73" t="s">
        <v>165</v>
      </c>
      <c r="C164" s="68"/>
      <c r="D164" s="69"/>
      <c r="E164" s="69"/>
      <c r="F164" s="69"/>
      <c r="G164" s="69"/>
      <c r="H164" s="69"/>
      <c r="I164" s="69"/>
      <c r="J164" s="69"/>
      <c r="K164" s="69"/>
      <c r="L164" s="69"/>
      <c r="M164" s="51"/>
      <c r="N164" s="111"/>
      <c r="O164" s="111"/>
      <c r="P164" s="111"/>
      <c r="Q164" s="69"/>
      <c r="R164" s="69"/>
      <c r="S164" s="69"/>
      <c r="T164" s="69"/>
      <c r="U164" s="69"/>
      <c r="V164" s="69"/>
      <c r="W164" s="69"/>
      <c r="X164" s="79"/>
      <c r="Y164" s="79"/>
      <c r="Z164" s="79"/>
      <c r="AA164" s="79"/>
      <c r="AB164" s="69"/>
      <c r="AC164" s="79"/>
      <c r="AD164" s="79"/>
      <c r="AE164" s="69"/>
      <c r="AF164" s="69"/>
      <c r="AG164" s="97"/>
      <c r="AH164" s="86"/>
      <c r="AI164" s="86"/>
      <c r="AJ164" s="86"/>
      <c r="AK164" s="86"/>
      <c r="AL164" s="97"/>
      <c r="AM164" s="86"/>
      <c r="AN164" s="86"/>
      <c r="AO164" s="97"/>
      <c r="AP164" s="97"/>
      <c r="AQ164" s="86"/>
      <c r="AR164" s="86"/>
      <c r="AS164" s="97"/>
      <c r="AT164" s="97"/>
      <c r="AU164" s="97"/>
      <c r="AV164" s="86"/>
      <c r="AW164" s="86"/>
      <c r="AX164" s="97"/>
      <c r="AY164" s="97"/>
      <c r="AZ164" s="97"/>
      <c r="BA164" s="97"/>
    </row>
    <row r="165" spans="1:53" s="15" customFormat="1" ht="11.25">
      <c r="A165" s="75" t="s">
        <v>311</v>
      </c>
      <c r="B165" s="73" t="s">
        <v>147</v>
      </c>
      <c r="C165" s="68"/>
      <c r="D165" s="69"/>
      <c r="E165" s="69"/>
      <c r="F165" s="69"/>
      <c r="G165" s="69"/>
      <c r="H165" s="69"/>
      <c r="I165" s="69"/>
      <c r="J165" s="69"/>
      <c r="K165" s="69"/>
      <c r="L165" s="69"/>
      <c r="M165" s="51"/>
      <c r="N165" s="111"/>
      <c r="O165" s="111"/>
      <c r="P165" s="111"/>
      <c r="Q165" s="69"/>
      <c r="R165" s="69"/>
      <c r="S165" s="69"/>
      <c r="T165" s="69"/>
      <c r="U165" s="69"/>
      <c r="V165" s="69"/>
      <c r="W165" s="69"/>
      <c r="X165" s="79"/>
      <c r="Y165" s="79"/>
      <c r="Z165" s="79"/>
      <c r="AA165" s="79"/>
      <c r="AB165" s="69"/>
      <c r="AC165" s="79"/>
      <c r="AD165" s="79"/>
      <c r="AE165" s="69"/>
      <c r="AF165" s="69"/>
      <c r="AG165" s="97"/>
      <c r="AH165" s="86"/>
      <c r="AI165" s="86"/>
      <c r="AJ165" s="86"/>
      <c r="AK165" s="86"/>
      <c r="AL165" s="97"/>
      <c r="AM165" s="86"/>
      <c r="AN165" s="86"/>
      <c r="AO165" s="97"/>
      <c r="AP165" s="97"/>
      <c r="AQ165" s="86"/>
      <c r="AR165" s="86"/>
      <c r="AS165" s="97"/>
      <c r="AT165" s="97"/>
      <c r="AU165" s="97"/>
      <c r="AV165" s="86"/>
      <c r="AW165" s="86"/>
      <c r="AX165" s="97"/>
      <c r="AY165" s="97"/>
      <c r="AZ165" s="97"/>
      <c r="BA165" s="97"/>
    </row>
    <row r="166" spans="1:53" s="15" customFormat="1" ht="11.25">
      <c r="A166" s="75" t="s">
        <v>312</v>
      </c>
      <c r="B166" s="73" t="s">
        <v>166</v>
      </c>
      <c r="C166" s="68"/>
      <c r="D166" s="69">
        <f>R166</f>
        <v>1065</v>
      </c>
      <c r="E166" s="69"/>
      <c r="F166" s="69"/>
      <c r="G166" s="69"/>
      <c r="H166" s="69"/>
      <c r="I166" s="69"/>
      <c r="J166" s="69"/>
      <c r="K166" s="69"/>
      <c r="L166" s="69"/>
      <c r="M166" s="51"/>
      <c r="N166" s="111"/>
      <c r="O166" s="111"/>
      <c r="P166" s="111"/>
      <c r="Q166" s="69"/>
      <c r="R166" s="69">
        <f>S166+T166+U166</f>
        <v>1065</v>
      </c>
      <c r="S166" s="69"/>
      <c r="T166" s="79">
        <v>1065</v>
      </c>
      <c r="U166" s="69"/>
      <c r="V166" s="69"/>
      <c r="W166" s="69"/>
      <c r="X166" s="79"/>
      <c r="Y166" s="79"/>
      <c r="Z166" s="79"/>
      <c r="AA166" s="79"/>
      <c r="AB166" s="69"/>
      <c r="AC166" s="79"/>
      <c r="AD166" s="79"/>
      <c r="AE166" s="69"/>
      <c r="AF166" s="69"/>
      <c r="AG166" s="97"/>
      <c r="AH166" s="86"/>
      <c r="AI166" s="86"/>
      <c r="AJ166" s="86"/>
      <c r="AK166" s="86"/>
      <c r="AL166" s="97"/>
      <c r="AM166" s="86"/>
      <c r="AN166" s="86"/>
      <c r="AO166" s="97"/>
      <c r="AP166" s="97"/>
      <c r="AQ166" s="86"/>
      <c r="AR166" s="86"/>
      <c r="AS166" s="97"/>
      <c r="AT166" s="97"/>
      <c r="AU166" s="97"/>
      <c r="AV166" s="86"/>
      <c r="AW166" s="86"/>
      <c r="AX166" s="97"/>
      <c r="AY166" s="97"/>
      <c r="AZ166" s="97"/>
      <c r="BA166" s="97"/>
    </row>
    <row r="167" spans="1:53" s="15" customFormat="1" ht="11.25">
      <c r="A167" s="75" t="s">
        <v>313</v>
      </c>
      <c r="B167" s="73" t="s">
        <v>169</v>
      </c>
      <c r="C167" s="68"/>
      <c r="D167" s="69"/>
      <c r="E167" s="69"/>
      <c r="F167" s="69"/>
      <c r="G167" s="69"/>
      <c r="H167" s="69"/>
      <c r="I167" s="69"/>
      <c r="J167" s="69"/>
      <c r="K167" s="69"/>
      <c r="L167" s="69"/>
      <c r="M167" s="51"/>
      <c r="N167" s="111"/>
      <c r="O167" s="111"/>
      <c r="P167" s="111"/>
      <c r="Q167" s="69"/>
      <c r="R167" s="69"/>
      <c r="S167" s="69"/>
      <c r="T167" s="69"/>
      <c r="U167" s="69"/>
      <c r="V167" s="69"/>
      <c r="W167" s="69"/>
      <c r="X167" s="79"/>
      <c r="Y167" s="79"/>
      <c r="Z167" s="79"/>
      <c r="AA167" s="79"/>
      <c r="AB167" s="69"/>
      <c r="AC167" s="79"/>
      <c r="AD167" s="79"/>
      <c r="AE167" s="69"/>
      <c r="AF167" s="69"/>
      <c r="AG167" s="97"/>
      <c r="AH167" s="86"/>
      <c r="AI167" s="86"/>
      <c r="AJ167" s="86"/>
      <c r="AK167" s="86"/>
      <c r="AL167" s="97"/>
      <c r="AM167" s="86"/>
      <c r="AN167" s="86"/>
      <c r="AO167" s="97"/>
      <c r="AP167" s="97"/>
      <c r="AQ167" s="86"/>
      <c r="AR167" s="86"/>
      <c r="AS167" s="97"/>
      <c r="AT167" s="97"/>
      <c r="AU167" s="97"/>
      <c r="AV167" s="86"/>
      <c r="AW167" s="86"/>
      <c r="AX167" s="97"/>
      <c r="AY167" s="97"/>
      <c r="AZ167" s="97"/>
      <c r="BA167" s="97"/>
    </row>
    <row r="168" spans="1:53" s="15" customFormat="1" ht="11.25">
      <c r="A168" s="75" t="s">
        <v>314</v>
      </c>
      <c r="B168" s="73" t="s">
        <v>167</v>
      </c>
      <c r="C168" s="68"/>
      <c r="D168" s="69"/>
      <c r="E168" s="69"/>
      <c r="F168" s="69"/>
      <c r="G168" s="69"/>
      <c r="H168" s="69"/>
      <c r="I168" s="69"/>
      <c r="J168" s="69"/>
      <c r="K168" s="69"/>
      <c r="L168" s="69"/>
      <c r="M168" s="51"/>
      <c r="N168" s="111"/>
      <c r="O168" s="111"/>
      <c r="P168" s="111"/>
      <c r="Q168" s="69"/>
      <c r="R168" s="69"/>
      <c r="S168" s="69"/>
      <c r="T168" s="69"/>
      <c r="U168" s="69"/>
      <c r="V168" s="69"/>
      <c r="W168" s="69"/>
      <c r="X168" s="79"/>
      <c r="Y168" s="79"/>
      <c r="Z168" s="79"/>
      <c r="AA168" s="79"/>
      <c r="AB168" s="69"/>
      <c r="AC168" s="79"/>
      <c r="AD168" s="79"/>
      <c r="AE168" s="69"/>
      <c r="AF168" s="69"/>
      <c r="AG168" s="97"/>
      <c r="AH168" s="86"/>
      <c r="AI168" s="86"/>
      <c r="AJ168" s="86"/>
      <c r="AK168" s="86"/>
      <c r="AL168" s="97"/>
      <c r="AM168" s="86"/>
      <c r="AN168" s="86"/>
      <c r="AO168" s="97"/>
      <c r="AP168" s="97"/>
      <c r="AQ168" s="86"/>
      <c r="AR168" s="86"/>
      <c r="AS168" s="97"/>
      <c r="AT168" s="97"/>
      <c r="AU168" s="97"/>
      <c r="AV168" s="86"/>
      <c r="AW168" s="86"/>
      <c r="AX168" s="97"/>
      <c r="AY168" s="97"/>
      <c r="AZ168" s="97"/>
      <c r="BA168" s="97"/>
    </row>
    <row r="169" spans="1:53" s="15" customFormat="1" ht="23.25" customHeight="1">
      <c r="A169" s="75" t="s">
        <v>315</v>
      </c>
      <c r="B169" s="73" t="s">
        <v>168</v>
      </c>
      <c r="C169" s="68"/>
      <c r="D169" s="69"/>
      <c r="E169" s="69"/>
      <c r="F169" s="69"/>
      <c r="G169" s="69"/>
      <c r="H169" s="69"/>
      <c r="I169" s="69"/>
      <c r="J169" s="69"/>
      <c r="K169" s="69"/>
      <c r="L169" s="69"/>
      <c r="M169" s="51"/>
      <c r="N169" s="111"/>
      <c r="O169" s="111"/>
      <c r="P169" s="111"/>
      <c r="Q169" s="69"/>
      <c r="R169" s="69"/>
      <c r="S169" s="69"/>
      <c r="T169" s="69"/>
      <c r="U169" s="69"/>
      <c r="V169" s="69"/>
      <c r="W169" s="69"/>
      <c r="X169" s="79"/>
      <c r="Y169" s="79"/>
      <c r="Z169" s="79"/>
      <c r="AA169" s="79"/>
      <c r="AB169" s="69"/>
      <c r="AC169" s="79"/>
      <c r="AD169" s="79"/>
      <c r="AE169" s="69"/>
      <c r="AF169" s="69"/>
      <c r="AG169" s="97"/>
      <c r="AH169" s="86"/>
      <c r="AI169" s="86"/>
      <c r="AJ169" s="86"/>
      <c r="AK169" s="86"/>
      <c r="AL169" s="97"/>
      <c r="AM169" s="86"/>
      <c r="AN169" s="86"/>
      <c r="AO169" s="97"/>
      <c r="AP169" s="97"/>
      <c r="AQ169" s="86"/>
      <c r="AR169" s="86"/>
      <c r="AS169" s="97"/>
      <c r="AT169" s="97"/>
      <c r="AU169" s="97"/>
      <c r="AV169" s="86"/>
      <c r="AW169" s="86"/>
      <c r="AX169" s="97"/>
      <c r="AY169" s="97"/>
      <c r="AZ169" s="97"/>
      <c r="BA169" s="97"/>
    </row>
    <row r="170" spans="1:53" s="15" customFormat="1" ht="21.75" customHeight="1">
      <c r="A170" s="75" t="s">
        <v>316</v>
      </c>
      <c r="B170" s="73" t="s">
        <v>170</v>
      </c>
      <c r="C170" s="68"/>
      <c r="D170" s="69"/>
      <c r="E170" s="69"/>
      <c r="F170" s="69"/>
      <c r="G170" s="69"/>
      <c r="H170" s="69"/>
      <c r="I170" s="69"/>
      <c r="J170" s="69"/>
      <c r="K170" s="69"/>
      <c r="L170" s="69"/>
      <c r="M170" s="51"/>
      <c r="N170" s="111"/>
      <c r="O170" s="111"/>
      <c r="P170" s="111"/>
      <c r="Q170" s="69"/>
      <c r="R170" s="69"/>
      <c r="S170" s="69"/>
      <c r="T170" s="69"/>
      <c r="U170" s="69"/>
      <c r="V170" s="69"/>
      <c r="W170" s="69"/>
      <c r="X170" s="79"/>
      <c r="Y170" s="79"/>
      <c r="Z170" s="79"/>
      <c r="AA170" s="79"/>
      <c r="AB170" s="69"/>
      <c r="AC170" s="79"/>
      <c r="AD170" s="79"/>
      <c r="AE170" s="69"/>
      <c r="AF170" s="69"/>
      <c r="AG170" s="97"/>
      <c r="AH170" s="86"/>
      <c r="AI170" s="86"/>
      <c r="AJ170" s="86"/>
      <c r="AK170" s="86"/>
      <c r="AL170" s="97"/>
      <c r="AM170" s="86"/>
      <c r="AN170" s="86"/>
      <c r="AO170" s="97"/>
      <c r="AP170" s="97"/>
      <c r="AQ170" s="86"/>
      <c r="AR170" s="86"/>
      <c r="AS170" s="97"/>
      <c r="AT170" s="97"/>
      <c r="AU170" s="97"/>
      <c r="AV170" s="86"/>
      <c r="AW170" s="86"/>
      <c r="AX170" s="97"/>
      <c r="AY170" s="97"/>
      <c r="AZ170" s="97"/>
      <c r="BA170" s="97"/>
    </row>
    <row r="171" spans="1:53" s="15" customFormat="1" ht="34.5" customHeight="1">
      <c r="A171" s="75" t="s">
        <v>317</v>
      </c>
      <c r="B171" s="73" t="s">
        <v>171</v>
      </c>
      <c r="C171" s="68"/>
      <c r="D171" s="69"/>
      <c r="E171" s="69"/>
      <c r="F171" s="69"/>
      <c r="G171" s="69"/>
      <c r="H171" s="69"/>
      <c r="I171" s="69"/>
      <c r="J171" s="69"/>
      <c r="K171" s="69"/>
      <c r="L171" s="69"/>
      <c r="M171" s="51"/>
      <c r="N171" s="111"/>
      <c r="O171" s="111"/>
      <c r="P171" s="111"/>
      <c r="Q171" s="69"/>
      <c r="R171" s="69"/>
      <c r="S171" s="69"/>
      <c r="T171" s="69"/>
      <c r="U171" s="69"/>
      <c r="V171" s="69"/>
      <c r="W171" s="69"/>
      <c r="X171" s="79"/>
      <c r="Y171" s="79"/>
      <c r="Z171" s="79"/>
      <c r="AA171" s="79"/>
      <c r="AB171" s="69"/>
      <c r="AC171" s="79"/>
      <c r="AD171" s="79"/>
      <c r="AE171" s="69"/>
      <c r="AF171" s="69"/>
      <c r="AG171" s="97"/>
      <c r="AH171" s="86"/>
      <c r="AI171" s="86"/>
      <c r="AJ171" s="86"/>
      <c r="AK171" s="86"/>
      <c r="AL171" s="97"/>
      <c r="AM171" s="86"/>
      <c r="AN171" s="86"/>
      <c r="AO171" s="97"/>
      <c r="AP171" s="97"/>
      <c r="AQ171" s="86"/>
      <c r="AR171" s="86"/>
      <c r="AS171" s="97"/>
      <c r="AT171" s="97"/>
      <c r="AU171" s="97"/>
      <c r="AV171" s="86"/>
      <c r="AW171" s="86"/>
      <c r="AX171" s="97"/>
      <c r="AY171" s="97"/>
      <c r="AZ171" s="97"/>
      <c r="BA171" s="97"/>
    </row>
    <row r="172" spans="1:53" s="15" customFormat="1" ht="33.75" customHeight="1">
      <c r="A172" s="75" t="s">
        <v>318</v>
      </c>
      <c r="B172" s="73" t="s">
        <v>172</v>
      </c>
      <c r="C172" s="68"/>
      <c r="D172" s="69"/>
      <c r="E172" s="69"/>
      <c r="F172" s="69"/>
      <c r="G172" s="69"/>
      <c r="H172" s="69"/>
      <c r="I172" s="69"/>
      <c r="J172" s="69"/>
      <c r="K172" s="69"/>
      <c r="L172" s="69"/>
      <c r="M172" s="51"/>
      <c r="N172" s="111"/>
      <c r="O172" s="111"/>
      <c r="P172" s="111"/>
      <c r="Q172" s="69"/>
      <c r="R172" s="69"/>
      <c r="S172" s="69"/>
      <c r="T172" s="69"/>
      <c r="U172" s="69"/>
      <c r="V172" s="69"/>
      <c r="W172" s="69"/>
      <c r="X172" s="79"/>
      <c r="Y172" s="79"/>
      <c r="Z172" s="79"/>
      <c r="AA172" s="79"/>
      <c r="AB172" s="69"/>
      <c r="AC172" s="79"/>
      <c r="AD172" s="79"/>
      <c r="AE172" s="69"/>
      <c r="AF172" s="69"/>
      <c r="AG172" s="97"/>
      <c r="AH172" s="86"/>
      <c r="AI172" s="86"/>
      <c r="AJ172" s="86"/>
      <c r="AK172" s="86"/>
      <c r="AL172" s="97"/>
      <c r="AM172" s="86"/>
      <c r="AN172" s="86"/>
      <c r="AO172" s="97"/>
      <c r="AP172" s="97"/>
      <c r="AQ172" s="86"/>
      <c r="AR172" s="86"/>
      <c r="AS172" s="97"/>
      <c r="AT172" s="97"/>
      <c r="AU172" s="97"/>
      <c r="AV172" s="86"/>
      <c r="AW172" s="86"/>
      <c r="AX172" s="97"/>
      <c r="AY172" s="97"/>
      <c r="AZ172" s="97"/>
      <c r="BA172" s="97"/>
    </row>
    <row r="173" spans="1:53" s="15" customFormat="1" ht="22.5">
      <c r="A173" s="75" t="s">
        <v>319</v>
      </c>
      <c r="B173" s="73" t="s">
        <v>173</v>
      </c>
      <c r="C173" s="68"/>
      <c r="D173" s="69"/>
      <c r="E173" s="69"/>
      <c r="F173" s="69"/>
      <c r="G173" s="69"/>
      <c r="H173" s="69"/>
      <c r="I173" s="69"/>
      <c r="J173" s="69"/>
      <c r="K173" s="69"/>
      <c r="L173" s="69"/>
      <c r="M173" s="51"/>
      <c r="N173" s="111"/>
      <c r="O173" s="111"/>
      <c r="P173" s="111"/>
      <c r="Q173" s="69"/>
      <c r="R173" s="69"/>
      <c r="S173" s="69"/>
      <c r="T173" s="69"/>
      <c r="U173" s="69"/>
      <c r="V173" s="69"/>
      <c r="W173" s="69"/>
      <c r="X173" s="79"/>
      <c r="Y173" s="79"/>
      <c r="Z173" s="79"/>
      <c r="AA173" s="79"/>
      <c r="AB173" s="69"/>
      <c r="AC173" s="79"/>
      <c r="AD173" s="79"/>
      <c r="AE173" s="69"/>
      <c r="AF173" s="69"/>
      <c r="AG173" s="97"/>
      <c r="AH173" s="86"/>
      <c r="AI173" s="86"/>
      <c r="AJ173" s="86"/>
      <c r="AK173" s="86"/>
      <c r="AL173" s="97"/>
      <c r="AM173" s="86"/>
      <c r="AN173" s="86"/>
      <c r="AO173" s="97"/>
      <c r="AP173" s="97"/>
      <c r="AQ173" s="86"/>
      <c r="AR173" s="86"/>
      <c r="AS173" s="97"/>
      <c r="AT173" s="97"/>
      <c r="AU173" s="97"/>
      <c r="AV173" s="86"/>
      <c r="AW173" s="86"/>
      <c r="AX173" s="97"/>
      <c r="AY173" s="97"/>
      <c r="AZ173" s="97"/>
      <c r="BA173" s="97"/>
    </row>
    <row r="174" spans="1:53" s="15" customFormat="1" ht="22.5">
      <c r="A174" s="75" t="s">
        <v>320</v>
      </c>
      <c r="B174" s="73" t="s">
        <v>175</v>
      </c>
      <c r="C174" s="68"/>
      <c r="D174" s="69"/>
      <c r="E174" s="69"/>
      <c r="F174" s="69"/>
      <c r="G174" s="69"/>
      <c r="H174" s="69"/>
      <c r="I174" s="69"/>
      <c r="J174" s="69"/>
      <c r="K174" s="69"/>
      <c r="L174" s="69"/>
      <c r="M174" s="51"/>
      <c r="N174" s="111"/>
      <c r="O174" s="111"/>
      <c r="P174" s="111"/>
      <c r="Q174" s="69"/>
      <c r="R174" s="69"/>
      <c r="S174" s="69"/>
      <c r="T174" s="69"/>
      <c r="U174" s="69"/>
      <c r="V174" s="69"/>
      <c r="W174" s="69"/>
      <c r="X174" s="79"/>
      <c r="Y174" s="79"/>
      <c r="Z174" s="79"/>
      <c r="AA174" s="79"/>
      <c r="AB174" s="69"/>
      <c r="AC174" s="79"/>
      <c r="AD174" s="79"/>
      <c r="AE174" s="69"/>
      <c r="AF174" s="69"/>
      <c r="AG174" s="97"/>
      <c r="AH174" s="86"/>
      <c r="AI174" s="86"/>
      <c r="AJ174" s="86"/>
      <c r="AK174" s="86"/>
      <c r="AL174" s="97"/>
      <c r="AM174" s="86"/>
      <c r="AN174" s="86"/>
      <c r="AO174" s="97"/>
      <c r="AP174" s="97"/>
      <c r="AQ174" s="86"/>
      <c r="AR174" s="86"/>
      <c r="AS174" s="97"/>
      <c r="AT174" s="97"/>
      <c r="AU174" s="97"/>
      <c r="AV174" s="86"/>
      <c r="AW174" s="86"/>
      <c r="AX174" s="97"/>
      <c r="AY174" s="97"/>
      <c r="AZ174" s="97"/>
      <c r="BA174" s="97"/>
    </row>
    <row r="175" spans="1:53" s="15" customFormat="1" ht="33.75">
      <c r="A175" s="75" t="s">
        <v>321</v>
      </c>
      <c r="B175" s="73" t="s">
        <v>176</v>
      </c>
      <c r="C175" s="68"/>
      <c r="D175" s="69"/>
      <c r="E175" s="69"/>
      <c r="F175" s="69"/>
      <c r="G175" s="69"/>
      <c r="H175" s="69"/>
      <c r="I175" s="69"/>
      <c r="J175" s="69"/>
      <c r="K175" s="69"/>
      <c r="L175" s="69"/>
      <c r="M175" s="51"/>
      <c r="N175" s="111"/>
      <c r="O175" s="111"/>
      <c r="P175" s="111"/>
      <c r="Q175" s="69"/>
      <c r="R175" s="69"/>
      <c r="S175" s="69"/>
      <c r="T175" s="69"/>
      <c r="U175" s="69"/>
      <c r="V175" s="69"/>
      <c r="W175" s="69"/>
      <c r="X175" s="79"/>
      <c r="Y175" s="79"/>
      <c r="Z175" s="79"/>
      <c r="AA175" s="79"/>
      <c r="AB175" s="69"/>
      <c r="AC175" s="79"/>
      <c r="AD175" s="79"/>
      <c r="AE175" s="69"/>
      <c r="AF175" s="69"/>
      <c r="AG175" s="97"/>
      <c r="AH175" s="86"/>
      <c r="AI175" s="86"/>
      <c r="AJ175" s="86"/>
      <c r="AK175" s="86"/>
      <c r="AL175" s="97"/>
      <c r="AM175" s="86"/>
      <c r="AN175" s="86"/>
      <c r="AO175" s="97"/>
      <c r="AP175" s="97"/>
      <c r="AQ175" s="86"/>
      <c r="AR175" s="86"/>
      <c r="AS175" s="97"/>
      <c r="AT175" s="97"/>
      <c r="AU175" s="97"/>
      <c r="AV175" s="86"/>
      <c r="AW175" s="86"/>
      <c r="AX175" s="97"/>
      <c r="AY175" s="97"/>
      <c r="AZ175" s="97"/>
      <c r="BA175" s="97"/>
    </row>
    <row r="176" spans="1:53" s="15" customFormat="1" ht="22.5">
      <c r="A176" s="75" t="s">
        <v>322</v>
      </c>
      <c r="B176" s="73" t="s">
        <v>177</v>
      </c>
      <c r="C176" s="68"/>
      <c r="D176" s="69"/>
      <c r="E176" s="69"/>
      <c r="F176" s="69"/>
      <c r="G176" s="69"/>
      <c r="H176" s="69"/>
      <c r="I176" s="69"/>
      <c r="J176" s="69"/>
      <c r="K176" s="69"/>
      <c r="L176" s="69"/>
      <c r="M176" s="51"/>
      <c r="N176" s="111"/>
      <c r="O176" s="111"/>
      <c r="P176" s="111"/>
      <c r="Q176" s="69"/>
      <c r="R176" s="69"/>
      <c r="S176" s="69"/>
      <c r="T176" s="69"/>
      <c r="U176" s="69"/>
      <c r="V176" s="69"/>
      <c r="W176" s="69"/>
      <c r="X176" s="79"/>
      <c r="Y176" s="79"/>
      <c r="Z176" s="79"/>
      <c r="AA176" s="79"/>
      <c r="AB176" s="69"/>
      <c r="AC176" s="79"/>
      <c r="AD176" s="79"/>
      <c r="AE176" s="69"/>
      <c r="AF176" s="69"/>
      <c r="AG176" s="97"/>
      <c r="AH176" s="86"/>
      <c r="AI176" s="86"/>
      <c r="AJ176" s="86"/>
      <c r="AK176" s="86"/>
      <c r="AL176" s="97"/>
      <c r="AM176" s="86"/>
      <c r="AN176" s="86"/>
      <c r="AO176" s="97"/>
      <c r="AP176" s="97"/>
      <c r="AQ176" s="86"/>
      <c r="AR176" s="86"/>
      <c r="AS176" s="97"/>
      <c r="AT176" s="97"/>
      <c r="AU176" s="97"/>
      <c r="AV176" s="86"/>
      <c r="AW176" s="86"/>
      <c r="AX176" s="97"/>
      <c r="AY176" s="97"/>
      <c r="AZ176" s="97"/>
      <c r="BA176" s="97"/>
    </row>
    <row r="177" spans="1:53" s="15" customFormat="1" ht="33" customHeight="1">
      <c r="A177" s="75" t="s">
        <v>323</v>
      </c>
      <c r="B177" s="73" t="s">
        <v>178</v>
      </c>
      <c r="C177" s="68"/>
      <c r="D177" s="69"/>
      <c r="E177" s="69"/>
      <c r="F177" s="69"/>
      <c r="G177" s="69"/>
      <c r="H177" s="69"/>
      <c r="I177" s="69"/>
      <c r="J177" s="69"/>
      <c r="K177" s="69"/>
      <c r="L177" s="69"/>
      <c r="M177" s="51"/>
      <c r="N177" s="111"/>
      <c r="O177" s="111"/>
      <c r="P177" s="111"/>
      <c r="Q177" s="69"/>
      <c r="R177" s="69"/>
      <c r="S177" s="69"/>
      <c r="T177" s="69"/>
      <c r="U177" s="69"/>
      <c r="V177" s="69"/>
      <c r="W177" s="69"/>
      <c r="X177" s="79"/>
      <c r="Y177" s="79"/>
      <c r="Z177" s="79"/>
      <c r="AA177" s="79"/>
      <c r="AB177" s="69"/>
      <c r="AC177" s="79"/>
      <c r="AD177" s="79"/>
      <c r="AE177" s="69"/>
      <c r="AF177" s="69"/>
      <c r="AG177" s="97"/>
      <c r="AH177" s="86"/>
      <c r="AI177" s="86"/>
      <c r="AJ177" s="86"/>
      <c r="AK177" s="86"/>
      <c r="AL177" s="97"/>
      <c r="AM177" s="86"/>
      <c r="AN177" s="86"/>
      <c r="AO177" s="97"/>
      <c r="AP177" s="97"/>
      <c r="AQ177" s="86"/>
      <c r="AR177" s="86"/>
      <c r="AS177" s="97"/>
      <c r="AT177" s="97"/>
      <c r="AU177" s="97"/>
      <c r="AV177" s="86"/>
      <c r="AW177" s="86"/>
      <c r="AX177" s="97"/>
      <c r="AY177" s="97"/>
      <c r="AZ177" s="97"/>
      <c r="BA177" s="97"/>
    </row>
    <row r="178" spans="1:53" s="15" customFormat="1" ht="25.5" customHeight="1">
      <c r="A178" s="75" t="s">
        <v>324</v>
      </c>
      <c r="B178" s="73" t="s">
        <v>179</v>
      </c>
      <c r="C178" s="68"/>
      <c r="D178" s="69"/>
      <c r="E178" s="69"/>
      <c r="F178" s="69"/>
      <c r="G178" s="69"/>
      <c r="H178" s="69"/>
      <c r="I178" s="69"/>
      <c r="J178" s="69"/>
      <c r="K178" s="69"/>
      <c r="L178" s="69"/>
      <c r="M178" s="51"/>
      <c r="N178" s="111"/>
      <c r="O178" s="111"/>
      <c r="P178" s="111"/>
      <c r="Q178" s="69"/>
      <c r="R178" s="69"/>
      <c r="S178" s="69"/>
      <c r="T178" s="69"/>
      <c r="U178" s="69"/>
      <c r="V178" s="69"/>
      <c r="W178" s="69"/>
      <c r="X178" s="79"/>
      <c r="Y178" s="79"/>
      <c r="Z178" s="79"/>
      <c r="AA178" s="79"/>
      <c r="AB178" s="69"/>
      <c r="AC178" s="79"/>
      <c r="AD178" s="79"/>
      <c r="AE178" s="69"/>
      <c r="AF178" s="69"/>
      <c r="AG178" s="97"/>
      <c r="AH178" s="86"/>
      <c r="AI178" s="86"/>
      <c r="AJ178" s="86"/>
      <c r="AK178" s="86"/>
      <c r="AL178" s="97"/>
      <c r="AM178" s="86"/>
      <c r="AN178" s="86"/>
      <c r="AO178" s="97"/>
      <c r="AP178" s="97"/>
      <c r="AQ178" s="86"/>
      <c r="AR178" s="86"/>
      <c r="AS178" s="97"/>
      <c r="AT178" s="97"/>
      <c r="AU178" s="97"/>
      <c r="AV178" s="86"/>
      <c r="AW178" s="86"/>
      <c r="AX178" s="97"/>
      <c r="AY178" s="97"/>
      <c r="AZ178" s="97"/>
      <c r="BA178" s="97"/>
    </row>
    <row r="179" spans="1:53" s="15" customFormat="1" ht="33.75">
      <c r="A179" s="75" t="s">
        <v>325</v>
      </c>
      <c r="B179" s="73" t="s">
        <v>174</v>
      </c>
      <c r="C179" s="68"/>
      <c r="D179" s="69"/>
      <c r="E179" s="69"/>
      <c r="F179" s="69"/>
      <c r="G179" s="69"/>
      <c r="H179" s="69"/>
      <c r="I179" s="69"/>
      <c r="J179" s="69"/>
      <c r="K179" s="69"/>
      <c r="L179" s="69"/>
      <c r="M179" s="51"/>
      <c r="N179" s="111"/>
      <c r="O179" s="111"/>
      <c r="P179" s="111"/>
      <c r="Q179" s="69"/>
      <c r="R179" s="69"/>
      <c r="S179" s="69"/>
      <c r="T179" s="69"/>
      <c r="U179" s="69"/>
      <c r="V179" s="69"/>
      <c r="W179" s="69"/>
      <c r="X179" s="79"/>
      <c r="Y179" s="79"/>
      <c r="Z179" s="79"/>
      <c r="AA179" s="79"/>
      <c r="AB179" s="69"/>
      <c r="AC179" s="79"/>
      <c r="AD179" s="79"/>
      <c r="AE179" s="69"/>
      <c r="AF179" s="69"/>
      <c r="AG179" s="97"/>
      <c r="AH179" s="86"/>
      <c r="AI179" s="86"/>
      <c r="AJ179" s="86"/>
      <c r="AK179" s="86"/>
      <c r="AL179" s="97"/>
      <c r="AM179" s="86"/>
      <c r="AN179" s="86"/>
      <c r="AO179" s="97"/>
      <c r="AP179" s="97"/>
      <c r="AQ179" s="86"/>
      <c r="AR179" s="86"/>
      <c r="AS179" s="97"/>
      <c r="AT179" s="97"/>
      <c r="AU179" s="97"/>
      <c r="AV179" s="86"/>
      <c r="AW179" s="86"/>
      <c r="AX179" s="97"/>
      <c r="AY179" s="97"/>
      <c r="AZ179" s="97"/>
      <c r="BA179" s="97"/>
    </row>
    <row r="180" spans="1:53" s="15" customFormat="1" ht="22.5">
      <c r="A180" s="75" t="s">
        <v>326</v>
      </c>
      <c r="B180" s="73" t="s">
        <v>180</v>
      </c>
      <c r="C180" s="68"/>
      <c r="D180" s="69"/>
      <c r="E180" s="69"/>
      <c r="F180" s="69"/>
      <c r="G180" s="69"/>
      <c r="H180" s="69"/>
      <c r="I180" s="69"/>
      <c r="J180" s="69"/>
      <c r="K180" s="69"/>
      <c r="L180" s="69"/>
      <c r="M180" s="51"/>
      <c r="N180" s="111"/>
      <c r="O180" s="111"/>
      <c r="P180" s="111"/>
      <c r="Q180" s="69"/>
      <c r="R180" s="69"/>
      <c r="S180" s="69"/>
      <c r="T180" s="69"/>
      <c r="U180" s="69"/>
      <c r="V180" s="69"/>
      <c r="W180" s="69"/>
      <c r="X180" s="79"/>
      <c r="Y180" s="79"/>
      <c r="Z180" s="79"/>
      <c r="AA180" s="79"/>
      <c r="AB180" s="69"/>
      <c r="AC180" s="79"/>
      <c r="AD180" s="79"/>
      <c r="AE180" s="69"/>
      <c r="AF180" s="69"/>
      <c r="AG180" s="97"/>
      <c r="AH180" s="86"/>
      <c r="AI180" s="86"/>
      <c r="AJ180" s="86"/>
      <c r="AK180" s="86"/>
      <c r="AL180" s="97"/>
      <c r="AM180" s="86"/>
      <c r="AN180" s="86"/>
      <c r="AO180" s="97"/>
      <c r="AP180" s="97"/>
      <c r="AQ180" s="86"/>
      <c r="AR180" s="86"/>
      <c r="AS180" s="97"/>
      <c r="AT180" s="97"/>
      <c r="AU180" s="97"/>
      <c r="AV180" s="86"/>
      <c r="AW180" s="86"/>
      <c r="AX180" s="97"/>
      <c r="AY180" s="97"/>
      <c r="AZ180" s="97"/>
      <c r="BA180" s="97"/>
    </row>
    <row r="181" spans="1:53" s="15" customFormat="1" ht="22.5">
      <c r="A181" s="75" t="s">
        <v>327</v>
      </c>
      <c r="B181" s="73" t="s">
        <v>148</v>
      </c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51"/>
      <c r="N181" s="111"/>
      <c r="O181" s="111"/>
      <c r="P181" s="111"/>
      <c r="Q181" s="69"/>
      <c r="R181" s="69"/>
      <c r="S181" s="69"/>
      <c r="T181" s="69"/>
      <c r="U181" s="69"/>
      <c r="V181" s="69"/>
      <c r="W181" s="69"/>
      <c r="X181" s="79"/>
      <c r="Y181" s="79"/>
      <c r="Z181" s="79"/>
      <c r="AA181" s="79"/>
      <c r="AB181" s="69"/>
      <c r="AC181" s="79"/>
      <c r="AD181" s="79"/>
      <c r="AE181" s="69"/>
      <c r="AF181" s="69"/>
      <c r="AG181" s="97"/>
      <c r="AH181" s="86"/>
      <c r="AI181" s="86"/>
      <c r="AJ181" s="86"/>
      <c r="AK181" s="86"/>
      <c r="AL181" s="97"/>
      <c r="AM181" s="86"/>
      <c r="AN181" s="86"/>
      <c r="AO181" s="97"/>
      <c r="AP181" s="97"/>
      <c r="AQ181" s="86"/>
      <c r="AR181" s="86"/>
      <c r="AS181" s="97"/>
      <c r="AT181" s="97"/>
      <c r="AU181" s="97"/>
      <c r="AV181" s="86"/>
      <c r="AW181" s="86"/>
      <c r="AX181" s="97"/>
      <c r="AY181" s="97"/>
      <c r="AZ181" s="97"/>
      <c r="BA181" s="97"/>
    </row>
    <row r="182" spans="1:53" s="15" customFormat="1" ht="33.75">
      <c r="A182" s="75" t="s">
        <v>328</v>
      </c>
      <c r="B182" s="73" t="s">
        <v>181</v>
      </c>
      <c r="C182" s="68"/>
      <c r="D182" s="69"/>
      <c r="E182" s="69"/>
      <c r="F182" s="69"/>
      <c r="G182" s="69"/>
      <c r="H182" s="69"/>
      <c r="I182" s="69"/>
      <c r="J182" s="69"/>
      <c r="K182" s="69"/>
      <c r="L182" s="69"/>
      <c r="M182" s="51"/>
      <c r="N182" s="111"/>
      <c r="O182" s="111"/>
      <c r="P182" s="111"/>
      <c r="Q182" s="69"/>
      <c r="R182" s="69"/>
      <c r="S182" s="69"/>
      <c r="T182" s="69"/>
      <c r="U182" s="69"/>
      <c r="V182" s="69"/>
      <c r="W182" s="69"/>
      <c r="X182" s="79"/>
      <c r="Y182" s="79"/>
      <c r="Z182" s="79"/>
      <c r="AA182" s="79"/>
      <c r="AB182" s="69"/>
      <c r="AC182" s="79"/>
      <c r="AD182" s="79"/>
      <c r="AE182" s="69"/>
      <c r="AF182" s="69"/>
      <c r="AG182" s="97"/>
      <c r="AH182" s="86"/>
      <c r="AI182" s="86"/>
      <c r="AJ182" s="86"/>
      <c r="AK182" s="86"/>
      <c r="AL182" s="97"/>
      <c r="AM182" s="86"/>
      <c r="AN182" s="86"/>
      <c r="AO182" s="97"/>
      <c r="AP182" s="97"/>
      <c r="AQ182" s="86"/>
      <c r="AR182" s="86"/>
      <c r="AS182" s="97"/>
      <c r="AT182" s="97"/>
      <c r="AU182" s="97"/>
      <c r="AV182" s="86"/>
      <c r="AW182" s="86"/>
      <c r="AX182" s="97"/>
      <c r="AY182" s="97"/>
      <c r="AZ182" s="97"/>
      <c r="BA182" s="97"/>
    </row>
    <row r="183" spans="1:53" s="15" customFormat="1" ht="67.5">
      <c r="A183" s="75" t="s">
        <v>329</v>
      </c>
      <c r="B183" s="73" t="s">
        <v>183</v>
      </c>
      <c r="C183" s="68"/>
      <c r="D183" s="69"/>
      <c r="E183" s="69"/>
      <c r="F183" s="69"/>
      <c r="G183" s="69"/>
      <c r="H183" s="69"/>
      <c r="I183" s="69"/>
      <c r="J183" s="69"/>
      <c r="K183" s="69"/>
      <c r="L183" s="69"/>
      <c r="M183" s="51"/>
      <c r="N183" s="111"/>
      <c r="O183" s="111"/>
      <c r="P183" s="111"/>
      <c r="Q183" s="79" t="s">
        <v>184</v>
      </c>
      <c r="R183" s="69">
        <f>T183+V183</f>
        <v>4746</v>
      </c>
      <c r="S183" s="69"/>
      <c r="T183" s="79">
        <v>4746</v>
      </c>
      <c r="U183" s="69"/>
      <c r="V183" s="69"/>
      <c r="W183" s="69"/>
      <c r="X183" s="79"/>
      <c r="Y183" s="79"/>
      <c r="Z183" s="79"/>
      <c r="AA183" s="79"/>
      <c r="AB183" s="69"/>
      <c r="AC183" s="79"/>
      <c r="AD183" s="79"/>
      <c r="AE183" s="69"/>
      <c r="AF183" s="69"/>
      <c r="AG183" s="97"/>
      <c r="AH183" s="86"/>
      <c r="AI183" s="86"/>
      <c r="AJ183" s="86"/>
      <c r="AK183" s="86"/>
      <c r="AL183" s="97"/>
      <c r="AM183" s="86"/>
      <c r="AN183" s="86"/>
      <c r="AO183" s="97"/>
      <c r="AP183" s="97"/>
      <c r="AQ183" s="86"/>
      <c r="AR183" s="86"/>
      <c r="AS183" s="97"/>
      <c r="AT183" s="97"/>
      <c r="AU183" s="97"/>
      <c r="AV183" s="86"/>
      <c r="AW183" s="86"/>
      <c r="AX183" s="97"/>
      <c r="AY183" s="97"/>
      <c r="AZ183" s="97"/>
      <c r="BA183" s="97"/>
    </row>
    <row r="184" spans="1:53" s="15" customFormat="1" ht="33.75">
      <c r="A184" s="75" t="s">
        <v>330</v>
      </c>
      <c r="B184" s="73" t="s">
        <v>185</v>
      </c>
      <c r="C184" s="68"/>
      <c r="D184" s="69"/>
      <c r="E184" s="69"/>
      <c r="F184" s="69"/>
      <c r="G184" s="69"/>
      <c r="H184" s="69"/>
      <c r="I184" s="69"/>
      <c r="J184" s="69"/>
      <c r="K184" s="69"/>
      <c r="L184" s="69"/>
      <c r="M184" s="51"/>
      <c r="N184" s="111"/>
      <c r="O184" s="111"/>
      <c r="P184" s="111"/>
      <c r="Q184" s="79"/>
      <c r="R184" s="69">
        <f>T184</f>
        <v>580</v>
      </c>
      <c r="S184" s="69"/>
      <c r="T184" s="79">
        <v>580</v>
      </c>
      <c r="U184" s="69"/>
      <c r="V184" s="69"/>
      <c r="W184" s="69"/>
      <c r="X184" s="79"/>
      <c r="Y184" s="79"/>
      <c r="Z184" s="79"/>
      <c r="AA184" s="79"/>
      <c r="AB184" s="69"/>
      <c r="AC184" s="79"/>
      <c r="AD184" s="79"/>
      <c r="AE184" s="69"/>
      <c r="AF184" s="69"/>
      <c r="AG184" s="97"/>
      <c r="AH184" s="86"/>
      <c r="AI184" s="86"/>
      <c r="AJ184" s="86"/>
      <c r="AK184" s="86"/>
      <c r="AL184" s="97"/>
      <c r="AM184" s="86"/>
      <c r="AN184" s="86"/>
      <c r="AO184" s="97"/>
      <c r="AP184" s="97"/>
      <c r="AQ184" s="86"/>
      <c r="AR184" s="86"/>
      <c r="AS184" s="97"/>
      <c r="AT184" s="97"/>
      <c r="AU184" s="97"/>
      <c r="AV184" s="86"/>
      <c r="AW184" s="86"/>
      <c r="AX184" s="97"/>
      <c r="AY184" s="97"/>
      <c r="AZ184" s="97"/>
      <c r="BA184" s="97"/>
    </row>
    <row r="185" spans="1:53" s="15" customFormat="1" ht="45">
      <c r="A185" s="75" t="s">
        <v>331</v>
      </c>
      <c r="B185" s="73" t="s">
        <v>182</v>
      </c>
      <c r="C185" s="68"/>
      <c r="D185" s="69"/>
      <c r="E185" s="69"/>
      <c r="F185" s="69"/>
      <c r="G185" s="69"/>
      <c r="H185" s="69"/>
      <c r="I185" s="69"/>
      <c r="J185" s="69"/>
      <c r="K185" s="69"/>
      <c r="L185" s="69"/>
      <c r="M185" s="51"/>
      <c r="N185" s="111"/>
      <c r="O185" s="111"/>
      <c r="P185" s="111"/>
      <c r="Q185" s="69"/>
      <c r="R185" s="69"/>
      <c r="S185" s="69"/>
      <c r="T185" s="79"/>
      <c r="U185" s="69"/>
      <c r="V185" s="69"/>
      <c r="W185" s="69"/>
      <c r="X185" s="79"/>
      <c r="Y185" s="79"/>
      <c r="Z185" s="79"/>
      <c r="AA185" s="79"/>
      <c r="AB185" s="69"/>
      <c r="AC185" s="79"/>
      <c r="AD185" s="79"/>
      <c r="AE185" s="69"/>
      <c r="AF185" s="69"/>
      <c r="AG185" s="97"/>
      <c r="AH185" s="86"/>
      <c r="AI185" s="86"/>
      <c r="AJ185" s="86"/>
      <c r="AK185" s="86"/>
      <c r="AL185" s="97"/>
      <c r="AM185" s="86"/>
      <c r="AN185" s="86"/>
      <c r="AO185" s="97"/>
      <c r="AP185" s="97"/>
      <c r="AQ185" s="86"/>
      <c r="AR185" s="86"/>
      <c r="AS185" s="97"/>
      <c r="AT185" s="97"/>
      <c r="AU185" s="97"/>
      <c r="AV185" s="86"/>
      <c r="AW185" s="86"/>
      <c r="AX185" s="97"/>
      <c r="AY185" s="97"/>
      <c r="AZ185" s="97"/>
      <c r="BA185" s="97"/>
    </row>
    <row r="186" spans="1:53" s="15" customFormat="1" ht="56.25">
      <c r="A186" s="47" t="s">
        <v>332</v>
      </c>
      <c r="B186" s="11" t="s">
        <v>162</v>
      </c>
      <c r="C186" s="11"/>
      <c r="D186" s="12">
        <f aca="true" t="shared" si="26" ref="D186:P186">D187+D188+D189+D190+D191+D192+D193+D194+D195</f>
        <v>124303</v>
      </c>
      <c r="E186" s="12">
        <f t="shared" si="26"/>
        <v>0</v>
      </c>
      <c r="F186" s="12">
        <f t="shared" si="26"/>
        <v>0</v>
      </c>
      <c r="G186" s="12">
        <f t="shared" si="26"/>
        <v>0</v>
      </c>
      <c r="H186" s="12">
        <f t="shared" si="26"/>
        <v>0</v>
      </c>
      <c r="I186" s="12">
        <f t="shared" si="26"/>
        <v>0</v>
      </c>
      <c r="J186" s="12">
        <f t="shared" si="26"/>
        <v>0</v>
      </c>
      <c r="K186" s="12">
        <f t="shared" si="26"/>
        <v>0</v>
      </c>
      <c r="L186" s="12">
        <f t="shared" si="26"/>
        <v>0</v>
      </c>
      <c r="M186" s="12">
        <f t="shared" si="26"/>
        <v>0</v>
      </c>
      <c r="N186" s="12">
        <f t="shared" si="26"/>
        <v>0</v>
      </c>
      <c r="O186" s="12">
        <f t="shared" si="26"/>
        <v>0</v>
      </c>
      <c r="P186" s="12">
        <f t="shared" si="26"/>
        <v>0</v>
      </c>
      <c r="Q186" s="12"/>
      <c r="R186" s="12">
        <f>R187+R188+R189+R190+R191+R192+R193+R194+R195+R196</f>
        <v>2400</v>
      </c>
      <c r="S186" s="12">
        <f aca="true" t="shared" si="27" ref="S186:BA186">S187+S188+S189+S190+S191+S192+S193+S194+S195+S196</f>
        <v>0</v>
      </c>
      <c r="T186" s="12">
        <f t="shared" si="27"/>
        <v>2400</v>
      </c>
      <c r="U186" s="12">
        <f t="shared" si="27"/>
        <v>0</v>
      </c>
      <c r="V186" s="12">
        <f t="shared" si="27"/>
        <v>0</v>
      </c>
      <c r="W186" s="12">
        <f t="shared" si="27"/>
        <v>15813</v>
      </c>
      <c r="X186" s="12">
        <f t="shared" si="27"/>
        <v>14223</v>
      </c>
      <c r="Y186" s="12">
        <f t="shared" si="27"/>
        <v>1590</v>
      </c>
      <c r="Z186" s="12">
        <f t="shared" si="27"/>
        <v>0</v>
      </c>
      <c r="AA186" s="12">
        <f t="shared" si="27"/>
        <v>0</v>
      </c>
      <c r="AB186" s="12">
        <f t="shared" si="27"/>
        <v>5400</v>
      </c>
      <c r="AC186" s="12">
        <f t="shared" si="27"/>
        <v>4590</v>
      </c>
      <c r="AD186" s="12">
        <f t="shared" si="27"/>
        <v>810</v>
      </c>
      <c r="AE186" s="12">
        <f t="shared" si="27"/>
        <v>0</v>
      </c>
      <c r="AF186" s="12">
        <f t="shared" si="27"/>
        <v>0</v>
      </c>
      <c r="AG186" s="12">
        <f t="shared" si="27"/>
        <v>91800</v>
      </c>
      <c r="AH186" s="12">
        <f t="shared" si="27"/>
        <v>78030</v>
      </c>
      <c r="AI186" s="12">
        <f t="shared" si="27"/>
        <v>13770</v>
      </c>
      <c r="AJ186" s="12">
        <f t="shared" si="27"/>
        <v>0</v>
      </c>
      <c r="AK186" s="12">
        <f t="shared" si="27"/>
        <v>0</v>
      </c>
      <c r="AL186" s="12">
        <f t="shared" si="27"/>
        <v>118800</v>
      </c>
      <c r="AM186" s="12">
        <f t="shared" si="27"/>
        <v>100980</v>
      </c>
      <c r="AN186" s="12">
        <f t="shared" si="27"/>
        <v>17820</v>
      </c>
      <c r="AO186" s="12">
        <f t="shared" si="27"/>
        <v>0</v>
      </c>
      <c r="AP186" s="12">
        <f t="shared" si="27"/>
        <v>54000</v>
      </c>
      <c r="AQ186" s="12">
        <f t="shared" si="27"/>
        <v>45900</v>
      </c>
      <c r="AR186" s="12">
        <f t="shared" si="27"/>
        <v>8100</v>
      </c>
      <c r="AS186" s="12">
        <f t="shared" si="27"/>
        <v>0</v>
      </c>
      <c r="AT186" s="12">
        <f t="shared" si="27"/>
        <v>0</v>
      </c>
      <c r="AU186" s="12">
        <f t="shared" si="27"/>
        <v>0</v>
      </c>
      <c r="AV186" s="12">
        <f t="shared" si="27"/>
        <v>0</v>
      </c>
      <c r="AW186" s="12">
        <f t="shared" si="27"/>
        <v>0</v>
      </c>
      <c r="AX186" s="12">
        <f t="shared" si="27"/>
        <v>0</v>
      </c>
      <c r="AY186" s="12">
        <f t="shared" si="27"/>
        <v>0</v>
      </c>
      <c r="AZ186" s="12">
        <f t="shared" si="27"/>
        <v>0</v>
      </c>
      <c r="BA186" s="12">
        <f t="shared" si="27"/>
        <v>0</v>
      </c>
    </row>
    <row r="187" spans="1:53" s="15" customFormat="1" ht="67.5">
      <c r="A187" s="75" t="s">
        <v>333</v>
      </c>
      <c r="B187" s="73" t="s">
        <v>135</v>
      </c>
      <c r="C187" s="68"/>
      <c r="D187" s="68">
        <v>2400</v>
      </c>
      <c r="E187" s="69"/>
      <c r="F187" s="69"/>
      <c r="G187" s="69"/>
      <c r="H187" s="69"/>
      <c r="I187" s="69"/>
      <c r="J187" s="69"/>
      <c r="K187" s="69"/>
      <c r="L187" s="69"/>
      <c r="M187" s="51"/>
      <c r="N187" s="111"/>
      <c r="O187" s="111"/>
      <c r="P187" s="111"/>
      <c r="Q187" s="79"/>
      <c r="R187" s="69">
        <v>2400</v>
      </c>
      <c r="S187" s="79"/>
      <c r="T187" s="79">
        <v>2400</v>
      </c>
      <c r="U187" s="69"/>
      <c r="V187" s="69"/>
      <c r="W187" s="69"/>
      <c r="X187" s="79"/>
      <c r="Y187" s="79"/>
      <c r="Z187" s="79"/>
      <c r="AA187" s="79"/>
      <c r="AB187" s="69"/>
      <c r="AC187" s="79"/>
      <c r="AD187" s="79"/>
      <c r="AE187" s="69"/>
      <c r="AF187" s="69"/>
      <c r="AG187" s="97"/>
      <c r="AH187" s="86"/>
      <c r="AI187" s="86"/>
      <c r="AJ187" s="86"/>
      <c r="AK187" s="86"/>
      <c r="AL187" s="97"/>
      <c r="AM187" s="86"/>
      <c r="AN187" s="86"/>
      <c r="AO187" s="97"/>
      <c r="AP187" s="97"/>
      <c r="AQ187" s="86"/>
      <c r="AR187" s="86"/>
      <c r="AS187" s="97"/>
      <c r="AT187" s="97"/>
      <c r="AU187" s="97"/>
      <c r="AV187" s="86"/>
      <c r="AW187" s="86"/>
      <c r="AX187" s="97"/>
      <c r="AY187" s="97"/>
      <c r="AZ187" s="97"/>
      <c r="BA187" s="97"/>
    </row>
    <row r="188" spans="1:53" s="15" customFormat="1" ht="67.5">
      <c r="A188" s="75" t="s">
        <v>334</v>
      </c>
      <c r="B188" s="73" t="s">
        <v>136</v>
      </c>
      <c r="C188" s="68"/>
      <c r="D188" s="68">
        <v>1590</v>
      </c>
      <c r="E188" s="69"/>
      <c r="F188" s="69"/>
      <c r="G188" s="69"/>
      <c r="H188" s="69"/>
      <c r="I188" s="69"/>
      <c r="J188" s="69"/>
      <c r="K188" s="69"/>
      <c r="L188" s="69"/>
      <c r="M188" s="51"/>
      <c r="N188" s="111"/>
      <c r="O188" s="111"/>
      <c r="P188" s="111"/>
      <c r="Q188" s="79" t="s">
        <v>138</v>
      </c>
      <c r="R188" s="69"/>
      <c r="S188" s="79"/>
      <c r="T188" s="79"/>
      <c r="U188" s="69"/>
      <c r="V188" s="69"/>
      <c r="W188" s="69">
        <v>1590</v>
      </c>
      <c r="X188" s="79"/>
      <c r="Y188" s="79">
        <v>1590</v>
      </c>
      <c r="Z188" s="79"/>
      <c r="AA188" s="79"/>
      <c r="AB188" s="69"/>
      <c r="AC188" s="79"/>
      <c r="AD188" s="79"/>
      <c r="AE188" s="69"/>
      <c r="AF188" s="69"/>
      <c r="AG188" s="97"/>
      <c r="AH188" s="86"/>
      <c r="AI188" s="86"/>
      <c r="AJ188" s="86"/>
      <c r="AK188" s="86"/>
      <c r="AL188" s="97"/>
      <c r="AM188" s="86"/>
      <c r="AN188" s="86"/>
      <c r="AO188" s="97"/>
      <c r="AP188" s="97"/>
      <c r="AQ188" s="86"/>
      <c r="AR188" s="86"/>
      <c r="AS188" s="97"/>
      <c r="AT188" s="97"/>
      <c r="AU188" s="97"/>
      <c r="AV188" s="86"/>
      <c r="AW188" s="86"/>
      <c r="AX188" s="97"/>
      <c r="AY188" s="97"/>
      <c r="AZ188" s="97"/>
      <c r="BA188" s="97"/>
    </row>
    <row r="189" spans="1:53" s="15" customFormat="1" ht="37.5" customHeight="1">
      <c r="A189" s="75" t="s">
        <v>335</v>
      </c>
      <c r="B189" s="73" t="s">
        <v>137</v>
      </c>
      <c r="C189" s="68"/>
      <c r="D189" s="68">
        <v>490</v>
      </c>
      <c r="E189" s="69"/>
      <c r="F189" s="69"/>
      <c r="G189" s="69"/>
      <c r="H189" s="69"/>
      <c r="I189" s="69"/>
      <c r="J189" s="69"/>
      <c r="K189" s="69"/>
      <c r="L189" s="69"/>
      <c r="M189" s="51"/>
      <c r="N189" s="111"/>
      <c r="O189" s="111"/>
      <c r="P189" s="111"/>
      <c r="Q189" s="79" t="s">
        <v>139</v>
      </c>
      <c r="R189" s="69"/>
      <c r="S189" s="79"/>
      <c r="T189" s="79"/>
      <c r="U189" s="69"/>
      <c r="V189" s="69"/>
      <c r="W189" s="69"/>
      <c r="X189" s="79"/>
      <c r="Y189" s="79"/>
      <c r="Z189" s="79"/>
      <c r="AA189" s="79"/>
      <c r="AB189" s="69"/>
      <c r="AC189" s="79"/>
      <c r="AD189" s="79"/>
      <c r="AE189" s="69"/>
      <c r="AF189" s="69"/>
      <c r="AG189" s="97"/>
      <c r="AH189" s="86"/>
      <c r="AI189" s="86"/>
      <c r="AJ189" s="86"/>
      <c r="AK189" s="86"/>
      <c r="AL189" s="97"/>
      <c r="AM189" s="86"/>
      <c r="AN189" s="86"/>
      <c r="AO189" s="97"/>
      <c r="AP189" s="97"/>
      <c r="AQ189" s="86"/>
      <c r="AR189" s="86"/>
      <c r="AS189" s="97"/>
      <c r="AT189" s="97"/>
      <c r="AU189" s="97"/>
      <c r="AV189" s="86"/>
      <c r="AW189" s="86"/>
      <c r="AX189" s="97"/>
      <c r="AY189" s="97"/>
      <c r="AZ189" s="97"/>
      <c r="BA189" s="97"/>
    </row>
    <row r="190" spans="1:53" s="15" customFormat="1" ht="22.5">
      <c r="A190" s="75" t="s">
        <v>336</v>
      </c>
      <c r="B190" s="73" t="s">
        <v>140</v>
      </c>
      <c r="C190" s="68"/>
      <c r="D190" s="68">
        <v>3000</v>
      </c>
      <c r="E190" s="69"/>
      <c r="F190" s="69"/>
      <c r="G190" s="69"/>
      <c r="H190" s="69"/>
      <c r="I190" s="69"/>
      <c r="J190" s="69"/>
      <c r="K190" s="69"/>
      <c r="L190" s="69"/>
      <c r="M190" s="51"/>
      <c r="N190" s="111"/>
      <c r="O190" s="111"/>
      <c r="P190" s="111"/>
      <c r="Q190" s="69"/>
      <c r="R190" s="69"/>
      <c r="S190" s="79"/>
      <c r="T190" s="79"/>
      <c r="U190" s="69"/>
      <c r="V190" s="69"/>
      <c r="W190" s="69"/>
      <c r="X190" s="79"/>
      <c r="Y190" s="79"/>
      <c r="Z190" s="79"/>
      <c r="AA190" s="79"/>
      <c r="AB190" s="69"/>
      <c r="AC190" s="79"/>
      <c r="AD190" s="79"/>
      <c r="AE190" s="69"/>
      <c r="AF190" s="69"/>
      <c r="AG190" s="97"/>
      <c r="AH190" s="86"/>
      <c r="AI190" s="86"/>
      <c r="AJ190" s="86"/>
      <c r="AK190" s="86"/>
      <c r="AL190" s="97"/>
      <c r="AM190" s="86"/>
      <c r="AN190" s="86"/>
      <c r="AO190" s="97"/>
      <c r="AP190" s="97"/>
      <c r="AQ190" s="86"/>
      <c r="AR190" s="86"/>
      <c r="AS190" s="97"/>
      <c r="AT190" s="97"/>
      <c r="AU190" s="97"/>
      <c r="AV190" s="86"/>
      <c r="AW190" s="86"/>
      <c r="AX190" s="97"/>
      <c r="AY190" s="97"/>
      <c r="AZ190" s="97"/>
      <c r="BA190" s="97"/>
    </row>
    <row r="191" spans="1:53" s="15" customFormat="1" ht="33.75">
      <c r="A191" s="75" t="s">
        <v>337</v>
      </c>
      <c r="B191" s="73" t="s">
        <v>141</v>
      </c>
      <c r="C191" s="68"/>
      <c r="D191" s="68">
        <v>2850</v>
      </c>
      <c r="E191" s="69"/>
      <c r="F191" s="69"/>
      <c r="G191" s="69"/>
      <c r="H191" s="69"/>
      <c r="I191" s="69"/>
      <c r="J191" s="69"/>
      <c r="K191" s="69"/>
      <c r="L191" s="69"/>
      <c r="M191" s="51"/>
      <c r="N191" s="111"/>
      <c r="O191" s="111"/>
      <c r="P191" s="111"/>
      <c r="Q191" s="69"/>
      <c r="R191" s="69"/>
      <c r="S191" s="79"/>
      <c r="T191" s="79"/>
      <c r="U191" s="69"/>
      <c r="V191" s="69"/>
      <c r="W191" s="69">
        <v>2850</v>
      </c>
      <c r="X191" s="79">
        <v>2850</v>
      </c>
      <c r="Y191" s="79"/>
      <c r="Z191" s="79"/>
      <c r="AA191" s="79"/>
      <c r="AB191" s="69"/>
      <c r="AC191" s="79"/>
      <c r="AD191" s="79"/>
      <c r="AE191" s="69"/>
      <c r="AF191" s="69"/>
      <c r="AG191" s="97"/>
      <c r="AH191" s="86"/>
      <c r="AI191" s="86"/>
      <c r="AJ191" s="86"/>
      <c r="AK191" s="86"/>
      <c r="AL191" s="97"/>
      <c r="AM191" s="86"/>
      <c r="AN191" s="86"/>
      <c r="AO191" s="97"/>
      <c r="AP191" s="97"/>
      <c r="AQ191" s="86"/>
      <c r="AR191" s="86"/>
      <c r="AS191" s="97"/>
      <c r="AT191" s="97"/>
      <c r="AU191" s="97"/>
      <c r="AV191" s="86"/>
      <c r="AW191" s="86"/>
      <c r="AX191" s="97"/>
      <c r="AY191" s="97"/>
      <c r="AZ191" s="97"/>
      <c r="BA191" s="97"/>
    </row>
    <row r="192" spans="1:53" s="15" customFormat="1" ht="78.75">
      <c r="A192" s="75" t="s">
        <v>338</v>
      </c>
      <c r="B192" s="73" t="s">
        <v>142</v>
      </c>
      <c r="C192" s="68"/>
      <c r="D192" s="68">
        <f>3078+852+2327+2116</f>
        <v>8373</v>
      </c>
      <c r="E192" s="69"/>
      <c r="F192" s="69"/>
      <c r="G192" s="69"/>
      <c r="H192" s="69"/>
      <c r="I192" s="69"/>
      <c r="J192" s="69"/>
      <c r="K192" s="69"/>
      <c r="L192" s="69"/>
      <c r="M192" s="51"/>
      <c r="N192" s="111"/>
      <c r="O192" s="111"/>
      <c r="P192" s="111"/>
      <c r="Q192" s="79" t="s">
        <v>143</v>
      </c>
      <c r="R192" s="69"/>
      <c r="S192" s="79"/>
      <c r="T192" s="79"/>
      <c r="U192" s="69"/>
      <c r="V192" s="69"/>
      <c r="W192" s="69">
        <v>8373</v>
      </c>
      <c r="X192" s="79">
        <v>8373</v>
      </c>
      <c r="Y192" s="79"/>
      <c r="Z192" s="79"/>
      <c r="AA192" s="79"/>
      <c r="AB192" s="69"/>
      <c r="AC192" s="79"/>
      <c r="AD192" s="79"/>
      <c r="AE192" s="69"/>
      <c r="AF192" s="69"/>
      <c r="AG192" s="97"/>
      <c r="AH192" s="86"/>
      <c r="AI192" s="86"/>
      <c r="AJ192" s="86"/>
      <c r="AK192" s="86"/>
      <c r="AL192" s="97"/>
      <c r="AM192" s="86"/>
      <c r="AN192" s="86"/>
      <c r="AO192" s="97"/>
      <c r="AP192" s="97"/>
      <c r="AQ192" s="86"/>
      <c r="AR192" s="86"/>
      <c r="AS192" s="97"/>
      <c r="AT192" s="97"/>
      <c r="AU192" s="97"/>
      <c r="AV192" s="86"/>
      <c r="AW192" s="86"/>
      <c r="AX192" s="97"/>
      <c r="AY192" s="97"/>
      <c r="AZ192" s="97"/>
      <c r="BA192" s="97"/>
    </row>
    <row r="193" spans="1:53" s="15" customFormat="1" ht="33.75">
      <c r="A193" s="75" t="s">
        <v>339</v>
      </c>
      <c r="B193" s="73" t="s">
        <v>144</v>
      </c>
      <c r="C193" s="68"/>
      <c r="D193" s="68">
        <v>2000</v>
      </c>
      <c r="E193" s="69"/>
      <c r="F193" s="69"/>
      <c r="G193" s="69"/>
      <c r="H193" s="69"/>
      <c r="I193" s="69"/>
      <c r="J193" s="69"/>
      <c r="K193" s="69"/>
      <c r="L193" s="69"/>
      <c r="M193" s="51"/>
      <c r="N193" s="111"/>
      <c r="O193" s="111"/>
      <c r="P193" s="111"/>
      <c r="Q193" s="69"/>
      <c r="R193" s="69"/>
      <c r="S193" s="79"/>
      <c r="T193" s="79"/>
      <c r="U193" s="69"/>
      <c r="V193" s="69"/>
      <c r="W193" s="69">
        <v>2000</v>
      </c>
      <c r="X193" s="79">
        <v>2000</v>
      </c>
      <c r="Y193" s="79"/>
      <c r="Z193" s="79"/>
      <c r="AA193" s="79"/>
      <c r="AB193" s="69"/>
      <c r="AC193" s="79"/>
      <c r="AD193" s="79"/>
      <c r="AE193" s="69"/>
      <c r="AF193" s="69"/>
      <c r="AG193" s="97"/>
      <c r="AH193" s="86"/>
      <c r="AI193" s="86"/>
      <c r="AJ193" s="86"/>
      <c r="AK193" s="86"/>
      <c r="AL193" s="97"/>
      <c r="AM193" s="86"/>
      <c r="AN193" s="86"/>
      <c r="AO193" s="97"/>
      <c r="AP193" s="97"/>
      <c r="AQ193" s="86"/>
      <c r="AR193" s="86"/>
      <c r="AS193" s="97"/>
      <c r="AT193" s="97"/>
      <c r="AU193" s="97"/>
      <c r="AV193" s="86"/>
      <c r="AW193" s="86"/>
      <c r="AX193" s="97"/>
      <c r="AY193" s="97"/>
      <c r="AZ193" s="97"/>
      <c r="BA193" s="97"/>
    </row>
    <row r="194" spans="1:53" s="15" customFormat="1" ht="45">
      <c r="A194" s="75" t="s">
        <v>340</v>
      </c>
      <c r="B194" s="73" t="s">
        <v>145</v>
      </c>
      <c r="C194" s="68"/>
      <c r="D194" s="68">
        <v>1000</v>
      </c>
      <c r="E194" s="69"/>
      <c r="F194" s="69"/>
      <c r="G194" s="69"/>
      <c r="H194" s="69"/>
      <c r="I194" s="69"/>
      <c r="J194" s="69"/>
      <c r="K194" s="69"/>
      <c r="L194" s="69"/>
      <c r="M194" s="51"/>
      <c r="N194" s="111"/>
      <c r="O194" s="111"/>
      <c r="P194" s="111"/>
      <c r="Q194" s="69"/>
      <c r="R194" s="69"/>
      <c r="S194" s="79"/>
      <c r="T194" s="79"/>
      <c r="U194" s="69"/>
      <c r="V194" s="69"/>
      <c r="W194" s="69">
        <v>1000</v>
      </c>
      <c r="X194" s="79">
        <v>1000</v>
      </c>
      <c r="Y194" s="79"/>
      <c r="Z194" s="79"/>
      <c r="AA194" s="79"/>
      <c r="AB194" s="69"/>
      <c r="AC194" s="79"/>
      <c r="AD194" s="79"/>
      <c r="AE194" s="69"/>
      <c r="AF194" s="69"/>
      <c r="AG194" s="97"/>
      <c r="AH194" s="86"/>
      <c r="AI194" s="86"/>
      <c r="AJ194" s="86"/>
      <c r="AK194" s="86"/>
      <c r="AL194" s="97"/>
      <c r="AM194" s="86"/>
      <c r="AN194" s="86"/>
      <c r="AO194" s="97"/>
      <c r="AP194" s="97"/>
      <c r="AQ194" s="86"/>
      <c r="AR194" s="86"/>
      <c r="AS194" s="97"/>
      <c r="AT194" s="97"/>
      <c r="AU194" s="97"/>
      <c r="AV194" s="86"/>
      <c r="AW194" s="86"/>
      <c r="AX194" s="97"/>
      <c r="AY194" s="97"/>
      <c r="AZ194" s="97"/>
      <c r="BA194" s="97"/>
    </row>
    <row r="195" spans="1:53" s="15" customFormat="1" ht="22.5">
      <c r="A195" s="75" t="s">
        <v>401</v>
      </c>
      <c r="B195" s="73" t="s">
        <v>402</v>
      </c>
      <c r="C195" s="68" t="s">
        <v>403</v>
      </c>
      <c r="D195" s="69">
        <f>95000*1.08</f>
        <v>102600</v>
      </c>
      <c r="E195" s="69"/>
      <c r="F195" s="69"/>
      <c r="G195" s="69"/>
      <c r="H195" s="69"/>
      <c r="I195" s="69"/>
      <c r="J195" s="69"/>
      <c r="K195" s="69"/>
      <c r="L195" s="69"/>
      <c r="M195" s="51"/>
      <c r="N195" s="111"/>
      <c r="O195" s="111"/>
      <c r="P195" s="111"/>
      <c r="Q195" s="69"/>
      <c r="R195" s="69"/>
      <c r="S195" s="69"/>
      <c r="T195" s="69"/>
      <c r="U195" s="69"/>
      <c r="V195" s="69"/>
      <c r="W195" s="69"/>
      <c r="X195" s="79"/>
      <c r="Y195" s="79"/>
      <c r="Z195" s="79"/>
      <c r="AA195" s="79"/>
      <c r="AB195" s="69">
        <f>AC195+AD195</f>
        <v>5400</v>
      </c>
      <c r="AC195" s="79">
        <f>4250*1.08</f>
        <v>4590</v>
      </c>
      <c r="AD195" s="79">
        <f>750*1.08</f>
        <v>810</v>
      </c>
      <c r="AE195" s="79"/>
      <c r="AF195" s="79"/>
      <c r="AG195" s="69">
        <f>AH195+AI195</f>
        <v>86400</v>
      </c>
      <c r="AH195" s="79">
        <f>68000*1.08</f>
        <v>73440</v>
      </c>
      <c r="AI195" s="79">
        <f>12000*1.08</f>
        <v>12960</v>
      </c>
      <c r="AJ195" s="69"/>
      <c r="AK195" s="69"/>
      <c r="AL195" s="69">
        <f>AM195+AN195</f>
        <v>10800</v>
      </c>
      <c r="AM195" s="86">
        <f>8500*1.08</f>
        <v>9180</v>
      </c>
      <c r="AN195" s="86">
        <f>1500*1.08</f>
        <v>1620</v>
      </c>
      <c r="AO195" s="97"/>
      <c r="AP195" s="97"/>
      <c r="AQ195" s="86"/>
      <c r="AR195" s="86"/>
      <c r="AS195" s="97"/>
      <c r="AT195" s="97"/>
      <c r="AU195" s="97"/>
      <c r="AV195" s="86"/>
      <c r="AW195" s="86"/>
      <c r="AX195" s="97"/>
      <c r="AY195" s="97"/>
      <c r="AZ195" s="97"/>
      <c r="BA195" s="97"/>
    </row>
    <row r="196" spans="1:53" s="15" customFormat="1" ht="56.25">
      <c r="A196" s="75" t="s">
        <v>404</v>
      </c>
      <c r="B196" s="73" t="s">
        <v>406</v>
      </c>
      <c r="C196" s="68" t="s">
        <v>405</v>
      </c>
      <c r="D196" s="69">
        <f>155000*1.08</f>
        <v>167400</v>
      </c>
      <c r="E196" s="69"/>
      <c r="F196" s="69"/>
      <c r="G196" s="69"/>
      <c r="H196" s="69"/>
      <c r="I196" s="69"/>
      <c r="J196" s="69"/>
      <c r="K196" s="69"/>
      <c r="L196" s="69"/>
      <c r="M196" s="51"/>
      <c r="N196" s="111"/>
      <c r="O196" s="111"/>
      <c r="P196" s="111"/>
      <c r="Q196" s="69"/>
      <c r="R196" s="69"/>
      <c r="S196" s="69"/>
      <c r="T196" s="69"/>
      <c r="U196" s="69"/>
      <c r="V196" s="69"/>
      <c r="W196" s="69"/>
      <c r="X196" s="79"/>
      <c r="Y196" s="79"/>
      <c r="Z196" s="79"/>
      <c r="AA196" s="79"/>
      <c r="AB196" s="69"/>
      <c r="AC196" s="79"/>
      <c r="AD196" s="79"/>
      <c r="AE196" s="69"/>
      <c r="AF196" s="69"/>
      <c r="AG196" s="69">
        <f>AH196+AI196</f>
        <v>5400</v>
      </c>
      <c r="AH196" s="79">
        <f>4250*1.08</f>
        <v>4590</v>
      </c>
      <c r="AI196" s="79">
        <f>750*1.08</f>
        <v>810</v>
      </c>
      <c r="AJ196" s="86"/>
      <c r="AK196" s="86"/>
      <c r="AL196" s="69">
        <f>AM196+AN196</f>
        <v>108000</v>
      </c>
      <c r="AM196" s="86">
        <f>85000*1.08</f>
        <v>91800</v>
      </c>
      <c r="AN196" s="86">
        <f>15000*1.08</f>
        <v>16200</v>
      </c>
      <c r="AO196" s="97"/>
      <c r="AP196" s="69">
        <f>AQ196+AR196</f>
        <v>54000</v>
      </c>
      <c r="AQ196" s="86">
        <f>42500*1.08</f>
        <v>45900</v>
      </c>
      <c r="AR196" s="86">
        <f>7500*1.08</f>
        <v>8100</v>
      </c>
      <c r="AS196" s="97"/>
      <c r="AT196" s="97"/>
      <c r="AU196" s="97"/>
      <c r="AV196" s="86"/>
      <c r="AW196" s="86"/>
      <c r="AX196" s="97"/>
      <c r="AY196" s="97"/>
      <c r="AZ196" s="97"/>
      <c r="BA196" s="97"/>
    </row>
    <row r="197" spans="1:53" s="15" customFormat="1" ht="71.25" customHeight="1">
      <c r="A197" s="47" t="s">
        <v>341</v>
      </c>
      <c r="B197" s="11" t="s">
        <v>149</v>
      </c>
      <c r="C197" s="11"/>
      <c r="D197" s="12">
        <f>D198+D202+D206+D212+D212+D213+D214</f>
        <v>1019681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35"/>
      <c r="P197" s="35"/>
      <c r="Q197" s="12">
        <f aca="true" t="shared" si="28" ref="Q197:BA197">Q198+Q202+Q206+Q212+Q212+Q213+Q214</f>
        <v>0</v>
      </c>
      <c r="R197" s="12">
        <f t="shared" si="28"/>
        <v>145080</v>
      </c>
      <c r="S197" s="12">
        <f t="shared" si="28"/>
        <v>0</v>
      </c>
      <c r="T197" s="12">
        <f t="shared" si="28"/>
        <v>0</v>
      </c>
      <c r="U197" s="12">
        <f t="shared" si="28"/>
        <v>0</v>
      </c>
      <c r="V197" s="12">
        <f t="shared" si="28"/>
        <v>0</v>
      </c>
      <c r="W197" s="12">
        <f t="shared" si="28"/>
        <v>107520</v>
      </c>
      <c r="X197" s="12">
        <f t="shared" si="28"/>
        <v>20000</v>
      </c>
      <c r="Y197" s="12">
        <f t="shared" si="28"/>
        <v>0</v>
      </c>
      <c r="Z197" s="12">
        <f t="shared" si="28"/>
        <v>0</v>
      </c>
      <c r="AA197" s="12">
        <f t="shared" si="28"/>
        <v>0</v>
      </c>
      <c r="AB197" s="12">
        <f>AB198+AB202+AB206+AB212+AB212+AB213+AB214</f>
        <v>141390</v>
      </c>
      <c r="AC197" s="12">
        <f t="shared" si="28"/>
        <v>0</v>
      </c>
      <c r="AD197" s="12">
        <f t="shared" si="28"/>
        <v>0</v>
      </c>
      <c r="AE197" s="12">
        <f t="shared" si="28"/>
        <v>0</v>
      </c>
      <c r="AF197" s="12">
        <f t="shared" si="28"/>
        <v>0</v>
      </c>
      <c r="AG197" s="12">
        <f t="shared" si="28"/>
        <v>189250</v>
      </c>
      <c r="AH197" s="12">
        <f t="shared" si="28"/>
        <v>0</v>
      </c>
      <c r="AI197" s="12">
        <f t="shared" si="28"/>
        <v>0</v>
      </c>
      <c r="AJ197" s="12">
        <f t="shared" si="28"/>
        <v>0</v>
      </c>
      <c r="AK197" s="12">
        <f t="shared" si="28"/>
        <v>0</v>
      </c>
      <c r="AL197" s="12">
        <f t="shared" si="28"/>
        <v>191590</v>
      </c>
      <c r="AM197" s="12">
        <f t="shared" si="28"/>
        <v>0</v>
      </c>
      <c r="AN197" s="12">
        <f t="shared" si="28"/>
        <v>0</v>
      </c>
      <c r="AO197" s="12">
        <f t="shared" si="28"/>
        <v>0</v>
      </c>
      <c r="AP197" s="12">
        <f t="shared" si="28"/>
        <v>173666</v>
      </c>
      <c r="AQ197" s="12">
        <f t="shared" si="28"/>
        <v>0</v>
      </c>
      <c r="AR197" s="12">
        <f t="shared" si="28"/>
        <v>0</v>
      </c>
      <c r="AS197" s="12">
        <f t="shared" si="28"/>
        <v>0</v>
      </c>
      <c r="AT197" s="12">
        <f t="shared" si="28"/>
        <v>124605</v>
      </c>
      <c r="AU197" s="12">
        <f t="shared" si="28"/>
        <v>0</v>
      </c>
      <c r="AV197" s="12">
        <f t="shared" si="28"/>
        <v>0</v>
      </c>
      <c r="AW197" s="12">
        <f t="shared" si="28"/>
        <v>0</v>
      </c>
      <c r="AX197" s="12">
        <f t="shared" si="28"/>
        <v>120080</v>
      </c>
      <c r="AY197" s="12">
        <f t="shared" si="28"/>
        <v>0</v>
      </c>
      <c r="AZ197" s="12">
        <f t="shared" si="28"/>
        <v>0</v>
      </c>
      <c r="BA197" s="12">
        <f t="shared" si="28"/>
        <v>0</v>
      </c>
    </row>
    <row r="198" spans="1:53" s="15" customFormat="1" ht="33.75">
      <c r="A198" s="44" t="s">
        <v>342</v>
      </c>
      <c r="B198" s="73" t="s">
        <v>150</v>
      </c>
      <c r="C198" s="68"/>
      <c r="D198" s="69">
        <f>R198+W198+AB198+AG198</f>
        <v>196500</v>
      </c>
      <c r="E198" s="69"/>
      <c r="F198" s="69"/>
      <c r="G198" s="69"/>
      <c r="H198" s="69"/>
      <c r="I198" s="69"/>
      <c r="J198" s="69"/>
      <c r="K198" s="69"/>
      <c r="L198" s="69"/>
      <c r="M198" s="51"/>
      <c r="N198" s="111"/>
      <c r="O198" s="111"/>
      <c r="P198" s="111"/>
      <c r="Q198" s="69">
        <f>Q200+Q201</f>
        <v>0</v>
      </c>
      <c r="R198" s="69">
        <f>R200+R201</f>
        <v>45000</v>
      </c>
      <c r="S198" s="69">
        <f aca="true" t="shared" si="29" ref="S198:AH198">S200+S201</f>
        <v>0</v>
      </c>
      <c r="T198" s="79">
        <f t="shared" si="29"/>
        <v>0</v>
      </c>
      <c r="U198" s="79">
        <f t="shared" si="29"/>
        <v>0</v>
      </c>
      <c r="V198" s="69">
        <f t="shared" si="29"/>
        <v>0</v>
      </c>
      <c r="W198" s="69">
        <f t="shared" si="29"/>
        <v>79500</v>
      </c>
      <c r="X198" s="69">
        <f t="shared" si="29"/>
        <v>0</v>
      </c>
      <c r="Y198" s="69">
        <f t="shared" si="29"/>
        <v>0</v>
      </c>
      <c r="Z198" s="69">
        <f t="shared" si="29"/>
        <v>0</v>
      </c>
      <c r="AA198" s="69">
        <f t="shared" si="29"/>
        <v>0</v>
      </c>
      <c r="AB198" s="69">
        <f t="shared" si="29"/>
        <v>72000</v>
      </c>
      <c r="AC198" s="69">
        <f t="shared" si="29"/>
        <v>0</v>
      </c>
      <c r="AD198" s="79">
        <f t="shared" si="29"/>
        <v>0</v>
      </c>
      <c r="AE198" s="79">
        <f t="shared" si="29"/>
        <v>0</v>
      </c>
      <c r="AF198" s="79">
        <f t="shared" si="29"/>
        <v>0</v>
      </c>
      <c r="AG198" s="79"/>
      <c r="AH198" s="69">
        <f t="shared" si="29"/>
        <v>0</v>
      </c>
      <c r="AI198" s="86"/>
      <c r="AJ198" s="86"/>
      <c r="AK198" s="86"/>
      <c r="AL198" s="97"/>
      <c r="AM198" s="86"/>
      <c r="AN198" s="86"/>
      <c r="AO198" s="97"/>
      <c r="AP198" s="97"/>
      <c r="AQ198" s="86"/>
      <c r="AR198" s="86"/>
      <c r="AS198" s="97"/>
      <c r="AT198" s="97"/>
      <c r="AU198" s="97"/>
      <c r="AV198" s="86"/>
      <c r="AW198" s="86"/>
      <c r="AX198" s="97"/>
      <c r="AY198" s="97"/>
      <c r="AZ198" s="97"/>
      <c r="BA198" s="97"/>
    </row>
    <row r="199" spans="1:53" s="15" customFormat="1" ht="11.25" hidden="1">
      <c r="A199" s="44"/>
      <c r="B199" s="73" t="s">
        <v>66</v>
      </c>
      <c r="C199" s="68"/>
      <c r="D199" s="69"/>
      <c r="E199" s="69"/>
      <c r="F199" s="69"/>
      <c r="G199" s="69"/>
      <c r="H199" s="69"/>
      <c r="I199" s="69"/>
      <c r="J199" s="69"/>
      <c r="K199" s="69"/>
      <c r="L199" s="69"/>
      <c r="M199" s="51"/>
      <c r="N199" s="111"/>
      <c r="O199" s="111"/>
      <c r="P199" s="111"/>
      <c r="Q199" s="69"/>
      <c r="R199" s="69"/>
      <c r="S199" s="69"/>
      <c r="T199" s="69"/>
      <c r="U199" s="69"/>
      <c r="V199" s="69"/>
      <c r="W199" s="69"/>
      <c r="X199" s="79"/>
      <c r="Y199" s="79"/>
      <c r="Z199" s="79"/>
      <c r="AA199" s="79"/>
      <c r="AB199" s="69"/>
      <c r="AC199" s="79"/>
      <c r="AD199" s="79"/>
      <c r="AE199" s="69"/>
      <c r="AF199" s="69"/>
      <c r="AG199" s="97"/>
      <c r="AH199" s="86"/>
      <c r="AI199" s="86"/>
      <c r="AJ199" s="86"/>
      <c r="AK199" s="86"/>
      <c r="AL199" s="97"/>
      <c r="AM199" s="86"/>
      <c r="AN199" s="86"/>
      <c r="AO199" s="97"/>
      <c r="AP199" s="97"/>
      <c r="AQ199" s="86"/>
      <c r="AR199" s="86"/>
      <c r="AS199" s="97"/>
      <c r="AT199" s="97"/>
      <c r="AU199" s="97"/>
      <c r="AV199" s="86"/>
      <c r="AW199" s="86"/>
      <c r="AX199" s="97"/>
      <c r="AY199" s="97"/>
      <c r="AZ199" s="97"/>
      <c r="BA199" s="97"/>
    </row>
    <row r="200" spans="1:53" s="15" customFormat="1" ht="33.75" hidden="1">
      <c r="A200" s="44"/>
      <c r="B200" s="98" t="s">
        <v>151</v>
      </c>
      <c r="C200" s="68"/>
      <c r="D200" s="69"/>
      <c r="E200" s="69"/>
      <c r="F200" s="69"/>
      <c r="G200" s="69"/>
      <c r="H200" s="69"/>
      <c r="I200" s="69"/>
      <c r="J200" s="69"/>
      <c r="K200" s="69"/>
      <c r="L200" s="69"/>
      <c r="M200" s="51"/>
      <c r="N200" s="111"/>
      <c r="O200" s="111"/>
      <c r="P200" s="111"/>
      <c r="Q200" s="99"/>
      <c r="R200" s="99">
        <v>45000</v>
      </c>
      <c r="S200" s="99"/>
      <c r="T200" s="99"/>
      <c r="U200" s="99"/>
      <c r="V200" s="99"/>
      <c r="W200" s="99">
        <v>59500</v>
      </c>
      <c r="X200" s="99"/>
      <c r="Y200" s="99"/>
      <c r="Z200" s="99"/>
      <c r="AA200" s="99"/>
      <c r="AB200" s="99">
        <v>52000</v>
      </c>
      <c r="AC200" s="79"/>
      <c r="AD200" s="79"/>
      <c r="AE200" s="69"/>
      <c r="AF200" s="69"/>
      <c r="AG200" s="97"/>
      <c r="AH200" s="86"/>
      <c r="AI200" s="86"/>
      <c r="AJ200" s="86"/>
      <c r="AK200" s="86"/>
      <c r="AL200" s="97"/>
      <c r="AM200" s="86"/>
      <c r="AN200" s="86"/>
      <c r="AO200" s="97"/>
      <c r="AP200" s="97"/>
      <c r="AQ200" s="86"/>
      <c r="AR200" s="86"/>
      <c r="AS200" s="97"/>
      <c r="AT200" s="97"/>
      <c r="AU200" s="97"/>
      <c r="AV200" s="86"/>
      <c r="AW200" s="86"/>
      <c r="AX200" s="97"/>
      <c r="AY200" s="97"/>
      <c r="AZ200" s="97"/>
      <c r="BA200" s="97"/>
    </row>
    <row r="201" spans="1:53" s="15" customFormat="1" ht="22.5" hidden="1">
      <c r="A201" s="44"/>
      <c r="B201" s="98" t="s">
        <v>152</v>
      </c>
      <c r="C201" s="68"/>
      <c r="D201" s="69"/>
      <c r="E201" s="69"/>
      <c r="F201" s="69"/>
      <c r="G201" s="69"/>
      <c r="H201" s="69"/>
      <c r="I201" s="69"/>
      <c r="J201" s="69"/>
      <c r="K201" s="69"/>
      <c r="L201" s="69"/>
      <c r="M201" s="51"/>
      <c r="N201" s="111"/>
      <c r="O201" s="111"/>
      <c r="P201" s="111"/>
      <c r="Q201" s="99"/>
      <c r="R201" s="99"/>
      <c r="S201" s="99"/>
      <c r="T201" s="99"/>
      <c r="U201" s="99"/>
      <c r="V201" s="99"/>
      <c r="W201" s="99">
        <v>20000</v>
      </c>
      <c r="X201" s="99"/>
      <c r="Y201" s="99"/>
      <c r="Z201" s="99"/>
      <c r="AA201" s="99"/>
      <c r="AB201" s="99">
        <v>20000</v>
      </c>
      <c r="AC201" s="79"/>
      <c r="AD201" s="79"/>
      <c r="AE201" s="69"/>
      <c r="AF201" s="69"/>
      <c r="AG201" s="97"/>
      <c r="AH201" s="86"/>
      <c r="AI201" s="86"/>
      <c r="AJ201" s="86"/>
      <c r="AK201" s="86"/>
      <c r="AL201" s="97"/>
      <c r="AM201" s="86"/>
      <c r="AN201" s="86"/>
      <c r="AO201" s="97"/>
      <c r="AP201" s="97"/>
      <c r="AQ201" s="86"/>
      <c r="AR201" s="86"/>
      <c r="AS201" s="97"/>
      <c r="AT201" s="97"/>
      <c r="AU201" s="97"/>
      <c r="AV201" s="86"/>
      <c r="AW201" s="86"/>
      <c r="AX201" s="97"/>
      <c r="AY201" s="97"/>
      <c r="AZ201" s="97"/>
      <c r="BA201" s="97"/>
    </row>
    <row r="202" spans="1:53" s="15" customFormat="1" ht="59.25" customHeight="1">
      <c r="A202" s="44" t="s">
        <v>343</v>
      </c>
      <c r="B202" s="73" t="s">
        <v>153</v>
      </c>
      <c r="C202" s="68"/>
      <c r="D202" s="69">
        <f>R202+X202</f>
        <v>52600</v>
      </c>
      <c r="E202" s="69"/>
      <c r="F202" s="69"/>
      <c r="G202" s="69"/>
      <c r="H202" s="69"/>
      <c r="I202" s="69"/>
      <c r="J202" s="69"/>
      <c r="K202" s="69"/>
      <c r="L202" s="69"/>
      <c r="M202" s="51"/>
      <c r="N202" s="111"/>
      <c r="O202" s="111"/>
      <c r="P202" s="111"/>
      <c r="Q202" s="69"/>
      <c r="R202" s="69">
        <v>32600</v>
      </c>
      <c r="S202" s="69"/>
      <c r="T202" s="79"/>
      <c r="U202" s="79"/>
      <c r="V202" s="69"/>
      <c r="W202" s="69"/>
      <c r="X202" s="69">
        <v>20000</v>
      </c>
      <c r="Y202" s="79"/>
      <c r="Z202" s="79"/>
      <c r="AA202" s="79"/>
      <c r="AB202" s="69"/>
      <c r="AC202" s="79"/>
      <c r="AD202" s="79"/>
      <c r="AE202" s="69"/>
      <c r="AF202" s="69"/>
      <c r="AG202" s="97"/>
      <c r="AH202" s="86"/>
      <c r="AI202" s="86"/>
      <c r="AJ202" s="86"/>
      <c r="AK202" s="86"/>
      <c r="AL202" s="97"/>
      <c r="AM202" s="86"/>
      <c r="AN202" s="86"/>
      <c r="AO202" s="97"/>
      <c r="AP202" s="97"/>
      <c r="AQ202" s="86"/>
      <c r="AR202" s="86"/>
      <c r="AS202" s="97"/>
      <c r="AT202" s="97">
        <v>29000</v>
      </c>
      <c r="AU202" s="97"/>
      <c r="AV202" s="86"/>
      <c r="AW202" s="86"/>
      <c r="AX202" s="97">
        <v>29000</v>
      </c>
      <c r="AY202" s="97"/>
      <c r="AZ202" s="97"/>
      <c r="BA202" s="97"/>
    </row>
    <row r="203" spans="1:53" s="15" customFormat="1" ht="11.25" hidden="1">
      <c r="A203" s="44" t="s">
        <v>344</v>
      </c>
      <c r="B203" s="73" t="s">
        <v>66</v>
      </c>
      <c r="C203" s="68"/>
      <c r="D203" s="69"/>
      <c r="E203" s="69"/>
      <c r="F203" s="69"/>
      <c r="G203" s="69"/>
      <c r="H203" s="69"/>
      <c r="I203" s="69"/>
      <c r="J203" s="69"/>
      <c r="K203" s="69"/>
      <c r="L203" s="69"/>
      <c r="M203" s="51"/>
      <c r="N203" s="111"/>
      <c r="O203" s="111"/>
      <c r="P203" s="111"/>
      <c r="Q203" s="69"/>
      <c r="R203" s="69"/>
      <c r="S203" s="69"/>
      <c r="T203" s="69"/>
      <c r="U203" s="69"/>
      <c r="V203" s="69"/>
      <c r="W203" s="69"/>
      <c r="X203" s="79"/>
      <c r="Y203" s="79"/>
      <c r="Z203" s="79"/>
      <c r="AA203" s="79"/>
      <c r="AB203" s="69"/>
      <c r="AC203" s="79"/>
      <c r="AD203" s="79"/>
      <c r="AE203" s="69"/>
      <c r="AF203" s="69"/>
      <c r="AG203" s="97"/>
      <c r="AH203" s="86"/>
      <c r="AI203" s="86"/>
      <c r="AJ203" s="86"/>
      <c r="AK203" s="86"/>
      <c r="AL203" s="97"/>
      <c r="AM203" s="86"/>
      <c r="AN203" s="86"/>
      <c r="AO203" s="97"/>
      <c r="AP203" s="97"/>
      <c r="AQ203" s="86"/>
      <c r="AR203" s="86"/>
      <c r="AS203" s="97"/>
      <c r="AT203" s="97"/>
      <c r="AU203" s="97"/>
      <c r="AV203" s="86"/>
      <c r="AW203" s="86"/>
      <c r="AX203" s="97"/>
      <c r="AY203" s="97"/>
      <c r="AZ203" s="97"/>
      <c r="BA203" s="97"/>
    </row>
    <row r="204" spans="1:53" s="15" customFormat="1" ht="90" hidden="1">
      <c r="A204" s="44"/>
      <c r="B204" s="98" t="s">
        <v>154</v>
      </c>
      <c r="C204" s="68"/>
      <c r="D204" s="69"/>
      <c r="E204" s="69"/>
      <c r="F204" s="69"/>
      <c r="G204" s="69"/>
      <c r="H204" s="69"/>
      <c r="I204" s="69"/>
      <c r="J204" s="69"/>
      <c r="K204" s="69"/>
      <c r="L204" s="69"/>
      <c r="M204" s="51"/>
      <c r="N204" s="111"/>
      <c r="O204" s="111"/>
      <c r="P204" s="111"/>
      <c r="Q204" s="69"/>
      <c r="R204" s="69"/>
      <c r="S204" s="69"/>
      <c r="T204" s="69"/>
      <c r="U204" s="69"/>
      <c r="V204" s="69"/>
      <c r="W204" s="69"/>
      <c r="X204" s="79"/>
      <c r="Y204" s="79"/>
      <c r="Z204" s="79"/>
      <c r="AA204" s="79"/>
      <c r="AB204" s="69"/>
      <c r="AC204" s="79"/>
      <c r="AD204" s="79"/>
      <c r="AE204" s="69"/>
      <c r="AF204" s="69"/>
      <c r="AG204" s="97"/>
      <c r="AH204" s="86"/>
      <c r="AI204" s="86"/>
      <c r="AJ204" s="86"/>
      <c r="AK204" s="86"/>
      <c r="AL204" s="97"/>
      <c r="AM204" s="86"/>
      <c r="AN204" s="86"/>
      <c r="AO204" s="97"/>
      <c r="AP204" s="97"/>
      <c r="AQ204" s="86"/>
      <c r="AR204" s="86"/>
      <c r="AS204" s="97"/>
      <c r="AT204" s="97">
        <v>29000</v>
      </c>
      <c r="AU204" s="97"/>
      <c r="AV204" s="86"/>
      <c r="AW204" s="86"/>
      <c r="AX204" s="97">
        <v>29000</v>
      </c>
      <c r="AY204" s="97"/>
      <c r="AZ204" s="97"/>
      <c r="BA204" s="97"/>
    </row>
    <row r="205" spans="1:53" s="15" customFormat="1" ht="90" hidden="1">
      <c r="A205" s="44"/>
      <c r="B205" s="98" t="s">
        <v>155</v>
      </c>
      <c r="C205" s="68"/>
      <c r="D205" s="69"/>
      <c r="E205" s="69"/>
      <c r="F205" s="69"/>
      <c r="G205" s="69"/>
      <c r="H205" s="69"/>
      <c r="I205" s="69"/>
      <c r="J205" s="69"/>
      <c r="K205" s="69"/>
      <c r="L205" s="69"/>
      <c r="M205" s="51"/>
      <c r="N205" s="111"/>
      <c r="O205" s="111"/>
      <c r="P205" s="111"/>
      <c r="Q205" s="69"/>
      <c r="R205" s="69">
        <v>20000</v>
      </c>
      <c r="S205" s="69"/>
      <c r="T205" s="69"/>
      <c r="U205" s="69"/>
      <c r="V205" s="69"/>
      <c r="W205" s="69"/>
      <c r="X205" s="79"/>
      <c r="Y205" s="79"/>
      <c r="Z205" s="79"/>
      <c r="AA205" s="79"/>
      <c r="AB205" s="69"/>
      <c r="AC205" s="79"/>
      <c r="AD205" s="79"/>
      <c r="AE205" s="69"/>
      <c r="AF205" s="69"/>
      <c r="AG205" s="97"/>
      <c r="AH205" s="86"/>
      <c r="AI205" s="86"/>
      <c r="AJ205" s="86"/>
      <c r="AK205" s="86"/>
      <c r="AL205" s="97"/>
      <c r="AM205" s="86"/>
      <c r="AN205" s="86"/>
      <c r="AO205" s="97"/>
      <c r="AP205" s="97"/>
      <c r="AQ205" s="86"/>
      <c r="AR205" s="86"/>
      <c r="AS205" s="97"/>
      <c r="AT205" s="97"/>
      <c r="AU205" s="97"/>
      <c r="AV205" s="86"/>
      <c r="AW205" s="86"/>
      <c r="AX205" s="97"/>
      <c r="AY205" s="97"/>
      <c r="AZ205" s="97"/>
      <c r="BA205" s="97"/>
    </row>
    <row r="206" spans="1:53" s="15" customFormat="1" ht="180">
      <c r="A206" s="44" t="s">
        <v>344</v>
      </c>
      <c r="B206" s="73" t="s">
        <v>304</v>
      </c>
      <c r="C206" s="68"/>
      <c r="D206" s="69">
        <f>R206+W206+AB206+AG206+AL206+AP206+AT206+AX206</f>
        <v>550581</v>
      </c>
      <c r="E206" s="69"/>
      <c r="F206" s="69"/>
      <c r="G206" s="69"/>
      <c r="H206" s="69"/>
      <c r="I206" s="69"/>
      <c r="J206" s="69"/>
      <c r="K206" s="69"/>
      <c r="L206" s="69"/>
      <c r="M206" s="51"/>
      <c r="N206" s="111"/>
      <c r="O206" s="111"/>
      <c r="P206" s="111"/>
      <c r="Q206" s="69"/>
      <c r="R206" s="69">
        <f aca="true" t="shared" si="30" ref="R206:BA206">SUM(R208:R211)</f>
        <v>21980</v>
      </c>
      <c r="S206" s="69">
        <f t="shared" si="30"/>
        <v>0</v>
      </c>
      <c r="T206" s="69">
        <f t="shared" si="30"/>
        <v>0</v>
      </c>
      <c r="U206" s="69">
        <f t="shared" si="30"/>
        <v>0</v>
      </c>
      <c r="V206" s="69">
        <f t="shared" si="30"/>
        <v>0</v>
      </c>
      <c r="W206" s="69">
        <f t="shared" si="30"/>
        <v>22020</v>
      </c>
      <c r="X206" s="69">
        <f t="shared" si="30"/>
        <v>0</v>
      </c>
      <c r="Y206" s="69">
        <f t="shared" si="30"/>
        <v>0</v>
      </c>
      <c r="Z206" s="69">
        <f t="shared" si="30"/>
        <v>0</v>
      </c>
      <c r="AA206" s="69">
        <f t="shared" si="30"/>
        <v>0</v>
      </c>
      <c r="AB206" s="69">
        <f t="shared" si="30"/>
        <v>19390</v>
      </c>
      <c r="AC206" s="69">
        <f t="shared" si="30"/>
        <v>0</v>
      </c>
      <c r="AD206" s="69">
        <f t="shared" si="30"/>
        <v>0</v>
      </c>
      <c r="AE206" s="69">
        <f t="shared" si="30"/>
        <v>0</v>
      </c>
      <c r="AF206" s="69">
        <f t="shared" si="30"/>
        <v>0</v>
      </c>
      <c r="AG206" s="69">
        <f t="shared" si="30"/>
        <v>84250</v>
      </c>
      <c r="AH206" s="69">
        <f t="shared" si="30"/>
        <v>0</v>
      </c>
      <c r="AI206" s="69">
        <f t="shared" si="30"/>
        <v>0</v>
      </c>
      <c r="AJ206" s="69">
        <f t="shared" si="30"/>
        <v>0</v>
      </c>
      <c r="AK206" s="69"/>
      <c r="AL206" s="69">
        <f t="shared" si="30"/>
        <v>126590</v>
      </c>
      <c r="AM206" s="69">
        <f t="shared" si="30"/>
        <v>0</v>
      </c>
      <c r="AN206" s="69">
        <f t="shared" si="30"/>
        <v>0</v>
      </c>
      <c r="AO206" s="69">
        <f t="shared" si="30"/>
        <v>0</v>
      </c>
      <c r="AP206" s="69">
        <f t="shared" si="30"/>
        <v>108666</v>
      </c>
      <c r="AQ206" s="69">
        <f t="shared" si="30"/>
        <v>0</v>
      </c>
      <c r="AR206" s="69">
        <f t="shared" si="30"/>
        <v>0</v>
      </c>
      <c r="AS206" s="69">
        <f t="shared" si="30"/>
        <v>0</v>
      </c>
      <c r="AT206" s="69">
        <f t="shared" si="30"/>
        <v>95605</v>
      </c>
      <c r="AU206" s="69">
        <f t="shared" si="30"/>
        <v>0</v>
      </c>
      <c r="AV206" s="69">
        <f t="shared" si="30"/>
        <v>0</v>
      </c>
      <c r="AW206" s="69">
        <f t="shared" si="30"/>
        <v>0</v>
      </c>
      <c r="AX206" s="69">
        <f t="shared" si="30"/>
        <v>72080</v>
      </c>
      <c r="AY206" s="69">
        <f t="shared" si="30"/>
        <v>0</v>
      </c>
      <c r="AZ206" s="69">
        <f t="shared" si="30"/>
        <v>0</v>
      </c>
      <c r="BA206" s="69">
        <f t="shared" si="30"/>
        <v>0</v>
      </c>
    </row>
    <row r="207" spans="1:53" s="15" customFormat="1" ht="11.25">
      <c r="A207" s="44" t="s">
        <v>345</v>
      </c>
      <c r="B207" s="73" t="s">
        <v>66</v>
      </c>
      <c r="C207" s="68"/>
      <c r="D207" s="69"/>
      <c r="E207" s="69"/>
      <c r="F207" s="69"/>
      <c r="G207" s="69"/>
      <c r="H207" s="69"/>
      <c r="I207" s="69"/>
      <c r="J207" s="69"/>
      <c r="K207" s="69"/>
      <c r="L207" s="69"/>
      <c r="M207" s="51"/>
      <c r="N207" s="111"/>
      <c r="O207" s="111"/>
      <c r="P207" s="111"/>
      <c r="Q207" s="69"/>
      <c r="R207" s="69"/>
      <c r="S207" s="69"/>
      <c r="T207" s="69"/>
      <c r="U207" s="69"/>
      <c r="V207" s="69"/>
      <c r="W207" s="69"/>
      <c r="X207" s="79"/>
      <c r="Y207" s="79"/>
      <c r="Z207" s="79"/>
      <c r="AA207" s="79"/>
      <c r="AB207" s="69"/>
      <c r="AC207" s="79"/>
      <c r="AD207" s="79"/>
      <c r="AE207" s="69"/>
      <c r="AF207" s="69"/>
      <c r="AG207" s="97"/>
      <c r="AH207" s="86"/>
      <c r="AI207" s="86"/>
      <c r="AJ207" s="86"/>
      <c r="AK207" s="86"/>
      <c r="AL207" s="97"/>
      <c r="AM207" s="86"/>
      <c r="AN207" s="86"/>
      <c r="AO207" s="97"/>
      <c r="AP207" s="97"/>
      <c r="AQ207" s="86"/>
      <c r="AR207" s="86"/>
      <c r="AS207" s="97"/>
      <c r="AT207" s="97"/>
      <c r="AU207" s="97"/>
      <c r="AV207" s="86"/>
      <c r="AW207" s="86"/>
      <c r="AX207" s="97"/>
      <c r="AY207" s="97"/>
      <c r="AZ207" s="97"/>
      <c r="BA207" s="97"/>
    </row>
    <row r="208" spans="1:53" s="15" customFormat="1" ht="78.75">
      <c r="A208" s="44" t="s">
        <v>346</v>
      </c>
      <c r="B208" s="98" t="s">
        <v>156</v>
      </c>
      <c r="C208" s="68"/>
      <c r="D208" s="69"/>
      <c r="E208" s="69"/>
      <c r="F208" s="69"/>
      <c r="G208" s="69"/>
      <c r="H208" s="69"/>
      <c r="I208" s="69"/>
      <c r="J208" s="69"/>
      <c r="K208" s="69"/>
      <c r="L208" s="69"/>
      <c r="M208" s="51"/>
      <c r="N208" s="111"/>
      <c r="O208" s="111"/>
      <c r="P208" s="111"/>
      <c r="Q208" s="69"/>
      <c r="R208" s="69">
        <v>13400</v>
      </c>
      <c r="S208" s="69"/>
      <c r="T208" s="69"/>
      <c r="U208" s="69"/>
      <c r="V208" s="69"/>
      <c r="W208" s="69">
        <v>14470</v>
      </c>
      <c r="X208" s="79"/>
      <c r="Y208" s="79"/>
      <c r="Z208" s="79"/>
      <c r="AA208" s="79"/>
      <c r="AB208" s="69">
        <v>10600</v>
      </c>
      <c r="AC208" s="79"/>
      <c r="AD208" s="79"/>
      <c r="AE208" s="69"/>
      <c r="AF208" s="69"/>
      <c r="AG208" s="97">
        <v>49410</v>
      </c>
      <c r="AH208" s="86"/>
      <c r="AI208" s="86"/>
      <c r="AJ208" s="86"/>
      <c r="AK208" s="86"/>
      <c r="AL208" s="97">
        <v>62100</v>
      </c>
      <c r="AM208" s="86"/>
      <c r="AN208" s="86"/>
      <c r="AO208" s="97"/>
      <c r="AP208" s="97">
        <v>72350</v>
      </c>
      <c r="AQ208" s="86"/>
      <c r="AR208" s="86"/>
      <c r="AS208" s="97"/>
      <c r="AT208" s="97">
        <v>39750</v>
      </c>
      <c r="AU208" s="97"/>
      <c r="AV208" s="86"/>
      <c r="AW208" s="86"/>
      <c r="AX208" s="97">
        <v>29780</v>
      </c>
      <c r="AY208" s="97"/>
      <c r="AZ208" s="97"/>
      <c r="BA208" s="97"/>
    </row>
    <row r="209" spans="1:53" s="15" customFormat="1" ht="112.5">
      <c r="A209" s="44"/>
      <c r="B209" s="98" t="s">
        <v>187</v>
      </c>
      <c r="C209" s="68"/>
      <c r="D209" s="69"/>
      <c r="E209" s="69"/>
      <c r="F209" s="69"/>
      <c r="G209" s="69"/>
      <c r="H209" s="69"/>
      <c r="I209" s="69"/>
      <c r="J209" s="69"/>
      <c r="K209" s="69"/>
      <c r="L209" s="69"/>
      <c r="M209" s="51"/>
      <c r="N209" s="111"/>
      <c r="O209" s="111"/>
      <c r="P209" s="111"/>
      <c r="Q209" s="69"/>
      <c r="R209" s="69"/>
      <c r="S209" s="69"/>
      <c r="T209" s="69"/>
      <c r="U209" s="69"/>
      <c r="V209" s="69"/>
      <c r="W209" s="69"/>
      <c r="X209" s="79"/>
      <c r="Y209" s="79"/>
      <c r="Z209" s="79"/>
      <c r="AA209" s="79"/>
      <c r="AB209" s="69"/>
      <c r="AC209" s="79"/>
      <c r="AD209" s="79"/>
      <c r="AE209" s="69"/>
      <c r="AF209" s="69"/>
      <c r="AG209" s="97">
        <v>5900</v>
      </c>
      <c r="AH209" s="86"/>
      <c r="AI209" s="86"/>
      <c r="AJ209" s="86"/>
      <c r="AK209" s="86"/>
      <c r="AL209" s="97"/>
      <c r="AM209" s="86"/>
      <c r="AN209" s="86"/>
      <c r="AO209" s="97"/>
      <c r="AP209" s="97"/>
      <c r="AQ209" s="86"/>
      <c r="AR209" s="86"/>
      <c r="AS209" s="97"/>
      <c r="AT209" s="97"/>
      <c r="AU209" s="97"/>
      <c r="AV209" s="86"/>
      <c r="AW209" s="86"/>
      <c r="AX209" s="97"/>
      <c r="AY209" s="97"/>
      <c r="AZ209" s="97"/>
      <c r="BA209" s="97"/>
    </row>
    <row r="210" spans="1:53" s="15" customFormat="1" ht="33.75">
      <c r="A210" s="44"/>
      <c r="B210" s="98" t="s">
        <v>188</v>
      </c>
      <c r="C210" s="68"/>
      <c r="D210" s="69"/>
      <c r="E210" s="69"/>
      <c r="F210" s="69"/>
      <c r="G210" s="69"/>
      <c r="H210" s="69"/>
      <c r="I210" s="69"/>
      <c r="J210" s="69"/>
      <c r="K210" s="69"/>
      <c r="L210" s="69"/>
      <c r="M210" s="51"/>
      <c r="N210" s="111"/>
      <c r="O210" s="111"/>
      <c r="P210" s="111"/>
      <c r="Q210" s="69"/>
      <c r="R210" s="69"/>
      <c r="S210" s="69"/>
      <c r="T210" s="69"/>
      <c r="U210" s="69"/>
      <c r="V210" s="69"/>
      <c r="W210" s="69"/>
      <c r="X210" s="79"/>
      <c r="Y210" s="79"/>
      <c r="Z210" s="79"/>
      <c r="AA210" s="79"/>
      <c r="AB210" s="69"/>
      <c r="AC210" s="79"/>
      <c r="AD210" s="79"/>
      <c r="AE210" s="69"/>
      <c r="AF210" s="69"/>
      <c r="AG210" s="97">
        <v>15000</v>
      </c>
      <c r="AH210" s="86"/>
      <c r="AI210" s="86"/>
      <c r="AJ210" s="86"/>
      <c r="AK210" s="86"/>
      <c r="AL210" s="97">
        <v>8000</v>
      </c>
      <c r="AM210" s="86"/>
      <c r="AN210" s="86"/>
      <c r="AO210" s="97"/>
      <c r="AP210" s="97"/>
      <c r="AQ210" s="86"/>
      <c r="AR210" s="86"/>
      <c r="AS210" s="97"/>
      <c r="AT210" s="97"/>
      <c r="AU210" s="97"/>
      <c r="AV210" s="86"/>
      <c r="AW210" s="86"/>
      <c r="AX210" s="97"/>
      <c r="AY210" s="97"/>
      <c r="AZ210" s="97"/>
      <c r="BA210" s="97"/>
    </row>
    <row r="211" spans="1:53" s="15" customFormat="1" ht="45">
      <c r="A211" s="44"/>
      <c r="B211" s="98" t="s">
        <v>189</v>
      </c>
      <c r="C211" s="68"/>
      <c r="D211" s="69"/>
      <c r="E211" s="69"/>
      <c r="F211" s="69"/>
      <c r="G211" s="69"/>
      <c r="H211" s="69"/>
      <c r="I211" s="69"/>
      <c r="J211" s="69"/>
      <c r="K211" s="69"/>
      <c r="L211" s="69"/>
      <c r="M211" s="51"/>
      <c r="N211" s="111"/>
      <c r="O211" s="111"/>
      <c r="P211" s="111"/>
      <c r="Q211" s="69"/>
      <c r="R211" s="69">
        <v>8580</v>
      </c>
      <c r="S211" s="69"/>
      <c r="T211" s="69"/>
      <c r="U211" s="69"/>
      <c r="V211" s="69"/>
      <c r="W211" s="69">
        <v>7550</v>
      </c>
      <c r="X211" s="79"/>
      <c r="Y211" s="79"/>
      <c r="Z211" s="79"/>
      <c r="AA211" s="79"/>
      <c r="AB211" s="69">
        <v>8790</v>
      </c>
      <c r="AC211" s="79"/>
      <c r="AD211" s="79"/>
      <c r="AE211" s="69"/>
      <c r="AF211" s="69"/>
      <c r="AG211" s="97">
        <v>13940</v>
      </c>
      <c r="AH211" s="86"/>
      <c r="AI211" s="86"/>
      <c r="AJ211" s="86"/>
      <c r="AK211" s="86"/>
      <c r="AL211" s="97">
        <v>56490</v>
      </c>
      <c r="AM211" s="86"/>
      <c r="AN211" s="86"/>
      <c r="AO211" s="97"/>
      <c r="AP211" s="97">
        <v>36316</v>
      </c>
      <c r="AQ211" s="86"/>
      <c r="AR211" s="86"/>
      <c r="AS211" s="97"/>
      <c r="AT211" s="97">
        <v>55855</v>
      </c>
      <c r="AU211" s="97"/>
      <c r="AV211" s="86"/>
      <c r="AW211" s="86"/>
      <c r="AX211" s="97">
        <v>42300</v>
      </c>
      <c r="AY211" s="97"/>
      <c r="AZ211" s="97"/>
      <c r="BA211" s="97"/>
    </row>
    <row r="212" spans="1:53" s="15" customFormat="1" ht="72" customHeight="1">
      <c r="A212" s="44" t="s">
        <v>345</v>
      </c>
      <c r="B212" s="73" t="s">
        <v>305</v>
      </c>
      <c r="C212" s="68">
        <f>32500+27500+9500</f>
        <v>69500</v>
      </c>
      <c r="D212" s="69">
        <v>110000</v>
      </c>
      <c r="E212" s="69"/>
      <c r="F212" s="69"/>
      <c r="G212" s="69"/>
      <c r="H212" s="69"/>
      <c r="I212" s="69"/>
      <c r="J212" s="69"/>
      <c r="K212" s="69"/>
      <c r="L212" s="69"/>
      <c r="M212" s="51"/>
      <c r="N212" s="111"/>
      <c r="O212" s="111"/>
      <c r="P212" s="111"/>
      <c r="Q212" s="69"/>
      <c r="R212" s="69">
        <v>20000</v>
      </c>
      <c r="S212" s="69"/>
      <c r="T212" s="69"/>
      <c r="U212" s="69"/>
      <c r="V212" s="69"/>
      <c r="W212" s="69"/>
      <c r="X212" s="79"/>
      <c r="Y212" s="79"/>
      <c r="Z212" s="79"/>
      <c r="AA212" s="79"/>
      <c r="AB212" s="69">
        <v>25000</v>
      </c>
      <c r="AC212" s="79"/>
      <c r="AD212" s="79"/>
      <c r="AE212" s="69"/>
      <c r="AF212" s="69"/>
      <c r="AG212" s="97">
        <v>52500</v>
      </c>
      <c r="AH212" s="86"/>
      <c r="AI212" s="86"/>
      <c r="AJ212" s="86"/>
      <c r="AK212" s="86"/>
      <c r="AL212" s="97">
        <v>32500</v>
      </c>
      <c r="AM212" s="86"/>
      <c r="AN212" s="86"/>
      <c r="AO212" s="97"/>
      <c r="AP212" s="97">
        <v>32500</v>
      </c>
      <c r="AQ212" s="86"/>
      <c r="AR212" s="86"/>
      <c r="AS212" s="97"/>
      <c r="AT212" s="97"/>
      <c r="AU212" s="97"/>
      <c r="AV212" s="86"/>
      <c r="AW212" s="86"/>
      <c r="AX212" s="97">
        <v>9500</v>
      </c>
      <c r="AY212" s="97"/>
      <c r="AZ212" s="97"/>
      <c r="BA212" s="97"/>
    </row>
    <row r="213" spans="1:53" s="15" customFormat="1" ht="78.75">
      <c r="A213" s="44" t="s">
        <v>346</v>
      </c>
      <c r="B213" s="73" t="s">
        <v>157</v>
      </c>
      <c r="C213" s="68"/>
      <c r="D213" s="69"/>
      <c r="E213" s="69"/>
      <c r="F213" s="69"/>
      <c r="G213" s="69"/>
      <c r="H213" s="69"/>
      <c r="I213" s="69"/>
      <c r="J213" s="69"/>
      <c r="K213" s="69"/>
      <c r="L213" s="69"/>
      <c r="M213" s="51"/>
      <c r="N213" s="111"/>
      <c r="O213" s="111"/>
      <c r="P213" s="111"/>
      <c r="Q213" s="69"/>
      <c r="R213" s="69">
        <v>1500</v>
      </c>
      <c r="S213" s="69"/>
      <c r="T213" s="69"/>
      <c r="U213" s="69"/>
      <c r="V213" s="69"/>
      <c r="W213" s="69"/>
      <c r="X213" s="79"/>
      <c r="Y213" s="79"/>
      <c r="Z213" s="79"/>
      <c r="AA213" s="79"/>
      <c r="AB213" s="69"/>
      <c r="AC213" s="79"/>
      <c r="AD213" s="79"/>
      <c r="AE213" s="69"/>
      <c r="AF213" s="69"/>
      <c r="AG213" s="97"/>
      <c r="AH213" s="86"/>
      <c r="AI213" s="86"/>
      <c r="AJ213" s="86"/>
      <c r="AK213" s="86"/>
      <c r="AL213" s="97"/>
      <c r="AM213" s="86"/>
      <c r="AN213" s="86"/>
      <c r="AO213" s="97"/>
      <c r="AP213" s="97"/>
      <c r="AQ213" s="86"/>
      <c r="AR213" s="86"/>
      <c r="AS213" s="97"/>
      <c r="AT213" s="97"/>
      <c r="AU213" s="97"/>
      <c r="AV213" s="86"/>
      <c r="AW213" s="86"/>
      <c r="AX213" s="97"/>
      <c r="AY213" s="97"/>
      <c r="AZ213" s="97"/>
      <c r="BA213" s="97"/>
    </row>
    <row r="214" spans="1:53" s="15" customFormat="1" ht="45">
      <c r="A214" s="44" t="s">
        <v>347</v>
      </c>
      <c r="B214" s="73" t="s">
        <v>190</v>
      </c>
      <c r="C214" s="68">
        <v>10000</v>
      </c>
      <c r="D214" s="69"/>
      <c r="E214" s="69"/>
      <c r="F214" s="69"/>
      <c r="G214" s="69"/>
      <c r="H214" s="69"/>
      <c r="I214" s="69"/>
      <c r="J214" s="69"/>
      <c r="K214" s="69"/>
      <c r="L214" s="69"/>
      <c r="M214" s="51"/>
      <c r="N214" s="111"/>
      <c r="O214" s="111"/>
      <c r="P214" s="111"/>
      <c r="Q214" s="69"/>
      <c r="R214" s="69">
        <v>4000</v>
      </c>
      <c r="S214" s="69"/>
      <c r="T214" s="79"/>
      <c r="U214" s="79"/>
      <c r="V214" s="69"/>
      <c r="W214" s="69">
        <v>6000</v>
      </c>
      <c r="X214" s="69"/>
      <c r="Y214" s="69"/>
      <c r="Z214" s="79"/>
      <c r="AA214" s="79"/>
      <c r="AB214" s="69"/>
      <c r="AC214" s="79"/>
      <c r="AD214" s="79"/>
      <c r="AE214" s="69"/>
      <c r="AF214" s="69"/>
      <c r="AG214" s="97"/>
      <c r="AH214" s="86"/>
      <c r="AI214" s="86"/>
      <c r="AJ214" s="86"/>
      <c r="AK214" s="86"/>
      <c r="AL214" s="97"/>
      <c r="AM214" s="86"/>
      <c r="AN214" s="86"/>
      <c r="AO214" s="97"/>
      <c r="AP214" s="97"/>
      <c r="AQ214" s="86"/>
      <c r="AR214" s="86"/>
      <c r="AS214" s="97"/>
      <c r="AT214" s="97"/>
      <c r="AU214" s="97"/>
      <c r="AV214" s="86"/>
      <c r="AW214" s="86"/>
      <c r="AX214" s="97"/>
      <c r="AY214" s="97"/>
      <c r="AZ214" s="97"/>
      <c r="BA214" s="97"/>
    </row>
    <row r="215" spans="1:53" s="15" customFormat="1" ht="202.5">
      <c r="A215" s="131" t="s">
        <v>348</v>
      </c>
      <c r="B215" s="11" t="s">
        <v>400</v>
      </c>
      <c r="C215" s="11"/>
      <c r="D215" s="12">
        <f>SUM(D216:D234)</f>
        <v>12856</v>
      </c>
      <c r="E215" s="12" t="e">
        <f>E218+E219+E220+E221+E222+E223+E224+E225+E226+E227+E228+E229+E230+E231+E232+E233+E234+#REF!</f>
        <v>#REF!</v>
      </c>
      <c r="F215" s="12" t="e">
        <f>F218+F219+F220+F221+F222+F223+F224+F225+F226+F227+F228+F229+F230+F231+F232+F233+F234+#REF!</f>
        <v>#REF!</v>
      </c>
      <c r="G215" s="12" t="e">
        <f>G218+G219+G220+G221+G222+G223+G224+G225+G226+G227+G228+G229+G230+G231+G232+G233+G234+#REF!</f>
        <v>#REF!</v>
      </c>
      <c r="H215" s="12" t="e">
        <f>H218+H219+H220+H221+H222+H223+H224+H225+H226+H227+H228+H229+H230+H231+H232+H233+H234+#REF!</f>
        <v>#REF!</v>
      </c>
      <c r="I215" s="12" t="e">
        <f>I218+I219+I220+I221+I222+I223+I224+I225+I226+I227+I228+I229+I230+I231+I232+I233+I234+#REF!</f>
        <v>#REF!</v>
      </c>
      <c r="J215" s="12" t="e">
        <f>J218+J219+J220+J221+J222+J223+J224+J225+J226+J227+J228+J229+J230+J231+J232+J233+J234+#REF!</f>
        <v>#REF!</v>
      </c>
      <c r="K215" s="12" t="e">
        <f>K218+K219+K220+K221+K222+K223+K224+K225+K226+K227+K228+K229+K230+K231+K232+K233+K234+#REF!</f>
        <v>#REF!</v>
      </c>
      <c r="L215" s="12" t="e">
        <f>L218+L219+L220+L221+L222+L223+L224+L225+L226+L227+L228+L229+L230+L231+L232+L233+L234+#REF!</f>
        <v>#REF!</v>
      </c>
      <c r="M215" s="12" t="e">
        <f>M218+M219+M220+M221+M222+M223+M224+M225+M226+M227+M228+M229+M230+M231+M232+M233+M234+#REF!</f>
        <v>#REF!</v>
      </c>
      <c r="N215" s="35" t="e">
        <f>N218+N219+N220+N221+N222+N223+N224+N225+N226+N227+N228+N229+N230+N231+N232+N233+N234+#REF!</f>
        <v>#REF!</v>
      </c>
      <c r="O215" s="35" t="e">
        <f>O218+O219+O220+O221+O222+O223+O224+O225+O226+O227+O228+O229+O230+O231+O232+O233+O234+#REF!</f>
        <v>#REF!</v>
      </c>
      <c r="P215" s="35" t="e">
        <f>P218+P219+P220+P221+P222+P223+P224+P225+P226+P227+P228+P229+P230+P231+P232+P233+P234+#REF!</f>
        <v>#REF!</v>
      </c>
      <c r="Q215" s="12">
        <f aca="true" t="shared" si="31" ref="Q215:BA215">SUM(Q216:Q234)</f>
        <v>0</v>
      </c>
      <c r="R215" s="12">
        <f t="shared" si="31"/>
        <v>764</v>
      </c>
      <c r="S215" s="12">
        <f t="shared" si="31"/>
        <v>0</v>
      </c>
      <c r="T215" s="12">
        <f t="shared" si="31"/>
        <v>764</v>
      </c>
      <c r="U215" s="12">
        <f t="shared" si="31"/>
        <v>0</v>
      </c>
      <c r="V215" s="12">
        <f t="shared" si="31"/>
        <v>0</v>
      </c>
      <c r="W215" s="12">
        <f t="shared" si="31"/>
        <v>0</v>
      </c>
      <c r="X215" s="12">
        <f t="shared" si="31"/>
        <v>0</v>
      </c>
      <c r="Y215" s="12">
        <f t="shared" si="31"/>
        <v>0</v>
      </c>
      <c r="Z215" s="12">
        <f t="shared" si="31"/>
        <v>0</v>
      </c>
      <c r="AA215" s="12">
        <f t="shared" si="31"/>
        <v>0</v>
      </c>
      <c r="AB215" s="12">
        <f t="shared" si="31"/>
        <v>0</v>
      </c>
      <c r="AC215" s="12">
        <f t="shared" si="31"/>
        <v>0</v>
      </c>
      <c r="AD215" s="12">
        <f t="shared" si="31"/>
        <v>0</v>
      </c>
      <c r="AE215" s="12">
        <f t="shared" si="31"/>
        <v>0</v>
      </c>
      <c r="AF215" s="12">
        <f t="shared" si="31"/>
        <v>0</v>
      </c>
      <c r="AG215" s="12">
        <f t="shared" si="31"/>
        <v>0</v>
      </c>
      <c r="AH215" s="12">
        <f t="shared" si="31"/>
        <v>0</v>
      </c>
      <c r="AI215" s="12">
        <f t="shared" si="31"/>
        <v>0</v>
      </c>
      <c r="AJ215" s="12">
        <f t="shared" si="31"/>
        <v>0</v>
      </c>
      <c r="AK215" s="12"/>
      <c r="AL215" s="12">
        <f t="shared" si="31"/>
        <v>0</v>
      </c>
      <c r="AM215" s="12">
        <f t="shared" si="31"/>
        <v>0</v>
      </c>
      <c r="AN215" s="12">
        <f t="shared" si="31"/>
        <v>0</v>
      </c>
      <c r="AO215" s="12">
        <f t="shared" si="31"/>
        <v>0</v>
      </c>
      <c r="AP215" s="12">
        <f t="shared" si="31"/>
        <v>0</v>
      </c>
      <c r="AQ215" s="12">
        <f t="shared" si="31"/>
        <v>0</v>
      </c>
      <c r="AR215" s="12">
        <f t="shared" si="31"/>
        <v>0</v>
      </c>
      <c r="AS215" s="12">
        <f t="shared" si="31"/>
        <v>0</v>
      </c>
      <c r="AT215" s="12">
        <f t="shared" si="31"/>
        <v>0</v>
      </c>
      <c r="AU215" s="12">
        <f t="shared" si="31"/>
        <v>0</v>
      </c>
      <c r="AV215" s="12">
        <f t="shared" si="31"/>
        <v>0</v>
      </c>
      <c r="AW215" s="12">
        <f t="shared" si="31"/>
        <v>0</v>
      </c>
      <c r="AX215" s="12">
        <f t="shared" si="31"/>
        <v>0</v>
      </c>
      <c r="AY215" s="12">
        <f t="shared" si="31"/>
        <v>0</v>
      </c>
      <c r="AZ215" s="12">
        <f t="shared" si="31"/>
        <v>0</v>
      </c>
      <c r="BA215" s="12">
        <f t="shared" si="31"/>
        <v>0</v>
      </c>
    </row>
    <row r="216" spans="1:53" s="15" customFormat="1" ht="77.25" customHeight="1">
      <c r="A216" s="75" t="s">
        <v>349</v>
      </c>
      <c r="B216" s="139" t="s">
        <v>225</v>
      </c>
      <c r="C216" s="36"/>
      <c r="D216" s="37">
        <f>264+96</f>
        <v>360</v>
      </c>
      <c r="E216" s="12"/>
      <c r="F216" s="12"/>
      <c r="G216" s="12"/>
      <c r="H216" s="12"/>
      <c r="I216" s="12"/>
      <c r="J216" s="12"/>
      <c r="K216" s="12"/>
      <c r="L216" s="12"/>
      <c r="M216" s="51"/>
      <c r="N216" s="111"/>
      <c r="O216" s="111"/>
      <c r="P216" s="111"/>
      <c r="Q216" s="37"/>
      <c r="R216" s="37">
        <f>T216</f>
        <v>264</v>
      </c>
      <c r="S216" s="37"/>
      <c r="T216" s="37">
        <v>264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</row>
    <row r="217" spans="1:53" s="15" customFormat="1" ht="90.75" customHeight="1">
      <c r="A217" s="75" t="s">
        <v>350</v>
      </c>
      <c r="B217" s="139" t="s">
        <v>226</v>
      </c>
      <c r="C217" s="36"/>
      <c r="D217" s="37">
        <v>500</v>
      </c>
      <c r="E217" s="12"/>
      <c r="F217" s="12"/>
      <c r="G217" s="12"/>
      <c r="H217" s="12"/>
      <c r="I217" s="12"/>
      <c r="J217" s="12"/>
      <c r="K217" s="12"/>
      <c r="L217" s="12"/>
      <c r="M217" s="51"/>
      <c r="N217" s="111"/>
      <c r="O217" s="111"/>
      <c r="P217" s="111"/>
      <c r="Q217" s="37"/>
      <c r="R217" s="37">
        <f>T217</f>
        <v>500</v>
      </c>
      <c r="S217" s="37"/>
      <c r="T217" s="37">
        <v>500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</row>
    <row r="218" spans="1:53" s="15" customFormat="1" ht="56.25">
      <c r="A218" s="75" t="s">
        <v>351</v>
      </c>
      <c r="B218" s="156" t="s">
        <v>31</v>
      </c>
      <c r="C218" s="36"/>
      <c r="D218" s="37">
        <v>2000</v>
      </c>
      <c r="E218" s="37"/>
      <c r="F218" s="13">
        <f>D218-E218</f>
        <v>2000</v>
      </c>
      <c r="G218" s="14"/>
      <c r="H218" s="19"/>
      <c r="I218" s="19"/>
      <c r="J218" s="19"/>
      <c r="K218" s="14"/>
      <c r="L218" s="14"/>
      <c r="M218" s="109">
        <f aca="true" t="shared" si="32" ref="M218:M234">N218+O218+P218</f>
        <v>0</v>
      </c>
      <c r="N218" s="110"/>
      <c r="O218" s="110"/>
      <c r="P218" s="110"/>
      <c r="Q218" s="18"/>
      <c r="R218" s="20"/>
      <c r="S218" s="21"/>
      <c r="T218" s="21"/>
      <c r="U218" s="21"/>
      <c r="V218" s="21"/>
      <c r="W218" s="20"/>
      <c r="X218" s="21"/>
      <c r="Y218" s="21"/>
      <c r="Z218" s="21"/>
      <c r="AA218" s="21"/>
      <c r="AB218" s="20"/>
      <c r="AC218" s="21"/>
      <c r="AD218" s="21"/>
      <c r="AE218" s="21"/>
      <c r="AF218" s="21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</row>
    <row r="219" spans="1:53" s="15" customFormat="1" ht="67.5">
      <c r="A219" s="75" t="s">
        <v>352</v>
      </c>
      <c r="B219" s="156" t="s">
        <v>47</v>
      </c>
      <c r="C219" s="36"/>
      <c r="D219" s="37">
        <v>500</v>
      </c>
      <c r="E219" s="37"/>
      <c r="F219" s="13">
        <f>D219-E219</f>
        <v>500</v>
      </c>
      <c r="G219" s="14"/>
      <c r="H219" s="19"/>
      <c r="I219" s="19"/>
      <c r="J219" s="19"/>
      <c r="K219" s="14"/>
      <c r="L219" s="14"/>
      <c r="M219" s="109">
        <f t="shared" si="32"/>
        <v>0</v>
      </c>
      <c r="N219" s="110"/>
      <c r="O219" s="110"/>
      <c r="P219" s="110"/>
      <c r="Q219" s="18"/>
      <c r="R219" s="20"/>
      <c r="S219" s="21"/>
      <c r="T219" s="21"/>
      <c r="U219" s="21"/>
      <c r="V219" s="21"/>
      <c r="W219" s="20"/>
      <c r="X219" s="21"/>
      <c r="Y219" s="21"/>
      <c r="Z219" s="21"/>
      <c r="AA219" s="21"/>
      <c r="AB219" s="20"/>
      <c r="AC219" s="21"/>
      <c r="AD219" s="21"/>
      <c r="AE219" s="21"/>
      <c r="AF219" s="21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</row>
    <row r="220" spans="1:53" s="15" customFormat="1" ht="56.25">
      <c r="A220" s="75" t="s">
        <v>353</v>
      </c>
      <c r="B220" s="156" t="s">
        <v>32</v>
      </c>
      <c r="C220" s="36"/>
      <c r="D220" s="37">
        <v>800</v>
      </c>
      <c r="E220" s="37"/>
      <c r="F220" s="13">
        <v>800</v>
      </c>
      <c r="G220" s="14"/>
      <c r="H220" s="19"/>
      <c r="I220" s="19"/>
      <c r="J220" s="19"/>
      <c r="K220" s="14"/>
      <c r="L220" s="14"/>
      <c r="M220" s="109">
        <f t="shared" si="32"/>
        <v>0</v>
      </c>
      <c r="N220" s="110"/>
      <c r="O220" s="110"/>
      <c r="P220" s="110"/>
      <c r="Q220" s="18"/>
      <c r="R220" s="20"/>
      <c r="S220" s="21"/>
      <c r="T220" s="21"/>
      <c r="U220" s="21"/>
      <c r="V220" s="21"/>
      <c r="W220" s="20"/>
      <c r="X220" s="21"/>
      <c r="Y220" s="21"/>
      <c r="Z220" s="21"/>
      <c r="AA220" s="21"/>
      <c r="AB220" s="20"/>
      <c r="AC220" s="21"/>
      <c r="AD220" s="21"/>
      <c r="AE220" s="21"/>
      <c r="AF220" s="21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</row>
    <row r="221" spans="1:53" s="15" customFormat="1" ht="33.75">
      <c r="A221" s="75" t="s">
        <v>354</v>
      </c>
      <c r="B221" s="156" t="s">
        <v>33</v>
      </c>
      <c r="C221" s="36"/>
      <c r="D221" s="37">
        <v>200</v>
      </c>
      <c r="E221" s="37"/>
      <c r="F221" s="13">
        <f aca="true" t="shared" si="33" ref="F221:F234">D221-E221</f>
        <v>200</v>
      </c>
      <c r="G221" s="14"/>
      <c r="H221" s="19"/>
      <c r="I221" s="19"/>
      <c r="J221" s="19"/>
      <c r="K221" s="14"/>
      <c r="L221" s="14"/>
      <c r="M221" s="109">
        <f t="shared" si="32"/>
        <v>0</v>
      </c>
      <c r="N221" s="110"/>
      <c r="O221" s="110"/>
      <c r="P221" s="110"/>
      <c r="Q221" s="18"/>
      <c r="R221" s="20"/>
      <c r="S221" s="21"/>
      <c r="T221" s="21"/>
      <c r="U221" s="21"/>
      <c r="V221" s="21"/>
      <c r="W221" s="20"/>
      <c r="X221" s="21"/>
      <c r="Y221" s="21"/>
      <c r="Z221" s="21"/>
      <c r="AA221" s="21"/>
      <c r="AB221" s="20"/>
      <c r="AC221" s="21"/>
      <c r="AD221" s="21"/>
      <c r="AE221" s="21"/>
      <c r="AF221" s="21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</row>
    <row r="222" spans="1:53" s="15" customFormat="1" ht="33.75">
      <c r="A222" s="75" t="s">
        <v>355</v>
      </c>
      <c r="B222" s="156" t="s">
        <v>34</v>
      </c>
      <c r="C222" s="36"/>
      <c r="D222" s="37">
        <v>300</v>
      </c>
      <c r="E222" s="37"/>
      <c r="F222" s="13">
        <f t="shared" si="33"/>
        <v>300</v>
      </c>
      <c r="G222" s="14"/>
      <c r="H222" s="19"/>
      <c r="I222" s="19"/>
      <c r="J222" s="19"/>
      <c r="K222" s="14"/>
      <c r="L222" s="14"/>
      <c r="M222" s="109">
        <f t="shared" si="32"/>
        <v>0</v>
      </c>
      <c r="N222" s="110"/>
      <c r="O222" s="110"/>
      <c r="P222" s="110"/>
      <c r="Q222" s="18"/>
      <c r="R222" s="20"/>
      <c r="S222" s="21"/>
      <c r="T222" s="21"/>
      <c r="U222" s="21"/>
      <c r="V222" s="21"/>
      <c r="W222" s="20"/>
      <c r="X222" s="21"/>
      <c r="Y222" s="21"/>
      <c r="Z222" s="21"/>
      <c r="AA222" s="21"/>
      <c r="AB222" s="20"/>
      <c r="AC222" s="21"/>
      <c r="AD222" s="21"/>
      <c r="AE222" s="21"/>
      <c r="AF222" s="21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</row>
    <row r="223" spans="1:53" s="15" customFormat="1" ht="56.25">
      <c r="A223" s="75" t="s">
        <v>356</v>
      </c>
      <c r="B223" s="156" t="s">
        <v>35</v>
      </c>
      <c r="C223" s="36"/>
      <c r="D223" s="37">
        <v>1500</v>
      </c>
      <c r="E223" s="37"/>
      <c r="F223" s="13">
        <f t="shared" si="33"/>
        <v>1500</v>
      </c>
      <c r="G223" s="14"/>
      <c r="H223" s="19"/>
      <c r="I223" s="19"/>
      <c r="J223" s="19"/>
      <c r="K223" s="14"/>
      <c r="L223" s="14"/>
      <c r="M223" s="109">
        <f t="shared" si="32"/>
        <v>0</v>
      </c>
      <c r="N223" s="110"/>
      <c r="O223" s="110"/>
      <c r="P223" s="110"/>
      <c r="Q223" s="18"/>
      <c r="R223" s="20"/>
      <c r="S223" s="21"/>
      <c r="T223" s="21"/>
      <c r="U223" s="21"/>
      <c r="V223" s="21"/>
      <c r="W223" s="20"/>
      <c r="X223" s="21"/>
      <c r="Y223" s="21"/>
      <c r="Z223" s="21"/>
      <c r="AA223" s="21"/>
      <c r="AB223" s="20"/>
      <c r="AC223" s="21"/>
      <c r="AD223" s="21"/>
      <c r="AE223" s="21"/>
      <c r="AF223" s="21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</row>
    <row r="224" spans="1:53" s="15" customFormat="1" ht="45">
      <c r="A224" s="75" t="s">
        <v>357</v>
      </c>
      <c r="B224" s="156" t="s">
        <v>36</v>
      </c>
      <c r="C224" s="36"/>
      <c r="D224" s="37">
        <v>200</v>
      </c>
      <c r="E224" s="37"/>
      <c r="F224" s="13">
        <f t="shared" si="33"/>
        <v>200</v>
      </c>
      <c r="G224" s="14"/>
      <c r="H224" s="19"/>
      <c r="I224" s="19"/>
      <c r="J224" s="19"/>
      <c r="K224" s="14"/>
      <c r="L224" s="14"/>
      <c r="M224" s="109">
        <f t="shared" si="32"/>
        <v>0</v>
      </c>
      <c r="N224" s="110"/>
      <c r="O224" s="110"/>
      <c r="P224" s="110"/>
      <c r="Q224" s="18"/>
      <c r="R224" s="20"/>
      <c r="S224" s="21"/>
      <c r="T224" s="21"/>
      <c r="U224" s="21"/>
      <c r="V224" s="21"/>
      <c r="W224" s="20"/>
      <c r="X224" s="21"/>
      <c r="Y224" s="21"/>
      <c r="Z224" s="21"/>
      <c r="AA224" s="21"/>
      <c r="AB224" s="20"/>
      <c r="AC224" s="21"/>
      <c r="AD224" s="21"/>
      <c r="AE224" s="21"/>
      <c r="AF224" s="21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</row>
    <row r="225" spans="1:53" s="15" customFormat="1" ht="56.25">
      <c r="A225" s="75" t="s">
        <v>358</v>
      </c>
      <c r="B225" s="156" t="s">
        <v>37</v>
      </c>
      <c r="C225" s="36"/>
      <c r="D225" s="37">
        <v>500</v>
      </c>
      <c r="E225" s="37"/>
      <c r="F225" s="13">
        <f t="shared" si="33"/>
        <v>500</v>
      </c>
      <c r="G225" s="14"/>
      <c r="H225" s="19"/>
      <c r="I225" s="19"/>
      <c r="J225" s="19"/>
      <c r="K225" s="14"/>
      <c r="L225" s="14"/>
      <c r="M225" s="109">
        <f t="shared" si="32"/>
        <v>0</v>
      </c>
      <c r="N225" s="110"/>
      <c r="O225" s="110"/>
      <c r="P225" s="110"/>
      <c r="Q225" s="18"/>
      <c r="R225" s="20"/>
      <c r="S225" s="21"/>
      <c r="T225" s="21"/>
      <c r="U225" s="21"/>
      <c r="V225" s="21"/>
      <c r="W225" s="20"/>
      <c r="X225" s="21"/>
      <c r="Y225" s="21"/>
      <c r="Z225" s="21"/>
      <c r="AA225" s="21"/>
      <c r="AB225" s="20"/>
      <c r="AC225" s="21"/>
      <c r="AD225" s="21"/>
      <c r="AE225" s="21"/>
      <c r="AF225" s="21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</row>
    <row r="226" spans="1:53" s="15" customFormat="1" ht="90">
      <c r="A226" s="75" t="s">
        <v>359</v>
      </c>
      <c r="B226" s="156" t="s">
        <v>38</v>
      </c>
      <c r="C226" s="36"/>
      <c r="D226" s="37">
        <v>2000</v>
      </c>
      <c r="E226" s="37"/>
      <c r="F226" s="13">
        <f t="shared" si="33"/>
        <v>2000</v>
      </c>
      <c r="G226" s="14"/>
      <c r="H226" s="19"/>
      <c r="I226" s="19"/>
      <c r="J226" s="19"/>
      <c r="K226" s="14"/>
      <c r="L226" s="14"/>
      <c r="M226" s="109">
        <f t="shared" si="32"/>
        <v>0</v>
      </c>
      <c r="N226" s="110"/>
      <c r="O226" s="110"/>
      <c r="P226" s="110"/>
      <c r="Q226" s="18"/>
      <c r="R226" s="20"/>
      <c r="S226" s="21"/>
      <c r="T226" s="21"/>
      <c r="U226" s="21"/>
      <c r="V226" s="21"/>
      <c r="W226" s="20"/>
      <c r="X226" s="21"/>
      <c r="Y226" s="21"/>
      <c r="Z226" s="21"/>
      <c r="AA226" s="21"/>
      <c r="AB226" s="20"/>
      <c r="AC226" s="21"/>
      <c r="AD226" s="21"/>
      <c r="AE226" s="21"/>
      <c r="AF226" s="21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</row>
    <row r="227" spans="1:53" s="15" customFormat="1" ht="78.75">
      <c r="A227" s="75" t="s">
        <v>360</v>
      </c>
      <c r="B227" s="156" t="s">
        <v>39</v>
      </c>
      <c r="C227" s="36"/>
      <c r="D227" s="37">
        <v>500</v>
      </c>
      <c r="E227" s="37"/>
      <c r="F227" s="13">
        <f t="shared" si="33"/>
        <v>500</v>
      </c>
      <c r="G227" s="14"/>
      <c r="H227" s="19"/>
      <c r="I227" s="19"/>
      <c r="J227" s="19"/>
      <c r="K227" s="14"/>
      <c r="L227" s="14"/>
      <c r="M227" s="109">
        <f t="shared" si="32"/>
        <v>0</v>
      </c>
      <c r="N227" s="110"/>
      <c r="O227" s="110"/>
      <c r="P227" s="110"/>
      <c r="Q227" s="18"/>
      <c r="R227" s="20"/>
      <c r="S227" s="21"/>
      <c r="T227" s="21"/>
      <c r="U227" s="21"/>
      <c r="V227" s="21"/>
      <c r="W227" s="20"/>
      <c r="X227" s="21"/>
      <c r="Y227" s="21"/>
      <c r="Z227" s="21"/>
      <c r="AA227" s="21"/>
      <c r="AB227" s="20"/>
      <c r="AC227" s="21"/>
      <c r="AD227" s="21"/>
      <c r="AE227" s="21"/>
      <c r="AF227" s="21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</row>
    <row r="228" spans="1:53" s="15" customFormat="1" ht="78.75">
      <c r="A228" s="75" t="s">
        <v>361</v>
      </c>
      <c r="B228" s="156" t="s">
        <v>40</v>
      </c>
      <c r="C228" s="36"/>
      <c r="D228" s="37">
        <v>500</v>
      </c>
      <c r="E228" s="37"/>
      <c r="F228" s="13">
        <f t="shared" si="33"/>
        <v>500</v>
      </c>
      <c r="G228" s="14"/>
      <c r="H228" s="19"/>
      <c r="I228" s="19"/>
      <c r="J228" s="19"/>
      <c r="K228" s="14"/>
      <c r="L228" s="14"/>
      <c r="M228" s="109">
        <f t="shared" si="32"/>
        <v>0</v>
      </c>
      <c r="N228" s="110"/>
      <c r="O228" s="110"/>
      <c r="P228" s="110"/>
      <c r="Q228" s="18"/>
      <c r="R228" s="20"/>
      <c r="S228" s="21"/>
      <c r="T228" s="21"/>
      <c r="U228" s="21"/>
      <c r="V228" s="21"/>
      <c r="W228" s="20"/>
      <c r="X228" s="21"/>
      <c r="Y228" s="21"/>
      <c r="Z228" s="21"/>
      <c r="AA228" s="21"/>
      <c r="AB228" s="20"/>
      <c r="AC228" s="21"/>
      <c r="AD228" s="21"/>
      <c r="AE228" s="21"/>
      <c r="AF228" s="21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</row>
    <row r="229" spans="1:53" s="15" customFormat="1" ht="67.5">
      <c r="A229" s="75" t="s">
        <v>362</v>
      </c>
      <c r="B229" s="156" t="s">
        <v>41</v>
      </c>
      <c r="C229" s="36"/>
      <c r="D229" s="37">
        <v>500</v>
      </c>
      <c r="E229" s="37"/>
      <c r="F229" s="13">
        <f t="shared" si="33"/>
        <v>500</v>
      </c>
      <c r="G229" s="14"/>
      <c r="H229" s="19"/>
      <c r="I229" s="19"/>
      <c r="J229" s="19"/>
      <c r="K229" s="14"/>
      <c r="L229" s="14"/>
      <c r="M229" s="109">
        <f t="shared" si="32"/>
        <v>0</v>
      </c>
      <c r="N229" s="110"/>
      <c r="O229" s="110"/>
      <c r="P229" s="110"/>
      <c r="Q229" s="18"/>
      <c r="R229" s="20"/>
      <c r="S229" s="21"/>
      <c r="T229" s="21"/>
      <c r="U229" s="21"/>
      <c r="V229" s="21"/>
      <c r="W229" s="20"/>
      <c r="X229" s="21"/>
      <c r="Y229" s="21"/>
      <c r="Z229" s="21"/>
      <c r="AA229" s="21"/>
      <c r="AB229" s="20"/>
      <c r="AC229" s="21"/>
      <c r="AD229" s="21"/>
      <c r="AE229" s="21"/>
      <c r="AF229" s="21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</row>
    <row r="230" spans="1:53" s="15" customFormat="1" ht="67.5">
      <c r="A230" s="75" t="s">
        <v>363</v>
      </c>
      <c r="B230" s="156" t="s">
        <v>42</v>
      </c>
      <c r="C230" s="36"/>
      <c r="D230" s="37">
        <v>700</v>
      </c>
      <c r="E230" s="37"/>
      <c r="F230" s="13">
        <f t="shared" si="33"/>
        <v>700</v>
      </c>
      <c r="G230" s="14"/>
      <c r="H230" s="19"/>
      <c r="I230" s="19"/>
      <c r="J230" s="19"/>
      <c r="K230" s="14"/>
      <c r="L230" s="14"/>
      <c r="M230" s="109">
        <f t="shared" si="32"/>
        <v>0</v>
      </c>
      <c r="N230" s="110"/>
      <c r="O230" s="110"/>
      <c r="P230" s="110"/>
      <c r="Q230" s="18"/>
      <c r="R230" s="20"/>
      <c r="S230" s="21"/>
      <c r="T230" s="21"/>
      <c r="U230" s="21"/>
      <c r="V230" s="21"/>
      <c r="W230" s="20"/>
      <c r="X230" s="21"/>
      <c r="Y230" s="21"/>
      <c r="Z230" s="21"/>
      <c r="AA230" s="21"/>
      <c r="AB230" s="20"/>
      <c r="AC230" s="21"/>
      <c r="AD230" s="21"/>
      <c r="AE230" s="21"/>
      <c r="AF230" s="21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</row>
    <row r="231" spans="1:53" s="15" customFormat="1" ht="56.25">
      <c r="A231" s="75" t="s">
        <v>364</v>
      </c>
      <c r="B231" s="156" t="s">
        <v>43</v>
      </c>
      <c r="C231" s="36"/>
      <c r="D231" s="37">
        <v>200</v>
      </c>
      <c r="E231" s="37"/>
      <c r="F231" s="13">
        <f t="shared" si="33"/>
        <v>200</v>
      </c>
      <c r="G231" s="14"/>
      <c r="H231" s="19"/>
      <c r="I231" s="19"/>
      <c r="J231" s="19"/>
      <c r="K231" s="14"/>
      <c r="L231" s="14"/>
      <c r="M231" s="109">
        <f t="shared" si="32"/>
        <v>0</v>
      </c>
      <c r="N231" s="110"/>
      <c r="O231" s="110"/>
      <c r="P231" s="110"/>
      <c r="Q231" s="18"/>
      <c r="R231" s="20"/>
      <c r="S231" s="21"/>
      <c r="T231" s="21"/>
      <c r="U231" s="21"/>
      <c r="V231" s="21"/>
      <c r="W231" s="20"/>
      <c r="X231" s="21"/>
      <c r="Y231" s="21"/>
      <c r="Z231" s="21"/>
      <c r="AA231" s="21"/>
      <c r="AB231" s="20"/>
      <c r="AC231" s="21"/>
      <c r="AD231" s="21"/>
      <c r="AE231" s="21"/>
      <c r="AF231" s="21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</row>
    <row r="232" spans="1:53" s="15" customFormat="1" ht="56.25">
      <c r="A232" s="75" t="s">
        <v>365</v>
      </c>
      <c r="B232" s="156" t="s">
        <v>44</v>
      </c>
      <c r="C232" s="36"/>
      <c r="D232" s="37">
        <v>700</v>
      </c>
      <c r="E232" s="37"/>
      <c r="F232" s="13">
        <f t="shared" si="33"/>
        <v>700</v>
      </c>
      <c r="G232" s="14"/>
      <c r="H232" s="19"/>
      <c r="I232" s="19"/>
      <c r="J232" s="19"/>
      <c r="K232" s="14"/>
      <c r="L232" s="14"/>
      <c r="M232" s="109">
        <f t="shared" si="32"/>
        <v>0</v>
      </c>
      <c r="N232" s="110"/>
      <c r="O232" s="110"/>
      <c r="P232" s="110"/>
      <c r="Q232" s="18"/>
      <c r="R232" s="20"/>
      <c r="S232" s="21"/>
      <c r="T232" s="21"/>
      <c r="U232" s="21"/>
      <c r="V232" s="21"/>
      <c r="W232" s="20"/>
      <c r="X232" s="21"/>
      <c r="Y232" s="21"/>
      <c r="Z232" s="21"/>
      <c r="AA232" s="21"/>
      <c r="AB232" s="20"/>
      <c r="AC232" s="21"/>
      <c r="AD232" s="21"/>
      <c r="AE232" s="21"/>
      <c r="AF232" s="21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</row>
    <row r="233" spans="1:53" s="15" customFormat="1" ht="78.75">
      <c r="A233" s="75" t="s">
        <v>366</v>
      </c>
      <c r="B233" s="156" t="s">
        <v>45</v>
      </c>
      <c r="C233" s="36"/>
      <c r="D233" s="37">
        <v>700</v>
      </c>
      <c r="E233" s="37"/>
      <c r="F233" s="13">
        <f t="shared" si="33"/>
        <v>700</v>
      </c>
      <c r="G233" s="14"/>
      <c r="H233" s="19"/>
      <c r="I233" s="19"/>
      <c r="J233" s="19"/>
      <c r="K233" s="14"/>
      <c r="L233" s="14"/>
      <c r="M233" s="109">
        <f t="shared" si="32"/>
        <v>0</v>
      </c>
      <c r="N233" s="110"/>
      <c r="O233" s="110"/>
      <c r="P233" s="110"/>
      <c r="Q233" s="18"/>
      <c r="R233" s="20"/>
      <c r="S233" s="21"/>
      <c r="T233" s="21"/>
      <c r="U233" s="21"/>
      <c r="V233" s="21"/>
      <c r="W233" s="20"/>
      <c r="X233" s="21"/>
      <c r="Y233" s="21"/>
      <c r="Z233" s="21"/>
      <c r="AA233" s="21"/>
      <c r="AB233" s="20"/>
      <c r="AC233" s="21"/>
      <c r="AD233" s="21"/>
      <c r="AE233" s="21"/>
      <c r="AF233" s="21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</row>
    <row r="234" spans="1:53" s="15" customFormat="1" ht="78.75">
      <c r="A234" s="75" t="s">
        <v>367</v>
      </c>
      <c r="B234" s="156" t="s">
        <v>46</v>
      </c>
      <c r="C234" s="36"/>
      <c r="D234" s="37">
        <v>196</v>
      </c>
      <c r="E234" s="37"/>
      <c r="F234" s="13">
        <f t="shared" si="33"/>
        <v>196</v>
      </c>
      <c r="G234" s="14"/>
      <c r="H234" s="19"/>
      <c r="I234" s="19"/>
      <c r="J234" s="19"/>
      <c r="K234" s="14"/>
      <c r="L234" s="14"/>
      <c r="M234" s="109">
        <f t="shared" si="32"/>
        <v>0</v>
      </c>
      <c r="N234" s="110"/>
      <c r="O234" s="110"/>
      <c r="P234" s="110"/>
      <c r="Q234" s="18"/>
      <c r="R234" s="20"/>
      <c r="S234" s="21"/>
      <c r="T234" s="21"/>
      <c r="U234" s="21"/>
      <c r="V234" s="21"/>
      <c r="W234" s="20"/>
      <c r="X234" s="21"/>
      <c r="Y234" s="21"/>
      <c r="Z234" s="21"/>
      <c r="AA234" s="21"/>
      <c r="AB234" s="20"/>
      <c r="AC234" s="21"/>
      <c r="AD234" s="21"/>
      <c r="AE234" s="21"/>
      <c r="AF234" s="21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</row>
    <row r="235" spans="1:53" s="15" customFormat="1" ht="24" customHeight="1">
      <c r="A235" s="157"/>
      <c r="B235" s="13" t="s">
        <v>17</v>
      </c>
      <c r="C235" s="13"/>
      <c r="D235" s="13">
        <f aca="true" t="shared" si="34" ref="D235:L235">D150+D8</f>
        <v>7380441</v>
      </c>
      <c r="E235" s="13" t="e">
        <f t="shared" si="34"/>
        <v>#REF!</v>
      </c>
      <c r="F235" s="13" t="e">
        <f t="shared" si="34"/>
        <v>#REF!</v>
      </c>
      <c r="G235" s="13" t="e">
        <f t="shared" si="34"/>
        <v>#REF!</v>
      </c>
      <c r="H235" s="13" t="e">
        <f t="shared" si="34"/>
        <v>#REF!</v>
      </c>
      <c r="I235" s="13" t="e">
        <f t="shared" si="34"/>
        <v>#REF!</v>
      </c>
      <c r="J235" s="13" t="e">
        <f t="shared" si="34"/>
        <v>#REF!</v>
      </c>
      <c r="K235" s="13" t="e">
        <f t="shared" si="34"/>
        <v>#REF!</v>
      </c>
      <c r="L235" s="13" t="e">
        <f t="shared" si="34"/>
        <v>#REF!</v>
      </c>
      <c r="M235" s="51" t="e">
        <f>M8+M150</f>
        <v>#REF!</v>
      </c>
      <c r="N235" s="111" t="e">
        <f>N8+N150</f>
        <v>#REF!</v>
      </c>
      <c r="O235" s="111" t="e">
        <f>O8+O150</f>
        <v>#REF!</v>
      </c>
      <c r="P235" s="111" t="e">
        <f>P8+P150</f>
        <v>#REF!</v>
      </c>
      <c r="Q235" s="13"/>
      <c r="R235" s="13">
        <f aca="true" t="shared" si="35" ref="R235:Z235">R8+R150</f>
        <v>848681</v>
      </c>
      <c r="S235" s="158">
        <f t="shared" si="35"/>
        <v>415871</v>
      </c>
      <c r="T235" s="158">
        <f t="shared" si="35"/>
        <v>98007</v>
      </c>
      <c r="U235" s="158">
        <f t="shared" si="35"/>
        <v>156283</v>
      </c>
      <c r="V235" s="158">
        <f t="shared" si="35"/>
        <v>60000</v>
      </c>
      <c r="W235" s="13">
        <f t="shared" si="35"/>
        <v>1331015</v>
      </c>
      <c r="X235" s="158">
        <f t="shared" si="35"/>
        <v>355387</v>
      </c>
      <c r="Y235" s="158">
        <f t="shared" si="35"/>
        <v>266321</v>
      </c>
      <c r="Z235" s="158">
        <f t="shared" si="35"/>
        <v>55417</v>
      </c>
      <c r="AA235" s="158"/>
      <c r="AB235" s="13">
        <f>AB8+AB150</f>
        <v>1263621</v>
      </c>
      <c r="AC235" s="158">
        <f>AC8+AC150</f>
        <v>293946</v>
      </c>
      <c r="AD235" s="158">
        <f>AD8+AD150</f>
        <v>270104</v>
      </c>
      <c r="AE235" s="158">
        <f>AE8+AE150</f>
        <v>0</v>
      </c>
      <c r="AF235" s="158"/>
      <c r="AG235" s="159">
        <f>AG8+AG150</f>
        <v>974510</v>
      </c>
      <c r="AH235" s="159">
        <f>AH8+AH150</f>
        <v>420591</v>
      </c>
      <c r="AI235" s="159">
        <f>AI8+AI150</f>
        <v>285703</v>
      </c>
      <c r="AJ235" s="159">
        <f>AJ8+AJ150</f>
        <v>0</v>
      </c>
      <c r="AK235" s="159"/>
      <c r="AL235" s="159">
        <f aca="true" t="shared" si="36" ref="AL235:BA235">AL8+AL150</f>
        <v>822306</v>
      </c>
      <c r="AM235" s="159">
        <f t="shared" si="36"/>
        <v>416290</v>
      </c>
      <c r="AN235" s="159">
        <f t="shared" si="36"/>
        <v>214426</v>
      </c>
      <c r="AO235" s="159">
        <f t="shared" si="36"/>
        <v>0</v>
      </c>
      <c r="AP235" s="159">
        <f t="shared" si="36"/>
        <v>309350</v>
      </c>
      <c r="AQ235" s="159">
        <f t="shared" si="36"/>
        <v>79056</v>
      </c>
      <c r="AR235" s="159">
        <f t="shared" si="36"/>
        <v>72284</v>
      </c>
      <c r="AS235" s="159">
        <f t="shared" si="36"/>
        <v>15656</v>
      </c>
      <c r="AT235" s="159">
        <f t="shared" si="36"/>
        <v>290401</v>
      </c>
      <c r="AU235" s="159">
        <f t="shared" si="36"/>
        <v>53595</v>
      </c>
      <c r="AV235" s="159">
        <f t="shared" si="36"/>
        <v>97201</v>
      </c>
      <c r="AW235" s="159">
        <f t="shared" si="36"/>
        <v>15000</v>
      </c>
      <c r="AX235" s="159">
        <f t="shared" si="36"/>
        <v>192864</v>
      </c>
      <c r="AY235" s="159">
        <f t="shared" si="36"/>
        <v>0</v>
      </c>
      <c r="AZ235" s="159">
        <f t="shared" si="36"/>
        <v>72784</v>
      </c>
      <c r="BA235" s="159">
        <f t="shared" si="36"/>
        <v>0</v>
      </c>
    </row>
    <row r="236" spans="1:53" s="23" customFormat="1" ht="13.5" customHeight="1" hidden="1">
      <c r="A236" s="116"/>
      <c r="B236" s="119" t="s">
        <v>18</v>
      </c>
      <c r="C236" s="119"/>
      <c r="D236" s="117"/>
      <c r="E236" s="120"/>
      <c r="F236" s="117"/>
      <c r="G236" s="126">
        <f>SUM(H236:L236)</f>
        <v>788025</v>
      </c>
      <c r="H236" s="121">
        <v>328500</v>
      </c>
      <c r="I236" s="121">
        <v>204201</v>
      </c>
      <c r="J236" s="121">
        <v>190000</v>
      </c>
      <c r="K236" s="121">
        <v>23000</v>
      </c>
      <c r="L236" s="121">
        <v>42324</v>
      </c>
      <c r="M236" s="122">
        <f>SUM(N236:P236)</f>
        <v>824232</v>
      </c>
      <c r="N236" s="123">
        <v>361552</v>
      </c>
      <c r="O236" s="123">
        <v>252680</v>
      </c>
      <c r="P236" s="123">
        <v>210000</v>
      </c>
      <c r="Q236" s="120"/>
      <c r="R236" s="118">
        <f>SUM(S236:U236)</f>
        <v>795320</v>
      </c>
      <c r="S236" s="124">
        <v>367115</v>
      </c>
      <c r="T236" s="124">
        <v>228205</v>
      </c>
      <c r="U236" s="124">
        <v>200000</v>
      </c>
      <c r="V236" s="124"/>
      <c r="W236" s="118">
        <f>SUM(X236:Z236)</f>
        <v>869168</v>
      </c>
      <c r="X236" s="124">
        <v>406488</v>
      </c>
      <c r="Y236" s="124">
        <v>252680</v>
      </c>
      <c r="Z236" s="124">
        <v>210000</v>
      </c>
      <c r="AA236" s="124"/>
      <c r="AB236" s="118"/>
      <c r="AC236" s="124"/>
      <c r="AD236" s="124"/>
      <c r="AE236" s="124"/>
      <c r="AF236" s="4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</row>
    <row r="237" spans="1:53" ht="13.5" customHeight="1" hidden="1">
      <c r="A237" s="43"/>
      <c r="B237" s="24" t="s">
        <v>19</v>
      </c>
      <c r="C237" s="24"/>
      <c r="D237" s="38"/>
      <c r="E237" s="25"/>
      <c r="F237" s="38"/>
      <c r="G237" s="14" t="e">
        <f aca="true" t="shared" si="37" ref="G237:L237">G236-G235</f>
        <v>#REF!</v>
      </c>
      <c r="H237" s="19" t="e">
        <f t="shared" si="37"/>
        <v>#REF!</v>
      </c>
      <c r="I237" s="19" t="e">
        <f t="shared" si="37"/>
        <v>#REF!</v>
      </c>
      <c r="J237" s="19" t="e">
        <f t="shared" si="37"/>
        <v>#REF!</v>
      </c>
      <c r="K237" s="19" t="e">
        <f t="shared" si="37"/>
        <v>#REF!</v>
      </c>
      <c r="L237" s="19" t="e">
        <f t="shared" si="37"/>
        <v>#REF!</v>
      </c>
      <c r="M237" s="109" t="e">
        <f>M236-M235</f>
        <v>#REF!</v>
      </c>
      <c r="N237" s="110" t="e">
        <f>N236-N235</f>
        <v>#REF!</v>
      </c>
      <c r="O237" s="110" t="e">
        <f>O236-O235</f>
        <v>#REF!</v>
      </c>
      <c r="P237" s="110" t="e">
        <f>P236-P235</f>
        <v>#REF!</v>
      </c>
      <c r="Q237" s="39">
        <f aca="true" t="shared" si="38" ref="Q237:Z237">Q236-Q235</f>
        <v>0</v>
      </c>
      <c r="R237" s="20">
        <f t="shared" si="38"/>
        <v>-53361</v>
      </c>
      <c r="S237" s="21">
        <f t="shared" si="38"/>
        <v>-48756</v>
      </c>
      <c r="T237" s="21">
        <f t="shared" si="38"/>
        <v>130198</v>
      </c>
      <c r="U237" s="21">
        <f t="shared" si="38"/>
        <v>43717</v>
      </c>
      <c r="V237" s="21"/>
      <c r="W237" s="20">
        <f t="shared" si="38"/>
        <v>-461847</v>
      </c>
      <c r="X237" s="21">
        <f t="shared" si="38"/>
        <v>51101</v>
      </c>
      <c r="Y237" s="21">
        <f t="shared" si="38"/>
        <v>-13641</v>
      </c>
      <c r="Z237" s="21">
        <f t="shared" si="38"/>
        <v>154583</v>
      </c>
      <c r="AA237" s="21"/>
      <c r="AB237" s="20"/>
      <c r="AC237" s="21"/>
      <c r="AD237" s="21"/>
      <c r="AE237" s="21"/>
      <c r="AF237" s="49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</row>
    <row r="238" spans="1:53" s="34" customFormat="1" ht="14.25" customHeight="1" hidden="1">
      <c r="A238" s="43"/>
      <c r="B238" s="40" t="s">
        <v>20</v>
      </c>
      <c r="C238" s="40"/>
      <c r="D238" s="38"/>
      <c r="E238" s="38"/>
      <c r="F238" s="38"/>
      <c r="G238" s="14" t="e">
        <f>#REF!+#REF!+#REF!+#REF!+#REF!+#REF!+#REF!+#REF!+#REF!+#REF!+G81+#REF!+#REF!+#REF!</f>
        <v>#REF!</v>
      </c>
      <c r="H238" s="14" t="e">
        <f>#REF!+#REF!+#REF!+#REF!+#REF!+#REF!+#REF!+#REF!+#REF!+#REF!+H81+#REF!+#REF!+#REF!</f>
        <v>#REF!</v>
      </c>
      <c r="I238" s="14" t="e">
        <f>#REF!+#REF!+#REF!+#REF!+#REF!+#REF!+#REF!+#REF!+#REF!+#REF!+I81+#REF!+#REF!+#REF!</f>
        <v>#REF!</v>
      </c>
      <c r="J238" s="14" t="e">
        <f>#REF!+#REF!+#REF!+#REF!+#REF!+#REF!+#REF!+#REF!+#REF!+#REF!+J81+#REF!+#REF!+#REF!</f>
        <v>#REF!</v>
      </c>
      <c r="K238" s="14" t="e">
        <f>#REF!+#REF!+#REF!+#REF!+#REF!+#REF!+#REF!+#REF!+#REF!+#REF!+K81+#REF!+#REF!+#REF!</f>
        <v>#REF!</v>
      </c>
      <c r="L238" s="14" t="e">
        <f>#REF!+#REF!+#REF!+#REF!+#REF!+#REF!+#REF!+#REF!+#REF!+#REF!+L81+#REF!+#REF!+#REF!</f>
        <v>#REF!</v>
      </c>
      <c r="M238" s="109" t="e">
        <f>#REF!+#REF!+#REF!+#REF!+#REF!+#REF!+#REF!+#REF!+#REF!+#REF!+M81+#REF!+#REF!+#REF!</f>
        <v>#REF!</v>
      </c>
      <c r="N238" s="110" t="e">
        <f>#REF!+#REF!+#REF!+#REF!+#REF!+#REF!+#REF!+#REF!+#REF!+#REF!+N81+#REF!+#REF!+#REF!</f>
        <v>#REF!</v>
      </c>
      <c r="O238" s="110" t="e">
        <f>#REF!+#REF!+#REF!+#REF!+#REF!+#REF!+#REF!+#REF!+#REF!+#REF!+O81+#REF!+#REF!+#REF!</f>
        <v>#REF!</v>
      </c>
      <c r="P238" s="110" t="e">
        <f>#REF!+#REF!+#REF!+#REF!+#REF!+#REF!+#REF!+#REF!+#REF!+#REF!+P81+#REF!+#REF!+#REF!</f>
        <v>#REF!</v>
      </c>
      <c r="Q238" s="38"/>
      <c r="R238" s="20" t="e">
        <f>#REF!+#REF!+#REF!+#REF!+#REF!+#REF!+#REF!+#REF!+#REF!+#REF!+R81+#REF!+#REF!+#REF!</f>
        <v>#REF!</v>
      </c>
      <c r="S238" s="21" t="e">
        <f>#REF!+#REF!+#REF!+#REF!+#REF!+#REF!+#REF!+#REF!+#REF!+#REF!+S81+#REF!+#REF!+#REF!</f>
        <v>#REF!</v>
      </c>
      <c r="T238" s="21" t="e">
        <f>#REF!+#REF!+#REF!+#REF!+#REF!+#REF!+#REF!+#REF!+#REF!+#REF!+T81+#REF!+#REF!+#REF!</f>
        <v>#REF!</v>
      </c>
      <c r="U238" s="21" t="e">
        <f>#REF!+#REF!+#REF!+#REF!+#REF!+#REF!+#REF!+#REF!+#REF!+#REF!+U81+#REF!+#REF!+#REF!</f>
        <v>#REF!</v>
      </c>
      <c r="V238" s="21"/>
      <c r="W238" s="20" t="e">
        <f>#REF!+#REF!+#REF!+#REF!+#REF!+#REF!+#REF!+#REF!+#REF!+#REF!+W81+#REF!+#REF!+#REF!</f>
        <v>#REF!</v>
      </c>
      <c r="X238" s="21" t="e">
        <f>#REF!+#REF!+#REF!+#REF!+#REF!+#REF!+#REF!+#REF!+#REF!+#REF!+X81+#REF!+#REF!+#REF!</f>
        <v>#REF!</v>
      </c>
      <c r="Y238" s="21" t="e">
        <f>#REF!+#REF!+#REF!+#REF!+#REF!+#REF!+#REF!+#REF!+#REF!+#REF!+Y81+#REF!+#REF!+#REF!</f>
        <v>#REF!</v>
      </c>
      <c r="Z238" s="21" t="e">
        <f>#REF!+#REF!+#REF!+#REF!+#REF!+#REF!+#REF!+#REF!+#REF!+#REF!+Z81+#REF!+#REF!+#REF!</f>
        <v>#REF!</v>
      </c>
      <c r="AA238" s="21"/>
      <c r="AB238" s="20" t="e">
        <f>#REF!+#REF!+#REF!+#REF!+#REF!+#REF!+#REF!+#REF!+#REF!+#REF!+AB81+#REF!+#REF!+#REF!</f>
        <v>#REF!</v>
      </c>
      <c r="AC238" s="21" t="e">
        <f>#REF!+#REF!+#REF!+#REF!+#REF!+#REF!+#REF!+#REF!+#REF!+#REF!+AC81+#REF!+#REF!+#REF!</f>
        <v>#REF!</v>
      </c>
      <c r="AD238" s="21" t="e">
        <f>#REF!+#REF!+#REF!+#REF!+#REF!+#REF!+#REF!+#REF!+#REF!+#REF!+AD81+#REF!+#REF!+#REF!</f>
        <v>#REF!</v>
      </c>
      <c r="AE238" s="21" t="e">
        <f>#REF!+#REF!+#REF!+#REF!+#REF!+#REF!+#REF!+#REF!+#REF!+#REF!+AE81+#REF!+#REF!+#REF!</f>
        <v>#REF!</v>
      </c>
      <c r="AF238" s="49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</row>
    <row r="239" spans="1:53" s="34" customFormat="1" ht="21" customHeight="1" hidden="1">
      <c r="A239" s="43"/>
      <c r="B239" s="40" t="s">
        <v>21</v>
      </c>
      <c r="C239" s="40"/>
      <c r="D239" s="38"/>
      <c r="E239" s="38"/>
      <c r="F239" s="38"/>
      <c r="G239" s="14" t="e">
        <f aca="true" t="shared" si="39" ref="G239:P239">G150</f>
        <v>#REF!</v>
      </c>
      <c r="H239" s="14" t="e">
        <f t="shared" si="39"/>
        <v>#REF!</v>
      </c>
      <c r="I239" s="14" t="e">
        <f t="shared" si="39"/>
        <v>#REF!</v>
      </c>
      <c r="J239" s="14" t="e">
        <f t="shared" si="39"/>
        <v>#REF!</v>
      </c>
      <c r="K239" s="14" t="e">
        <f t="shared" si="39"/>
        <v>#REF!</v>
      </c>
      <c r="L239" s="14" t="e">
        <f t="shared" si="39"/>
        <v>#REF!</v>
      </c>
      <c r="M239" s="109" t="e">
        <f t="shared" si="39"/>
        <v>#REF!</v>
      </c>
      <c r="N239" s="110" t="e">
        <f t="shared" si="39"/>
        <v>#REF!</v>
      </c>
      <c r="O239" s="110" t="e">
        <f t="shared" si="39"/>
        <v>#REF!</v>
      </c>
      <c r="P239" s="110" t="e">
        <f t="shared" si="39"/>
        <v>#REF!</v>
      </c>
      <c r="Q239" s="38"/>
      <c r="R239" s="20">
        <f aca="true" t="shared" si="40" ref="R239:AE239">R150</f>
        <v>230505</v>
      </c>
      <c r="S239" s="21">
        <f t="shared" si="40"/>
        <v>15870</v>
      </c>
      <c r="T239" s="21">
        <f t="shared" si="40"/>
        <v>9555</v>
      </c>
      <c r="U239" s="21">
        <f t="shared" si="40"/>
        <v>0</v>
      </c>
      <c r="V239" s="21"/>
      <c r="W239" s="20">
        <f t="shared" si="40"/>
        <v>143333</v>
      </c>
      <c r="X239" s="21">
        <f t="shared" si="40"/>
        <v>51323</v>
      </c>
      <c r="Y239" s="21">
        <f t="shared" si="40"/>
        <v>4490</v>
      </c>
      <c r="Z239" s="21">
        <f t="shared" si="40"/>
        <v>0</v>
      </c>
      <c r="AA239" s="21"/>
      <c r="AB239" s="20">
        <f t="shared" si="40"/>
        <v>148790</v>
      </c>
      <c r="AC239" s="21">
        <f t="shared" si="40"/>
        <v>4590</v>
      </c>
      <c r="AD239" s="21">
        <f t="shared" si="40"/>
        <v>2810</v>
      </c>
      <c r="AE239" s="21">
        <f t="shared" si="40"/>
        <v>0</v>
      </c>
      <c r="AF239" s="49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</row>
    <row r="240" spans="33:53" ht="11.25"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</row>
    <row r="241" spans="33:53" ht="11.25"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</row>
    <row r="242" spans="33:53" ht="11.25"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18:53" ht="11.25">
      <c r="R243" s="26"/>
      <c r="S243" s="26"/>
      <c r="T243" s="26"/>
      <c r="U243" s="26"/>
      <c r="V243" s="26"/>
      <c r="W243" s="102"/>
      <c r="X243" s="102"/>
      <c r="Y243" s="102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</row>
    <row r="244" spans="33:53" ht="11.25"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</row>
    <row r="245" spans="2:53" ht="17.25" customHeight="1">
      <c r="B245" s="184"/>
      <c r="C245" s="184"/>
      <c r="D245" s="184"/>
      <c r="E245" s="184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</row>
    <row r="246" spans="33:53" ht="11.25"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</row>
    <row r="247" spans="33:53" ht="11.25"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</row>
    <row r="248" spans="33:53" ht="11.25"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</row>
    <row r="249" spans="33:53" ht="11.25"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</row>
    <row r="250" spans="33:53" ht="11.25"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</row>
    <row r="251" spans="33:53" ht="11.25"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</row>
    <row r="252" spans="33:53" ht="11.25"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</row>
    <row r="253" spans="33:53" ht="11.25"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</row>
    <row r="254" spans="33:53" ht="11.25"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</row>
    <row r="255" spans="33:53" ht="11.25"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</row>
    <row r="256" spans="33:53" ht="11.25"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</row>
    <row r="257" spans="33:53" ht="11.25"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</row>
    <row r="258" spans="1:53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</row>
    <row r="259" spans="1:53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</row>
    <row r="260" spans="1:53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</row>
    <row r="261" spans="1:53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</row>
    <row r="262" spans="1:53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</row>
    <row r="263" spans="1:53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</row>
    <row r="264" spans="1:53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</row>
    <row r="265" spans="1:53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</row>
    <row r="266" spans="1:53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</row>
    <row r="267" spans="1:53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</row>
    <row r="268" spans="1:53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</row>
    <row r="269" spans="1:53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</row>
    <row r="270" spans="1:53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</row>
    <row r="271" spans="1:53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</row>
    <row r="272" spans="1:53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</row>
    <row r="273" spans="1:53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</row>
    <row r="274" spans="1:53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</row>
    <row r="275" spans="1:53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</row>
    <row r="276" spans="1:53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</row>
    <row r="277" spans="1:53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</row>
    <row r="278" spans="1:53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</row>
    <row r="279" spans="1:53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</row>
    <row r="280" spans="1:53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</row>
    <row r="281" spans="1:53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</row>
    <row r="282" spans="1:53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</row>
    <row r="283" spans="1:53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</row>
    <row r="284" spans="1:53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</row>
    <row r="285" spans="1:53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</row>
    <row r="286" spans="1:53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</row>
    <row r="287" spans="1:53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</row>
    <row r="288" spans="1:53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1:53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1:53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1:53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1:53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1:53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</row>
    <row r="294" spans="1:53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</row>
    <row r="295" spans="1:53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</row>
    <row r="296" spans="1:53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</row>
    <row r="297" spans="1:53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</row>
    <row r="298" spans="1:53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</row>
    <row r="299" spans="1:53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</row>
    <row r="300" spans="1:53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</row>
    <row r="301" spans="1:53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</row>
    <row r="302" spans="1:53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</row>
    <row r="303" spans="1:53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</row>
    <row r="304" spans="1:53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</row>
    <row r="305" spans="1:53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</row>
    <row r="306" spans="1:53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</row>
    <row r="307" spans="1:53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</row>
    <row r="308" spans="1:53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</row>
    <row r="309" spans="1:53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</row>
    <row r="310" spans="1:53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</row>
    <row r="311" spans="1:53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</row>
    <row r="312" spans="1:53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</row>
    <row r="313" spans="1:53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</row>
    <row r="314" spans="1:53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</row>
    <row r="315" spans="1:53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</row>
    <row r="316" spans="1:53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</row>
    <row r="317" spans="1:53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</row>
    <row r="318" spans="1:53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</row>
    <row r="319" spans="1:53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</row>
    <row r="320" spans="1:53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</row>
    <row r="321" spans="1:53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</row>
    <row r="322" spans="1:53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</row>
    <row r="323" spans="1:53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</row>
    <row r="324" spans="1:53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</row>
    <row r="325" spans="1:53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</row>
    <row r="326" spans="1:53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</row>
    <row r="327" spans="1:53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</row>
    <row r="328" spans="1:53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</row>
    <row r="329" spans="1:53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</row>
    <row r="330" spans="1:53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</row>
    <row r="331" spans="1:53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</row>
    <row r="332" spans="1:53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</row>
    <row r="333" spans="1:53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</row>
    <row r="334" spans="1:53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</row>
    <row r="335" spans="1:53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</row>
    <row r="336" spans="1:53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</row>
    <row r="337" spans="1:53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</row>
    <row r="338" spans="1:53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</row>
    <row r="339" spans="1:53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</row>
    <row r="340" spans="1:53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</row>
    <row r="341" spans="1:53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</row>
    <row r="342" spans="1:53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</row>
    <row r="343" spans="1:53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</row>
    <row r="344" spans="1:53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</row>
    <row r="345" spans="1:53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</row>
    <row r="346" spans="1:53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</row>
    <row r="347" spans="1:53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</row>
    <row r="348" spans="1:53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</row>
    <row r="349" spans="1:53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</row>
    <row r="350" spans="1:53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</row>
    <row r="351" spans="1:53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</row>
    <row r="352" spans="1:53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</row>
    <row r="353" spans="1:53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</row>
    <row r="354" spans="1:53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</row>
    <row r="355" spans="1:53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</row>
    <row r="356" spans="1:53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</row>
    <row r="357" spans="1:53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</row>
    <row r="358" spans="1:53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</row>
    <row r="359" spans="1:53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</row>
    <row r="360" spans="1:53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</row>
    <row r="361" spans="1:53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</row>
    <row r="362" spans="1:53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</row>
    <row r="363" spans="1:53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</row>
    <row r="364" spans="1:53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</row>
    <row r="365" spans="1:53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</row>
    <row r="366" spans="1:53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</row>
    <row r="367" spans="1:53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</row>
    <row r="368" spans="1:53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</row>
    <row r="369" spans="1:53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</row>
    <row r="370" spans="1:53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</row>
    <row r="371" spans="1:53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</row>
    <row r="372" spans="1:53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</row>
    <row r="373" spans="1:53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</row>
    <row r="374" spans="1:53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</row>
    <row r="375" spans="1:53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</row>
    <row r="376" spans="1:53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</row>
    <row r="377" spans="1:53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</row>
    <row r="378" spans="1:53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</row>
    <row r="379" spans="1:53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</row>
    <row r="380" spans="1:53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</row>
    <row r="381" spans="1:53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</row>
    <row r="382" spans="1:53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</row>
    <row r="383" spans="1:53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</row>
    <row r="384" spans="1:53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</row>
    <row r="385" spans="1:53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</row>
    <row r="386" spans="1:53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</row>
    <row r="387" spans="1:53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</row>
    <row r="388" spans="1:53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</row>
    <row r="389" spans="1:53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</row>
    <row r="390" spans="1:53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</row>
    <row r="391" spans="1:53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</row>
    <row r="392" spans="1:53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</row>
    <row r="393" spans="1:53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</row>
    <row r="394" spans="1:53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</row>
    <row r="395" spans="1:53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</row>
    <row r="396" spans="1:53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</row>
    <row r="397" spans="1:53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</row>
    <row r="398" spans="1:53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</row>
    <row r="399" spans="1:53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</row>
    <row r="400" spans="1:53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</row>
    <row r="401" spans="1:53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</row>
    <row r="402" spans="1:53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</row>
    <row r="403" spans="1:53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</row>
    <row r="404" spans="1:53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</row>
    <row r="405" spans="1:53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</row>
    <row r="406" spans="1:53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</row>
    <row r="407" spans="1:53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</row>
    <row r="408" spans="1:53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</row>
    <row r="409" spans="1:53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</row>
    <row r="410" spans="1:53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</row>
    <row r="411" spans="1:53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</row>
    <row r="412" spans="1:53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</row>
    <row r="413" spans="1:53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</row>
    <row r="414" spans="1:53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</row>
    <row r="415" spans="1:53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</row>
    <row r="416" spans="1:53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</row>
    <row r="417" spans="1:53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</row>
    <row r="418" spans="1:53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</row>
    <row r="419" spans="1:53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</row>
    <row r="420" spans="1:53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</row>
    <row r="421" spans="1:53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</row>
    <row r="422" spans="1:53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</row>
    <row r="423" spans="1:53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</row>
    <row r="424" spans="1:53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</row>
    <row r="425" spans="1:53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</row>
    <row r="426" spans="1:53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</row>
    <row r="427" spans="1:53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</row>
    <row r="428" spans="1:53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</row>
    <row r="429" spans="1:53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</row>
    <row r="430" spans="1:53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</row>
    <row r="431" spans="1:53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</row>
    <row r="432" spans="1:53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</row>
    <row r="433" spans="1:53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</row>
    <row r="434" spans="1:53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</row>
    <row r="435" spans="1:53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</row>
    <row r="436" spans="1:53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</row>
    <row r="437" spans="1:53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</row>
    <row r="438" spans="1:53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</row>
    <row r="439" spans="1:53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</row>
    <row r="440" spans="1:53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</row>
    <row r="441" spans="1:53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</row>
    <row r="442" spans="1:53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</row>
    <row r="443" spans="1:53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</row>
    <row r="444" spans="1:53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</row>
    <row r="445" spans="1:53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</row>
    <row r="446" spans="1:53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</row>
    <row r="447" spans="1:53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</row>
    <row r="448" spans="1:53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</row>
    <row r="449" spans="1:53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</row>
    <row r="450" spans="1:53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</row>
    <row r="451" spans="1:53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</row>
    <row r="452" spans="1:53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</row>
    <row r="453" spans="1:53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</row>
    <row r="454" spans="1:53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</row>
    <row r="455" spans="1:53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</row>
    <row r="456" spans="1:53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</row>
    <row r="457" spans="1:53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</row>
    <row r="458" spans="1:53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</row>
    <row r="459" spans="1:53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</row>
    <row r="460" spans="1:53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</row>
    <row r="461" spans="1:53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</row>
    <row r="462" spans="1:53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</row>
    <row r="463" spans="1:53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</row>
    <row r="464" spans="1:53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</row>
    <row r="465" spans="1:53" ht="11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</row>
    <row r="466" spans="1:53" ht="11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</row>
    <row r="467" spans="1:53" ht="11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</row>
    <row r="468" spans="1:53" ht="11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</row>
    <row r="469" spans="1:53" ht="11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</row>
    <row r="470" spans="1:53" ht="11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</row>
    <row r="471" spans="1:53" ht="11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</row>
    <row r="472" spans="1:53" ht="11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</row>
    <row r="473" spans="1:53" ht="11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</row>
    <row r="474" spans="1:53" ht="11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</row>
    <row r="475" spans="1:53" ht="11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</row>
    <row r="476" spans="1:53" ht="11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</row>
    <row r="477" spans="1:53" ht="11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</row>
    <row r="478" spans="1:53" ht="11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</row>
    <row r="479" spans="1:53" ht="11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</row>
    <row r="480" spans="1:53" ht="11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</row>
    <row r="481" spans="1:53" ht="11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</row>
    <row r="482" spans="1:53" ht="11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</row>
    <row r="483" spans="1:53" ht="11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</row>
    <row r="484" spans="1:53" ht="11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</row>
    <row r="485" spans="1:53" ht="11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</row>
    <row r="486" spans="1:53" ht="11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</row>
    <row r="487" spans="1:53" ht="11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</row>
    <row r="488" spans="1:53" ht="11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</row>
    <row r="489" spans="1:53" ht="11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</row>
    <row r="490" spans="1:53" ht="11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</row>
    <row r="491" spans="1:53" ht="11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</row>
    <row r="492" spans="1:53" ht="11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</row>
    <row r="493" spans="1:53" ht="11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</row>
    <row r="494" spans="1:53" ht="11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</row>
    <row r="495" spans="1:53" ht="11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</row>
    <row r="496" spans="1:53" ht="11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</row>
    <row r="497" spans="1:53" ht="11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</row>
    <row r="498" spans="1:53" ht="11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</row>
    <row r="499" spans="1:53" ht="11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</row>
    <row r="500" spans="1:53" ht="11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</row>
    <row r="501" spans="1:53" ht="11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</row>
    <row r="502" spans="1:53" ht="11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</row>
    <row r="503" spans="1:53" ht="11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</row>
    <row r="504" spans="1:53" ht="11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</row>
    <row r="505" spans="1:53" ht="11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</row>
    <row r="506" spans="1:53" ht="11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</row>
    <row r="507" spans="1:53" ht="11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</row>
    <row r="508" spans="1:53" ht="11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</row>
    <row r="509" spans="1:53" ht="11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</row>
    <row r="510" spans="1:53" ht="11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</row>
    <row r="511" spans="1:53" ht="11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</row>
    <row r="512" spans="1:53" ht="11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</row>
    <row r="513" spans="1:53" ht="11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</row>
    <row r="514" spans="1:53" ht="11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</row>
    <row r="515" spans="1:53" ht="11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</row>
    <row r="516" spans="1:53" ht="11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</row>
    <row r="517" spans="1:53" ht="11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</row>
    <row r="518" spans="1:53" ht="11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</row>
    <row r="519" spans="1:53" ht="11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</row>
    <row r="520" spans="1:53" ht="11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</row>
    <row r="521" spans="1:53" ht="11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</row>
    <row r="522" spans="1:53" ht="11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</row>
    <row r="523" spans="1:53" ht="11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</row>
    <row r="524" spans="1:53" ht="11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</row>
    <row r="525" spans="1:53" ht="11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</row>
    <row r="526" spans="1:53" ht="11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</row>
    <row r="527" spans="1:53" ht="11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</row>
  </sheetData>
  <sheetProtection/>
  <mergeCells count="30">
    <mergeCell ref="W5:W6"/>
    <mergeCell ref="S5:V5"/>
    <mergeCell ref="AX5:AX6"/>
    <mergeCell ref="AY5:BA5"/>
    <mergeCell ref="B245:E245"/>
    <mergeCell ref="AL5:AL6"/>
    <mergeCell ref="AM5:AO5"/>
    <mergeCell ref="AP5:AP6"/>
    <mergeCell ref="AQ5:AS5"/>
    <mergeCell ref="AT5:AT6"/>
    <mergeCell ref="AU5:AW5"/>
    <mergeCell ref="AC5:AE5"/>
    <mergeCell ref="B2:AZ2"/>
    <mergeCell ref="G5:G6"/>
    <mergeCell ref="H5:L5"/>
    <mergeCell ref="AG5:AG6"/>
    <mergeCell ref="AH5:AJ5"/>
    <mergeCell ref="N5:P5"/>
    <mergeCell ref="Q5:Q6"/>
    <mergeCell ref="R5:R6"/>
    <mergeCell ref="AX1:AZ1"/>
    <mergeCell ref="A5:A6"/>
    <mergeCell ref="B5:B6"/>
    <mergeCell ref="C5:C6"/>
    <mergeCell ref="D5:D6"/>
    <mergeCell ref="E5:E6"/>
    <mergeCell ref="F5:F6"/>
    <mergeCell ref="M5:M6"/>
    <mergeCell ref="X5:Z5"/>
    <mergeCell ref="AB5:AB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scale="65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kotlyarov</cp:lastModifiedBy>
  <cp:lastPrinted>2013-05-19T05:37:03Z</cp:lastPrinted>
  <dcterms:created xsi:type="dcterms:W3CDTF">1996-10-08T23:32:33Z</dcterms:created>
  <dcterms:modified xsi:type="dcterms:W3CDTF">2013-05-28T05:27:17Z</dcterms:modified>
  <cp:category/>
  <cp:version/>
  <cp:contentType/>
  <cp:contentStatus/>
</cp:coreProperties>
</file>