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2"/>
  </bookViews>
  <sheets>
    <sheet name="Лист1" sheetId="1" r:id="rId1"/>
    <sheet name="Лист2" sheetId="2" r:id="rId2"/>
    <sheet name="Лист4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<sst xmlns="http://schemas.openxmlformats.org/spreadsheetml/2006/main" count="4287" uniqueCount="484">
  <si>
    <t>ВСЕГО РАСХОДОВ</t>
  </si>
  <si>
    <t>№ п/п</t>
  </si>
  <si>
    <t>1.</t>
  </si>
  <si>
    <t>1.1.</t>
  </si>
  <si>
    <t>1.2.</t>
  </si>
  <si>
    <t>2.</t>
  </si>
  <si>
    <t>Национальная безопасность и правоохранительная деятельность</t>
  </si>
  <si>
    <t>2.1.</t>
  </si>
  <si>
    <t>2.2.</t>
  </si>
  <si>
    <t>3.</t>
  </si>
  <si>
    <t>4.</t>
  </si>
  <si>
    <t>5.</t>
  </si>
  <si>
    <t>6.</t>
  </si>
  <si>
    <t>7.</t>
  </si>
  <si>
    <t>8.</t>
  </si>
  <si>
    <t>Наименование</t>
  </si>
  <si>
    <t>Сумма -всего</t>
  </si>
  <si>
    <t>Расходы, осуществляемые по вопросам местного значения</t>
  </si>
  <si>
    <t>Расходы, осуществляемые за счет субвенций из Регионального фонда компенсаций</t>
  </si>
  <si>
    <t>Рз</t>
  </si>
  <si>
    <t>ПР</t>
  </si>
  <si>
    <t>ЦСР</t>
  </si>
  <si>
    <t>ВР</t>
  </si>
  <si>
    <t>Вед</t>
  </si>
  <si>
    <t>(тыс.руб.)</t>
  </si>
  <si>
    <t xml:space="preserve">                                          </t>
  </si>
  <si>
    <t xml:space="preserve">                                 по ведомственной классификации расходов</t>
  </si>
  <si>
    <t>к решению Думы города Урай</t>
  </si>
  <si>
    <t>Дума города Урай</t>
  </si>
  <si>
    <t>МУ "Комитет по финансам администрации города Урай"</t>
  </si>
  <si>
    <t>Здравоохранение, физическая культура и спорт</t>
  </si>
  <si>
    <t>ОВД г.Урай</t>
  </si>
  <si>
    <t>500</t>
  </si>
  <si>
    <t xml:space="preserve">Администрация города Урай </t>
  </si>
  <si>
    <t>Расходы, осуществляемые за счет иных межбюджетных трансфертов</t>
  </si>
  <si>
    <t>Подпрограмма "Обеспечение жильем граждан, проживающих в жилых помещениях, непригодных для проживания"</t>
  </si>
  <si>
    <t>Подпрограмма "Проектирование и строительство инженерных сетей"</t>
  </si>
  <si>
    <t>1.4.</t>
  </si>
  <si>
    <t>1.5.</t>
  </si>
  <si>
    <t>1.3.</t>
  </si>
  <si>
    <t xml:space="preserve">Расходы, осуществляемые за счет субсидий из Регионального фонда софинанcирования расходов </t>
  </si>
  <si>
    <t>Общегосударственные вопросы</t>
  </si>
  <si>
    <t>01</t>
  </si>
  <si>
    <t>00</t>
  </si>
  <si>
    <t>02</t>
  </si>
  <si>
    <t>03</t>
  </si>
  <si>
    <t>04</t>
  </si>
  <si>
    <t>05</t>
  </si>
  <si>
    <t>06</t>
  </si>
  <si>
    <t>1.6.</t>
  </si>
  <si>
    <t>07</t>
  </si>
  <si>
    <t>Резервные фонды</t>
  </si>
  <si>
    <t>Другие общегосударственные вопросы</t>
  </si>
  <si>
    <t>Органы внутренних дел</t>
  </si>
  <si>
    <t>09</t>
  </si>
  <si>
    <t>Национальная экономика</t>
  </si>
  <si>
    <t>3.1.</t>
  </si>
  <si>
    <t>Сельское хозяйство и рыболовство</t>
  </si>
  <si>
    <t>3.2.</t>
  </si>
  <si>
    <t>3.3.</t>
  </si>
  <si>
    <t>Транспорт</t>
  </si>
  <si>
    <t>08</t>
  </si>
  <si>
    <t>Другие вопросы в области национальной экономики</t>
  </si>
  <si>
    <t>Жилищно-коммунальное хозяйство</t>
  </si>
  <si>
    <t>4.1.</t>
  </si>
  <si>
    <t>Жилищное хозяйство</t>
  </si>
  <si>
    <t>4.2.</t>
  </si>
  <si>
    <t>Коммунальное хозяйство</t>
  </si>
  <si>
    <t>4.3.</t>
  </si>
  <si>
    <t>Другие вопросы в области жилищно-коммунального хозяйства</t>
  </si>
  <si>
    <t>5.1.</t>
  </si>
  <si>
    <t>Образование</t>
  </si>
  <si>
    <t>6.1.</t>
  </si>
  <si>
    <t>Дошкольное образование</t>
  </si>
  <si>
    <t>6.2.</t>
  </si>
  <si>
    <t>Общее образование</t>
  </si>
  <si>
    <t>6.3.</t>
  </si>
  <si>
    <t>Молодежная политика и оздоровление детей</t>
  </si>
  <si>
    <t>Другие вопросы в области образования</t>
  </si>
  <si>
    <t>Культура, кинематография и средства массовой информации</t>
  </si>
  <si>
    <t>7.1.</t>
  </si>
  <si>
    <t>Культура</t>
  </si>
  <si>
    <t>7.2.</t>
  </si>
  <si>
    <t>7.3.</t>
  </si>
  <si>
    <t>Периодическая печать и издательства</t>
  </si>
  <si>
    <t>8.1.</t>
  </si>
  <si>
    <t>8.2.</t>
  </si>
  <si>
    <t>8.3.</t>
  </si>
  <si>
    <t>Социальная политика</t>
  </si>
  <si>
    <t>10</t>
  </si>
  <si>
    <t>Пенсионное обеспечение</t>
  </si>
  <si>
    <t>Социальное обеспечение населения</t>
  </si>
  <si>
    <t>Другие вопросы в области социальной политики</t>
  </si>
  <si>
    <t>Детские дошкольные учреждения</t>
  </si>
  <si>
    <t>Обеспечение деятельности подведомственных учреждений</t>
  </si>
  <si>
    <t>Выполнение функций бюджетными учреждениями</t>
  </si>
  <si>
    <t>Школы-детские сады, школы начальные, неполные средние и средние</t>
  </si>
  <si>
    <t>4200000</t>
  </si>
  <si>
    <t>4209900</t>
  </si>
  <si>
    <t>001</t>
  </si>
  <si>
    <t>4210000</t>
  </si>
  <si>
    <t>4219900</t>
  </si>
  <si>
    <t xml:space="preserve">Ежемесячное денежное вознаграждение за классное руководство </t>
  </si>
  <si>
    <t>5200900</t>
  </si>
  <si>
    <t>Иные безвозмездные и безвозвратные перечисления</t>
  </si>
  <si>
    <t>5200000</t>
  </si>
  <si>
    <t>Учреждения по внешкольной работе с детьми</t>
  </si>
  <si>
    <t>4230000</t>
  </si>
  <si>
    <t>4239900</t>
  </si>
  <si>
    <t>Целевые программы муниципальных образований</t>
  </si>
  <si>
    <t>7950000</t>
  </si>
  <si>
    <t xml:space="preserve">Проведение оздоровительных и других мероприятий для детей и молодежи </t>
  </si>
  <si>
    <t>447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</si>
  <si>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</si>
  <si>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0020000</t>
  </si>
  <si>
    <t>Центральный аппарат</t>
  </si>
  <si>
    <t>0020400</t>
  </si>
  <si>
    <t>Выполнение функций органами местного самоуправления</t>
  </si>
  <si>
    <t>Мероприятия в сфере образования</t>
  </si>
  <si>
    <t>022</t>
  </si>
  <si>
    <t>Охрана семьи и детства</t>
  </si>
  <si>
    <t>Социальная помощь</t>
  </si>
  <si>
    <t>5050000</t>
  </si>
  <si>
    <t>Выплата единовременного пособия при всех формах устройства детей, лишенных родительского попечения, в семью</t>
  </si>
  <si>
    <t>5050502</t>
  </si>
  <si>
    <t>Социальные выплаты</t>
  </si>
  <si>
    <t>005</t>
  </si>
  <si>
    <t>Мероприятия в области социальной политики</t>
  </si>
  <si>
    <t>068</t>
  </si>
  <si>
    <t>Организационно-воспитательная работа с молодежью</t>
  </si>
  <si>
    <t>4310000</t>
  </si>
  <si>
    <t>Дворцы и дома культуры, другие учреждения культуры и средств массовой информации</t>
  </si>
  <si>
    <t>4400000</t>
  </si>
  <si>
    <t>4409900</t>
  </si>
  <si>
    <t>Музеи и постоянные выставки</t>
  </si>
  <si>
    <t>4410000</t>
  </si>
  <si>
    <t>4419900</t>
  </si>
  <si>
    <t>Библиотеки</t>
  </si>
  <si>
    <t>4420000</t>
  </si>
  <si>
    <t>4429900</t>
  </si>
  <si>
    <t>Мероприятия в сфере культуры, кинематографии и средств массовой информации</t>
  </si>
  <si>
    <t>4500000</t>
  </si>
  <si>
    <t>Комплектование книжных фондов библиотек муниципальных образований</t>
  </si>
  <si>
    <t>4500600</t>
  </si>
  <si>
    <t xml:space="preserve">Культура </t>
  </si>
  <si>
    <t>Периодические издания,  учрежденные органами  законодательной и исполнительной власти</t>
  </si>
  <si>
    <t>4570000</t>
  </si>
  <si>
    <t>4579900</t>
  </si>
  <si>
    <t>Стационарная медицинская помощь</t>
  </si>
  <si>
    <t>Больницы, клиники, госпитали, медико-санитарные части</t>
  </si>
  <si>
    <t>4700000</t>
  </si>
  <si>
    <t>4709900</t>
  </si>
  <si>
    <t>Скорая медицинская помощь</t>
  </si>
  <si>
    <t>Денежные выплаты медицинскому персоналу фельдшерско-акушерских пунктов, врачам, фельдшерам и медицинским сестрам  скорой медицинской помощи</t>
  </si>
  <si>
    <t>5201800</t>
  </si>
  <si>
    <t>Заготовка, переработка, хранение и обеспечение безопасности донорской крови и ее компонентов</t>
  </si>
  <si>
    <t>Центры, станции и отделения переливания крови</t>
  </si>
  <si>
    <t>4720000</t>
  </si>
  <si>
    <t>4729900</t>
  </si>
  <si>
    <t>Другие вопросы в области здравоохранения, физической культуры и спорта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</si>
  <si>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</si>
  <si>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4520000</t>
  </si>
  <si>
    <t>4529900</t>
  </si>
  <si>
    <t>Амбулаторная помощь</t>
  </si>
  <si>
    <t>Поликлиники, амбулатории, диагностические центры</t>
  </si>
  <si>
    <t>4710000</t>
  </si>
  <si>
    <t>4719900</t>
  </si>
  <si>
    <t>Воинские формирования (органы, подразделения)</t>
  </si>
  <si>
    <t>2020000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</si>
  <si>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</si>
  <si>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2020100</t>
  </si>
  <si>
    <t>Функционирование органов в сфере национальной безопасности, правоохранительной деятельности и обороны</t>
  </si>
  <si>
    <t>014</t>
  </si>
  <si>
    <t>Функционирование органов в сфере национальной безопасности и правоохранительной деятельности</t>
  </si>
  <si>
    <t>2026700</t>
  </si>
  <si>
    <t>Региональные целевые программы</t>
  </si>
  <si>
    <t>5220000</t>
  </si>
  <si>
    <t xml:space="preserve">Военный персонал </t>
  </si>
  <si>
    <t>2025800</t>
  </si>
  <si>
    <t>Пособия и компенсации военнослужащим, приравненным к ним лицам, а также уволенным из их числа</t>
  </si>
  <si>
    <t>2027600</t>
  </si>
  <si>
    <t>Бюджетные инвестиции</t>
  </si>
  <si>
    <t>003</t>
  </si>
  <si>
    <t>5222604</t>
  </si>
  <si>
    <t>Физическая культура и спорт</t>
  </si>
  <si>
    <t>Предупреждение и ликвидация последствий чрезвычайных ситуаций природного и техногенного характера, гражданская оборона</t>
  </si>
  <si>
    <t xml:space="preserve">Поддержка жилищного хозяйства </t>
  </si>
  <si>
    <t>3500000</t>
  </si>
  <si>
    <t>Субсидии юридическим лицам</t>
  </si>
  <si>
    <t>006</t>
  </si>
  <si>
    <t xml:space="preserve">Поддержка коммунального хозяйства </t>
  </si>
  <si>
    <t>3510000</t>
  </si>
  <si>
    <t>3510400</t>
  </si>
  <si>
    <t>Компенсация выпадающих доходов организациям, предоставляющим населению услуги газоснабжения по тарифам, не обеспечивающим возмещение издержек</t>
  </si>
  <si>
    <t>Благоустройство</t>
  </si>
  <si>
    <t>6000000</t>
  </si>
  <si>
    <t>Уличное освещение</t>
  </si>
  <si>
    <t>6000100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</si>
  <si>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</si>
  <si>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</si>
  <si>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Озеленение</t>
  </si>
  <si>
    <t>6000300</t>
  </si>
  <si>
    <t>Прочие мероприятия по благоустройству городских округов и поселений</t>
  </si>
  <si>
    <t>6000500</t>
  </si>
  <si>
    <t>Мероприятия по проведению оздоровительной кампании детей</t>
  </si>
  <si>
    <t>4320000</t>
  </si>
  <si>
    <t xml:space="preserve">Оздоровление детей </t>
  </si>
  <si>
    <t>4320200</t>
  </si>
  <si>
    <t>0010000</t>
  </si>
  <si>
    <t>Оценка недвижимости, признание прав и регулирование отношений по государственной и муниципальной собственности</t>
  </si>
  <si>
    <t>0900000</t>
  </si>
  <si>
    <t>Отдельные мероприятия в области морского и речного транспорта</t>
  </si>
  <si>
    <t>7.4.</t>
  </si>
  <si>
    <t>Доплаты к пенсиям государственных служащих субъектов Российской Федерации и муниципальных служащих</t>
  </si>
  <si>
    <t>4900000</t>
  </si>
  <si>
    <t xml:space="preserve">                 разделам и подразделам, целевым статьм и видам расходов функциональной классификации расходов</t>
  </si>
  <si>
    <t>Глава муниципального образования</t>
  </si>
  <si>
    <t>0020300</t>
  </si>
  <si>
    <t xml:space="preserve">Выполнение функций органами местного самоуправления </t>
  </si>
  <si>
    <t xml:space="preserve">Функционирование высшего должностного лица субъекта Российской Федерации и муниципального образования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</si>
  <si>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</si>
  <si>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</si>
  <si>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0021100</t>
  </si>
  <si>
    <t>Депутаты представительного органа муниципального образования</t>
  </si>
  <si>
    <t>0021200</t>
  </si>
  <si>
    <t>Функционирование Правительства Российской Федерации, высших исполнительных органов государственной власти субъектов Росийской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</si>
  <si>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</si>
  <si>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12</t>
  </si>
  <si>
    <t>Резервные фонды местных администраций</t>
  </si>
  <si>
    <t>0700500</t>
  </si>
  <si>
    <t>Прочие расходы</t>
  </si>
  <si>
    <t>013</t>
  </si>
  <si>
    <t>14</t>
  </si>
  <si>
    <t xml:space="preserve">Государственная регистрация актов гражданского состояния </t>
  </si>
  <si>
    <t>0013800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</si>
  <si>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</si>
  <si>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0900200</t>
  </si>
  <si>
    <t>Мероприятия по гражданской обороне</t>
  </si>
  <si>
    <t>Подготовка населения и организаций к действиям в чрезвычайной ситуации в мирное и военное время</t>
  </si>
  <si>
    <t>2190000</t>
  </si>
  <si>
    <t>2190100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</si>
  <si>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</si>
  <si>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</si>
  <si>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Руководство и управление в сфере установленных функций</t>
  </si>
  <si>
    <t xml:space="preserve">Реализация государственной политики в области приватизации и управления </t>
  </si>
  <si>
    <t>Национальная  экономика</t>
  </si>
  <si>
    <t xml:space="preserve">Транспорт            </t>
  </si>
  <si>
    <t>Водный транспорт</t>
  </si>
  <si>
    <t>3010000</t>
  </si>
  <si>
    <t>3010300</t>
  </si>
  <si>
    <t>Автомобильный транспорт</t>
  </si>
  <si>
    <t>3030000</t>
  </si>
  <si>
    <t>Отдельные мероприятия в области автомобильного транспорта</t>
  </si>
  <si>
    <t>3030200</t>
  </si>
  <si>
    <t>Пенсии</t>
  </si>
  <si>
    <t>Доплаты к пенсиям, дополнительное пенсионное обеспечение</t>
  </si>
  <si>
    <t>4910000</t>
  </si>
  <si>
    <t>4910100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</si>
  <si>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</si>
  <si>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5053600</t>
  </si>
  <si>
    <t>0700000</t>
  </si>
  <si>
    <t>0705000</t>
  </si>
  <si>
    <t>4.4.</t>
  </si>
  <si>
    <t>5.2.</t>
  </si>
  <si>
    <t>5.3.</t>
  </si>
  <si>
    <t>5.4.</t>
  </si>
  <si>
    <t xml:space="preserve">Подпрограмма "Развитие материально- технической базы учреждений здравоохранения Ханты-Мансийского автономного округа -Югры" </t>
  </si>
  <si>
    <t>7.5.</t>
  </si>
  <si>
    <t>7.6.</t>
  </si>
  <si>
    <t>8.4.</t>
  </si>
  <si>
    <t>5222705</t>
  </si>
  <si>
    <t>5222701</t>
  </si>
  <si>
    <t>5222706</t>
  </si>
  <si>
    <t xml:space="preserve">из федерального бюджета </t>
  </si>
  <si>
    <t>5201801</t>
  </si>
  <si>
    <t xml:space="preserve">из бюджета автономного округа </t>
  </si>
  <si>
    <t>5201802</t>
  </si>
  <si>
    <t>5200902</t>
  </si>
  <si>
    <t>5200901</t>
  </si>
  <si>
    <t>Программа "Социально-экономическое развитие коренных малочисленных народов Севера Ханты-Мансийского автономного округа - Югры" на 2008-2012 годы</t>
  </si>
  <si>
    <t>5221400</t>
  </si>
  <si>
    <t xml:space="preserve">Вещевое обеспечение </t>
  </si>
  <si>
    <t>2027200</t>
  </si>
  <si>
    <t>010</t>
  </si>
  <si>
    <t>020</t>
  </si>
  <si>
    <t>МБУ "Управление по жилищно-коммунальным услугам администрации города Урай"</t>
  </si>
  <si>
    <t>МБУ "Управление здравоохранения администрации города Урай"</t>
  </si>
  <si>
    <t>Мероприятия в области сельскохозяйственного производства</t>
  </si>
  <si>
    <t>342</t>
  </si>
  <si>
    <t>Поддержка жилищного хозяйства</t>
  </si>
  <si>
    <t>Мероприятия в области жилищного хозяйства</t>
  </si>
  <si>
    <t>3500300</t>
  </si>
  <si>
    <t>МБУ «Управление градостроительства администрации города Урай"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</si>
  <si>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</si>
  <si>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0980000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</si>
  <si>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</si>
  <si>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0980200</t>
  </si>
  <si>
    <t>Обеспечение мероприятий по капитальному ремонту многоквартирных домов за счет средств бюджетов</t>
  </si>
  <si>
    <t>0980201</t>
  </si>
  <si>
    <t>Организация и содержание мест захоронения</t>
  </si>
  <si>
    <t>6000400</t>
  </si>
  <si>
    <t>Мероприятия в области здравоохранения, спорта и физической культуры</t>
  </si>
  <si>
    <t>079</t>
  </si>
  <si>
    <t>Другие вопросы в области культуры, кинематографии и средств массовой информации</t>
  </si>
  <si>
    <t>Мероприятия по поддержке и развитию культуры, искусства, кинематографии, средств массовой информации и архивного дела</t>
  </si>
  <si>
    <t>023</t>
  </si>
  <si>
    <t>Другие вопросы в области национальной безопасности и правохранительной деятельности</t>
  </si>
  <si>
    <t xml:space="preserve">Подпрограмма "Строительство и (или) приобретение жилых помещений для предоставления на условиях социального найма, формирование маневренного жилищного фонда" 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</si>
  <si>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</t>
  </si>
  <si>
    <t>0980100</t>
  </si>
  <si>
    <t xml:space="preserve"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 </t>
  </si>
  <si>
    <t>0980101</t>
  </si>
  <si>
    <t>0013801</t>
  </si>
  <si>
    <t>0013802</t>
  </si>
  <si>
    <t>5223600</t>
  </si>
  <si>
    <t xml:space="preserve">Другие вопросы в области социальной политики </t>
  </si>
  <si>
    <t>Обслуживание государственного и муниципального долга</t>
  </si>
  <si>
    <t>11</t>
  </si>
  <si>
    <t>Процентные платежи по муниципальному долгу</t>
  </si>
  <si>
    <t>0650300</t>
  </si>
  <si>
    <t xml:space="preserve">Процентные платежи по долговым обязательствам </t>
  </si>
  <si>
    <t>0650000</t>
  </si>
  <si>
    <t>1.7.</t>
  </si>
  <si>
    <t xml:space="preserve">            Распределение расходов бюджета городского округа город Урай на 2010 год по </t>
  </si>
  <si>
    <t xml:space="preserve">            Распределение расходов бюджета городского округа Урай на 2010 год </t>
  </si>
  <si>
    <t>Реализация государственных функций, связанных с общегосударственным управлением</t>
  </si>
  <si>
    <t>0929900</t>
  </si>
  <si>
    <t>0029900</t>
  </si>
  <si>
    <t>4319900</t>
  </si>
  <si>
    <t>Субсидии некоммерческим организациям</t>
  </si>
  <si>
    <t>019</t>
  </si>
  <si>
    <t xml:space="preserve">МБУ "Управление образования администрации города Урай" 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</si>
  <si>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</si>
  <si>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5201000</t>
  </si>
  <si>
    <t>5201001</t>
  </si>
  <si>
    <t>5201002</t>
  </si>
  <si>
    <t>Связь и информатика</t>
  </si>
  <si>
    <t>Дорожное хозяйство</t>
  </si>
  <si>
    <t>038</t>
  </si>
  <si>
    <t>Мероприятия по повышению безопасности дорожного движения</t>
  </si>
  <si>
    <t xml:space="preserve">Бюджетные инвестиции в объекты капитального строительства собственности муниципальных образований </t>
  </si>
  <si>
    <t>1020102</t>
  </si>
  <si>
    <t>Бюджетные инвестиции в объекты капитального строительства, не включенные в целевые программы</t>
  </si>
  <si>
    <t>1020000</t>
  </si>
  <si>
    <t>5201300</t>
  </si>
  <si>
    <t>Обеспечение проведения выборов и референдумов</t>
  </si>
  <si>
    <t>Проведение выборов и референдумов</t>
  </si>
  <si>
    <t>Проведение выборов в представительные органы муниципального образования</t>
  </si>
  <si>
    <t>0200000</t>
  </si>
  <si>
    <t>0200002</t>
  </si>
  <si>
    <t>1.8.</t>
  </si>
  <si>
    <t>Реализация государственных функций в области социальной политики</t>
  </si>
  <si>
    <t>5140000</t>
  </si>
  <si>
    <t>5140100</t>
  </si>
  <si>
    <t>Содержание ребенка в семье опекуна и приемной семье, а также вознаграждение, причитающееся приемному родителю</t>
  </si>
  <si>
    <t>3.4.</t>
  </si>
  <si>
    <t>3.5.</t>
  </si>
  <si>
    <t>Перечень целевых программ городского округа город Урай на 2010 год</t>
  </si>
  <si>
    <t>Сумма на год</t>
  </si>
  <si>
    <t>Программа "Развитие материально-технической базы социальной сферы Ханты-Мансийского автономного округа -Югры"на 2006-2010 годы</t>
  </si>
  <si>
    <t>Подпрограмма "Развитие материально-технической базы учреждений здравоохранения Ханты-Мансийского автономного округа -Югры"</t>
  </si>
  <si>
    <t>460</t>
  </si>
  <si>
    <t>Программа "Улучшение жилищных условий населения Ханты-Мансийского автономного округа -Югры"на 2005-2015 годы</t>
  </si>
  <si>
    <t>Подпрограмма "Строительство и (или) приобретение жилых помещений для предоставления на условиях социального найма, формирование маневренного жилищного фонда"</t>
  </si>
  <si>
    <t>Программа "Государственная поддержка агропромышленного комплекса Ханты-Мансийского автономного округа -Югры" на 2008-2011 годы</t>
  </si>
  <si>
    <t xml:space="preserve">Национальная экономика </t>
  </si>
  <si>
    <t xml:space="preserve">Другие вопросы в области национальной экономики </t>
  </si>
  <si>
    <t>Администрация города Урай</t>
  </si>
  <si>
    <t>Программа "Развитие муниципальной службы в городе Урай" на 2009-2011 годы</t>
  </si>
  <si>
    <t>230</t>
  </si>
  <si>
    <t>260</t>
  </si>
  <si>
    <t>480</t>
  </si>
  <si>
    <t>Программа "Реализация приоритетного национального проекта "Развитие агропромышленного комплекса" на территории города Урай" на 2008-2010 годы</t>
  </si>
  <si>
    <t xml:space="preserve">Сельское хозяйство и рыболовство </t>
  </si>
  <si>
    <t>Программа "Повышение безопасности дорожного движения в городе Урай" на 2008-2012 годы</t>
  </si>
  <si>
    <t>Программа "Информатизация" на 2009-2011 годы</t>
  </si>
  <si>
    <t>9.</t>
  </si>
  <si>
    <t>Программа "Развитие субъектов малого и среднего предпринимательства в городе Урай" на 2008-2010 годы</t>
  </si>
  <si>
    <t>10.</t>
  </si>
  <si>
    <t>Программа "Внедрение информационной системы обеспечения градостроительной деятельности города Урай на 2009-2014 годы"</t>
  </si>
  <si>
    <t>11.</t>
  </si>
  <si>
    <t>Программа "Обустройство городских лесов города Урай на 2009-2018 годы"</t>
  </si>
  <si>
    <t>12.</t>
  </si>
  <si>
    <t>Программа "Использование и охрана земель муниципального образования город Урай"</t>
  </si>
  <si>
    <t>13.</t>
  </si>
  <si>
    <t>Программа "Реконструкция и модернизация жилищного фонда города Урай 2006-2012 годы"</t>
  </si>
  <si>
    <t>14.</t>
  </si>
  <si>
    <t>Программа "Капитальный ремонт и реконструкция инженерных сетей города Урай на 2006-2012 годы"</t>
  </si>
  <si>
    <t>15.</t>
  </si>
  <si>
    <t>Программа "Молодежь города Урай" на 2010 год</t>
  </si>
  <si>
    <t>16.</t>
  </si>
  <si>
    <t>Программа "Реализация приоритетного национального проекта "Образование" в городе Урай" на 2008-2010 годы</t>
  </si>
  <si>
    <t xml:space="preserve">МУ "Управление образования администрации города Урай" </t>
  </si>
  <si>
    <t>17.</t>
  </si>
  <si>
    <t>Программа "Культура города Урай" на 2009-2011 годы</t>
  </si>
  <si>
    <t xml:space="preserve">Мероприятия по поддержке и развитию культуры, искусства, кинематографии, средств массовой информации и архивного дела </t>
  </si>
  <si>
    <t>18.</t>
  </si>
  <si>
    <t>Программа "Развитие физической культуры и массового спорта в городе Урай" на 2009-2011 годы</t>
  </si>
  <si>
    <t>19.</t>
  </si>
  <si>
    <t>Программа "Реализация приоритетного национального проекта "Здравоохранение" в городе Урай на 2008-2010 годы"</t>
  </si>
  <si>
    <t>ВСЕГО</t>
  </si>
  <si>
    <t>5220400</t>
  </si>
  <si>
    <t>Программа развития малого и среднего предпринимательства в Ханты-Мансийском автономном округе - Югре на 2004-2010 годы</t>
  </si>
  <si>
    <t>20.</t>
  </si>
  <si>
    <t xml:space="preserve">Обеспечение жильем отдельных категорий граждан, установленных федеральными законами от 12.01.1995 № 5-ФЗ "О ветеранах" и от 24.11.1995 № 181-ФЗ "О социальной защите инвалидов в Российской Федерации" </t>
  </si>
  <si>
    <t>5053402</t>
  </si>
  <si>
    <t>Федеральная целевая программа "Жилище"</t>
  </si>
  <si>
    <t>Переселение граждан из жилищного фонда, признанного непригодным для проживания, и (или) жилищного фонда с высоким уровнем износа (более 70%)</t>
  </si>
  <si>
    <t>1040000</t>
  </si>
  <si>
    <t>1040400</t>
  </si>
  <si>
    <t>Федеральная целевая программа "Жилище" на 2002-2010 годы</t>
  </si>
  <si>
    <t>Адресная программа Ханты-Мансийского автономного округа-Югры по переселению граждан из жилищного фонда, признанного непригодным для проживания, и (или) жилищного фонда с высоким уровнем износа на 2009-2011 годы</t>
  </si>
  <si>
    <t>5225500</t>
  </si>
  <si>
    <t>21.</t>
  </si>
  <si>
    <t>22.</t>
  </si>
  <si>
    <t>Адресная программа муниципального образования города Урай  "По переселению граждан из жилищного фонда, признанного непригодным для проживания, и (или) аварийным, на 2010-2011 годы" в рамках Федеральной целевой программы "Жилище"</t>
  </si>
  <si>
    <t xml:space="preserve">Программа "Развитие и модернизация жилищно-коммунального комплекса Ханты-Мансиийского автономного округа -Югры" на 2005-2012 годы </t>
  </si>
  <si>
    <t>5222100</t>
  </si>
  <si>
    <t>Программа "Развитие и модернизация жилищно-коммунального комплекса Ханты-Мансийского автономного округа -Югры"на 2005-2012 годы</t>
  </si>
  <si>
    <t>Программа "Развития материально-технической базы дошкольных образовательных учреждений в ХМАО- Югре" на 2007-2010 годы</t>
  </si>
  <si>
    <t>5224400</t>
  </si>
  <si>
    <t>Программа "Развитие материально-технической базы дошкольных образовательных учреждений Ханты-Мансийского автономного округа -Югры" на 2007-2010 годы</t>
  </si>
  <si>
    <t xml:space="preserve">Подпрограмма "Развитие материально- технической базы учреждений образования Ханты-Мансийского автономного округа -Югры" </t>
  </si>
  <si>
    <t>5222601</t>
  </si>
  <si>
    <t xml:space="preserve">Подпрограмма "Развитие материально- технической базы учреждений культуры Ханты-Мансийского автономного округа -Югры" </t>
  </si>
  <si>
    <t>5222603</t>
  </si>
  <si>
    <t>Подпрограмма "Развитие материально-технической базы учреждений образования Ханты-Мансийского автономного округа -Югры"</t>
  </si>
  <si>
    <t>Подпрограмма "Развитие материально-технической базы учреждений культуры Ханты-Мансийского автономного округа -Югры"</t>
  </si>
  <si>
    <t xml:space="preserve">Подпрограмма "Развитие материально- технической базы учреждений физической культуры и спорта Ханты-Мансийского автономного округа -Югры" </t>
  </si>
  <si>
    <t>5222605</t>
  </si>
  <si>
    <t>Подпрограмма "Развитие материально-технической базы учреждений физической культуры и спорта Ханты-Мансийского автономного округа -Югры"</t>
  </si>
  <si>
    <t>Приложение № 2</t>
  </si>
  <si>
    <t>Приложение № 3</t>
  </si>
  <si>
    <t>Выполнение функций органами местного самоупраления</t>
  </si>
  <si>
    <t>5053401</t>
  </si>
  <si>
    <t xml:space="preserve">Обеспечение жильем отдельных категорий граждан, установленных федеральными законами от 12.01.1995 № 5-ФЗ "О ветеранах", в соответствии с Указом Президента РФ от 07.05.2008 № 714 "Об обеспечении жильем ветеранов Великой Отечественной войны 1941-1945 годов"  </t>
  </si>
  <si>
    <t>Информационные технологии и связь</t>
  </si>
  <si>
    <t>3300000</t>
  </si>
  <si>
    <t>3309900</t>
  </si>
  <si>
    <t>23.</t>
  </si>
  <si>
    <t>24.</t>
  </si>
  <si>
    <t>25.</t>
  </si>
  <si>
    <t>Приложение № 4</t>
  </si>
  <si>
    <t xml:space="preserve">Программа «Содействие занятости населения» на 2008-2010 годы </t>
  </si>
  <si>
    <t>5224500</t>
  </si>
  <si>
    <t>Общеэкономические вопросы</t>
  </si>
  <si>
    <t>26.</t>
  </si>
  <si>
    <t>3.6.</t>
  </si>
  <si>
    <t>МБУ "Управление образования администрации города Урай"</t>
  </si>
  <si>
    <t>Программа "Реализация приоритетного национального проекта "Образование" в Ханты-Мансийском автономном округе-Югре" на 2008-2010 годы</t>
  </si>
  <si>
    <t>5223200</t>
  </si>
  <si>
    <t xml:space="preserve">Подпрограмма"Поддержка способной и талантливой молодежи" </t>
  </si>
  <si>
    <t>5223205</t>
  </si>
  <si>
    <t>27.</t>
  </si>
  <si>
    <t>Программа "Развитие приоритетного национального проекта "Образование" в Ханты-Мансийском автономном округе - Югре" на 2008-2010 годы</t>
  </si>
  <si>
    <t xml:space="preserve">Программы «Развитие образования Ханты–Мансийского автономного округа – Югры» на 2008-2010 годы </t>
  </si>
  <si>
    <t>Подпрограмма "Разработка и реализация новых форм оценки образовательных учреждений, академических и творческих достижений учащихся на всех уровнях образования"</t>
  </si>
  <si>
    <t>5222000</t>
  </si>
  <si>
    <t>5222005</t>
  </si>
  <si>
    <t>6.4.</t>
  </si>
  <si>
    <t>28.</t>
  </si>
  <si>
    <t>0920000</t>
  </si>
  <si>
    <t>Выполнение других обязательств государства</t>
  </si>
  <si>
    <t>0920300</t>
  </si>
  <si>
    <t>Телевидение и радиовещание</t>
  </si>
  <si>
    <t>Телерадиокомпании и телеорганизации</t>
  </si>
  <si>
    <t>4530000</t>
  </si>
  <si>
    <t>4539900</t>
  </si>
  <si>
    <t>Подпрограмма «Обеспечение жильем молодых семей» Федеральной целевой программы "Жилище" на 2002-2010 годы</t>
  </si>
  <si>
    <t>1040200</t>
  </si>
  <si>
    <t xml:space="preserve">Программа "Молодежь Югры" на 2009-2011 годы </t>
  </si>
  <si>
    <t>5220100</t>
  </si>
  <si>
    <t>9.1.</t>
  </si>
  <si>
    <t>29.</t>
  </si>
  <si>
    <t>Подпрограмма "Информатизация образования"</t>
  </si>
  <si>
    <t>5223203</t>
  </si>
  <si>
    <t>009</t>
  </si>
  <si>
    <t>9.2.</t>
  </si>
  <si>
    <t>0939900</t>
  </si>
  <si>
    <t>Отдельные мероприятия в области информационно-коммуникационных технологий и связи</t>
  </si>
  <si>
    <t>3300200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</si>
  <si>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</si>
  <si>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1020100</t>
  </si>
  <si>
    <t>от 22 июля 2010 № 55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</si>
</sst>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C19]d\ mmmm\ yyyy\ &quot;г.&quot;"/>
    <numFmt numFmtId="173" formatCode="000000"/>
    <numFmt numFmtId="174" formatCode="#,##0.00&quot;р.&quot;"/>
    <numFmt numFmtId="175" formatCode="#,##0.000"/>
    <numFmt numFmtId="176" formatCode="#,##0.0"/>
    <numFmt numFmtId="177" formatCode="0.0"/>
    <numFmt numFmtId="178" formatCode="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3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Times New Roman"/>
      <family val="1"/>
    </font>
    <font>
      <sz val="10"/>
      <name val="Times New Roman Cyr"/>
      <family val="1"/>
    </font>
    <font>
      <sz val="10"/>
      <color indexed="8"/>
      <name val="Arial"/>
      <family val="0"/>
    </font>
    <font>
      <b/>
      <sz val="12"/>
      <color indexed="8"/>
      <name val="Times New Roman"/>
      <family val="1"/>
    </font>
    <font>
      <sz val="12"/>
      <color indexed="8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0"/>
      <color indexed="8"/>
      <name val="Times New Roman Cyr"/>
      <family val="1"/>
    </font>
    <font>
      <sz val="8"/>
      <name val="Arial"/>
      <family val="0"/>
    </font>
    <font>
      <sz val="12"/>
      <name val="Arial"/>
      <family val="0"/>
    </font>
    <font>
      <b/>
      <sz val="10"/>
      <name val="Times New Roman Cyr"/>
      <family val="0"/>
    </font>
    <font>
      <sz val="11"/>
      <name val="Times New Roman"/>
      <family val="1"/>
    </font>
    <font>
      <sz val="8"/>
      <name val="Arial CYR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2" borderId="0" applyNumberFormat="0" applyBorder="0" applyAlignment="0" applyProtection="0"/>
    <xf numFmtId="0" fontId="42" fillId="5" borderId="0" applyNumberFormat="0" applyBorder="0" applyAlignment="0" applyProtection="0"/>
    <xf numFmtId="0" fontId="42" fillId="3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6" borderId="0" applyNumberFormat="0" applyBorder="0" applyAlignment="0" applyProtection="0"/>
    <xf numFmtId="0" fontId="42" fillId="9" borderId="0" applyNumberFormat="0" applyBorder="0" applyAlignment="0" applyProtection="0"/>
    <xf numFmtId="0" fontId="42" fillId="3" borderId="0" applyNumberFormat="0" applyBorder="0" applyAlignment="0" applyProtection="0"/>
    <xf numFmtId="0" fontId="41" fillId="10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6" borderId="0" applyNumberFormat="0" applyBorder="0" applyAlignment="0" applyProtection="0"/>
    <xf numFmtId="0" fontId="41" fillId="10" borderId="0" applyNumberFormat="0" applyBorder="0" applyAlignment="0" applyProtection="0"/>
    <xf numFmtId="0" fontId="41" fillId="3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0" borderId="0" applyNumberFormat="0" applyBorder="0" applyAlignment="0" applyProtection="0"/>
    <xf numFmtId="0" fontId="41" fillId="14" borderId="0" applyNumberFormat="0" applyBorder="0" applyAlignment="0" applyProtection="0"/>
    <xf numFmtId="0" fontId="33" fillId="3" borderId="1" applyNumberFormat="0" applyAlignment="0" applyProtection="0"/>
    <xf numFmtId="0" fontId="34" fillId="2" borderId="2" applyNumberFormat="0" applyAlignment="0" applyProtection="0"/>
    <xf numFmtId="0" fontId="35" fillId="2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37" fillId="15" borderId="7" applyNumberFormat="0" applyAlignment="0" applyProtection="0"/>
    <xf numFmtId="0" fontId="26" fillId="0" borderId="0" applyNumberFormat="0" applyFill="0" applyBorder="0" applyAlignment="0" applyProtection="0"/>
    <xf numFmtId="0" fontId="32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31" fillId="16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234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1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1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7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12" fillId="0" borderId="10" xfId="53" applyNumberFormat="1" applyFont="1" applyFill="1" applyBorder="1" applyAlignment="1" applyProtection="1">
      <alignment wrapText="1"/>
      <protection hidden="1"/>
    </xf>
    <xf numFmtId="0" fontId="6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 wrapText="1"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10" xfId="0" applyFont="1" applyBorder="1" applyAlignment="1">
      <alignment horizontal="center" wrapText="1"/>
    </xf>
    <xf numFmtId="0" fontId="19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6" fillId="0" borderId="10" xfId="0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0" fontId="20" fillId="0" borderId="10" xfId="53" applyNumberFormat="1" applyFont="1" applyFill="1" applyBorder="1" applyAlignment="1" applyProtection="1">
      <alignment wrapText="1"/>
      <protection hidden="1"/>
    </xf>
    <xf numFmtId="49" fontId="1" fillId="0" borderId="10" xfId="0" applyNumberFormat="1" applyFont="1" applyFill="1" applyBorder="1" applyAlignment="1">
      <alignment horizontal="center"/>
    </xf>
    <xf numFmtId="0" fontId="5" fillId="18" borderId="10" xfId="0" applyFont="1" applyFill="1" applyBorder="1" applyAlignment="1">
      <alignment horizontal="right"/>
    </xf>
    <xf numFmtId="0" fontId="5" fillId="18" borderId="10" xfId="0" applyFont="1" applyFill="1" applyBorder="1" applyAlignment="1">
      <alignment/>
    </xf>
    <xf numFmtId="49" fontId="5" fillId="18" borderId="10" xfId="0" applyNumberFormat="1" applyFont="1" applyFill="1" applyBorder="1" applyAlignment="1">
      <alignment horizontal="center"/>
    </xf>
    <xf numFmtId="177" fontId="5" fillId="18" borderId="10" xfId="0" applyNumberFormat="1" applyFont="1" applyFill="1" applyBorder="1" applyAlignment="1">
      <alignment/>
    </xf>
    <xf numFmtId="177" fontId="7" fillId="18" borderId="10" xfId="0" applyNumberFormat="1" applyFont="1" applyFill="1" applyBorder="1" applyAlignment="1">
      <alignment/>
    </xf>
    <xf numFmtId="0" fontId="1" fillId="0" borderId="11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right" wrapText="1"/>
    </xf>
    <xf numFmtId="0" fontId="6" fillId="0" borderId="13" xfId="0" applyFont="1" applyFill="1" applyBorder="1" applyAlignment="1">
      <alignment wrapText="1"/>
    </xf>
    <xf numFmtId="176" fontId="1" fillId="0" borderId="10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left"/>
    </xf>
    <xf numFmtId="176" fontId="1" fillId="0" borderId="13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/>
    </xf>
    <xf numFmtId="176" fontId="1" fillId="0" borderId="13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3" xfId="0" applyNumberFormat="1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176" fontId="5" fillId="18" borderId="13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24" fillId="0" borderId="0" xfId="0" applyFont="1" applyAlignment="1">
      <alignment/>
    </xf>
    <xf numFmtId="0" fontId="5" fillId="0" borderId="12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wrapText="1"/>
    </xf>
    <xf numFmtId="176" fontId="5" fillId="0" borderId="13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0" fontId="23" fillId="0" borderId="10" xfId="54" applyNumberFormat="1" applyFont="1" applyFill="1" applyBorder="1" applyAlignment="1" applyProtection="1">
      <alignment wrapText="1"/>
      <protection hidden="1"/>
    </xf>
    <xf numFmtId="3" fontId="5" fillId="0" borderId="10" xfId="0" applyNumberFormat="1" applyFont="1" applyFill="1" applyBorder="1" applyAlignment="1">
      <alignment horizontal="center"/>
    </xf>
    <xf numFmtId="0" fontId="5" fillId="0" borderId="13" xfId="0" applyNumberFormat="1" applyFont="1" applyFill="1" applyBorder="1" applyAlignment="1">
      <alignment horizontal="center" wrapText="1"/>
    </xf>
    <xf numFmtId="0" fontId="1" fillId="0" borderId="13" xfId="0" applyNumberFormat="1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center"/>
    </xf>
    <xf numFmtId="176" fontId="5" fillId="0" borderId="13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5" fillId="0" borderId="13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177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176" fontId="5" fillId="0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 wrapText="1"/>
    </xf>
    <xf numFmtId="176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vertical="center" wrapText="1" shrinkToFit="1"/>
    </xf>
    <xf numFmtId="0" fontId="8" fillId="0" borderId="0" xfId="0" applyFont="1" applyAlignment="1">
      <alignment/>
    </xf>
    <xf numFmtId="0" fontId="5" fillId="0" borderId="0" xfId="0" applyFont="1" applyFill="1" applyAlignment="1">
      <alignment wrapText="1"/>
    </xf>
    <xf numFmtId="16" fontId="1" fillId="0" borderId="10" xfId="0" applyNumberFormat="1" applyFont="1" applyFill="1" applyBorder="1" applyAlignment="1">
      <alignment horizontal="center"/>
    </xf>
    <xf numFmtId="177" fontId="5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0" fontId="5" fillId="0" borderId="10" xfId="0" applyFont="1" applyFill="1" applyBorder="1" applyAlignment="1">
      <alignment horizontal="right"/>
    </xf>
    <xf numFmtId="0" fontId="5" fillId="0" borderId="10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wrapText="1"/>
    </xf>
    <xf numFmtId="0" fontId="6" fillId="0" borderId="0" xfId="0" applyFont="1" applyFill="1" applyAlignment="1">
      <alignment wrapText="1"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right"/>
    </xf>
    <xf numFmtId="0" fontId="1" fillId="0" borderId="10" xfId="0" applyFont="1" applyFill="1" applyBorder="1" applyAlignment="1">
      <alignment wrapText="1"/>
    </xf>
    <xf numFmtId="0" fontId="1" fillId="0" borderId="18" xfId="0" applyFont="1" applyFill="1" applyBorder="1" applyAlignment="1">
      <alignment/>
    </xf>
    <xf numFmtId="0" fontId="7" fillId="0" borderId="10" xfId="0" applyFont="1" applyFill="1" applyBorder="1" applyAlignment="1">
      <alignment horizontal="right"/>
    </xf>
    <xf numFmtId="0" fontId="5" fillId="0" borderId="19" xfId="0" applyFont="1" applyFill="1" applyBorder="1" applyAlignment="1">
      <alignment wrapText="1"/>
    </xf>
    <xf numFmtId="49" fontId="7" fillId="0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right"/>
    </xf>
    <xf numFmtId="0" fontId="1" fillId="0" borderId="19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/>
    </xf>
    <xf numFmtId="0" fontId="6" fillId="0" borderId="20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1" fillId="0" borderId="14" xfId="0" applyFont="1" applyFill="1" applyBorder="1" applyAlignment="1">
      <alignment horizontal="right"/>
    </xf>
    <xf numFmtId="0" fontId="6" fillId="0" borderId="13" xfId="0" applyFont="1" applyFill="1" applyBorder="1" applyAlignment="1">
      <alignment wrapText="1"/>
    </xf>
    <xf numFmtId="0" fontId="6" fillId="0" borderId="14" xfId="0" applyFont="1" applyFill="1" applyBorder="1" applyAlignment="1">
      <alignment horizontal="right"/>
    </xf>
    <xf numFmtId="0" fontId="1" fillId="0" borderId="21" xfId="0" applyFont="1" applyFill="1" applyBorder="1" applyAlignment="1">
      <alignment wrapText="1"/>
    </xf>
    <xf numFmtId="49" fontId="6" fillId="0" borderId="14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6" xfId="0" applyFont="1" applyFill="1" applyBorder="1" applyAlignment="1">
      <alignment horizontal="right"/>
    </xf>
    <xf numFmtId="0" fontId="20" fillId="0" borderId="10" xfId="53" applyNumberFormat="1" applyFont="1" applyFill="1" applyBorder="1" applyAlignment="1" applyProtection="1">
      <alignment wrapText="1"/>
      <protection hidden="1"/>
    </xf>
    <xf numFmtId="49" fontId="6" fillId="0" borderId="16" xfId="0" applyNumberFormat="1" applyFont="1" applyFill="1" applyBorder="1" applyAlignment="1">
      <alignment horizontal="center"/>
    </xf>
    <xf numFmtId="0" fontId="6" fillId="0" borderId="16" xfId="0" applyFont="1" applyFill="1" applyBorder="1" applyAlignment="1">
      <alignment/>
    </xf>
    <xf numFmtId="0" fontId="1" fillId="0" borderId="22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0" fontId="12" fillId="0" borderId="10" xfId="53" applyNumberFormat="1" applyFont="1" applyFill="1" applyBorder="1" applyAlignment="1" applyProtection="1">
      <alignment wrapText="1"/>
      <protection hidden="1"/>
    </xf>
    <xf numFmtId="0" fontId="6" fillId="0" borderId="10" xfId="0" applyFont="1" applyFill="1" applyBorder="1" applyAlignment="1">
      <alignment/>
    </xf>
    <xf numFmtId="0" fontId="20" fillId="0" borderId="10" xfId="54" applyNumberFormat="1" applyFont="1" applyFill="1" applyBorder="1" applyAlignment="1" applyProtection="1">
      <alignment wrapText="1"/>
      <protection hidden="1"/>
    </xf>
    <xf numFmtId="0" fontId="7" fillId="0" borderId="0" xfId="0" applyFont="1" applyFill="1" applyAlignment="1">
      <alignment wrapText="1"/>
    </xf>
    <xf numFmtId="0" fontId="7" fillId="0" borderId="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0" xfId="0" applyFont="1" applyFill="1" applyAlignment="1">
      <alignment/>
    </xf>
    <xf numFmtId="0" fontId="5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0" borderId="23" xfId="0" applyFont="1" applyFill="1" applyBorder="1" applyAlignment="1">
      <alignment wrapText="1"/>
    </xf>
    <xf numFmtId="49" fontId="25" fillId="0" borderId="17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wrapText="1"/>
    </xf>
    <xf numFmtId="177" fontId="5" fillId="0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16" fontId="5" fillId="0" borderId="10" xfId="0" applyNumberFormat="1" applyFont="1" applyFill="1" applyBorder="1" applyAlignment="1">
      <alignment horizontal="right"/>
    </xf>
    <xf numFmtId="0" fontId="5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2" fontId="1" fillId="0" borderId="10" xfId="0" applyNumberFormat="1" applyFont="1" applyFill="1" applyBorder="1" applyAlignment="1">
      <alignment horizontal="right"/>
    </xf>
    <xf numFmtId="49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right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right"/>
    </xf>
    <xf numFmtId="49" fontId="7" fillId="0" borderId="10" xfId="0" applyNumberFormat="1" applyFont="1" applyFill="1" applyBorder="1" applyAlignment="1">
      <alignment horizontal="right" wrapText="1"/>
    </xf>
    <xf numFmtId="0" fontId="1" fillId="0" borderId="24" xfId="0" applyFont="1" applyFill="1" applyBorder="1" applyAlignment="1">
      <alignment wrapText="1"/>
    </xf>
    <xf numFmtId="49" fontId="25" fillId="0" borderId="1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49" fontId="6" fillId="0" borderId="10" xfId="0" applyNumberFormat="1" applyFont="1" applyFill="1" applyBorder="1" applyAlignment="1">
      <alignment horizontal="right" wrapText="1"/>
    </xf>
    <xf numFmtId="0" fontId="1" fillId="0" borderId="13" xfId="0" applyFont="1" applyFill="1" applyBorder="1" applyAlignment="1">
      <alignment wrapText="1"/>
    </xf>
    <xf numFmtId="0" fontId="6" fillId="0" borderId="10" xfId="0" applyFont="1" applyFill="1" applyBorder="1" applyAlignment="1">
      <alignment wrapText="1" shrinkToFit="1"/>
    </xf>
    <xf numFmtId="49" fontId="7" fillId="0" borderId="14" xfId="0" applyNumberFormat="1" applyFont="1" applyFill="1" applyBorder="1" applyAlignment="1">
      <alignment horizontal="right" wrapText="1"/>
    </xf>
    <xf numFmtId="49" fontId="7" fillId="0" borderId="16" xfId="0" applyNumberFormat="1" applyFont="1" applyFill="1" applyBorder="1" applyAlignment="1">
      <alignment horizontal="right" wrapText="1"/>
    </xf>
    <xf numFmtId="0" fontId="6" fillId="0" borderId="14" xfId="0" applyFont="1" applyFill="1" applyBorder="1" applyAlignment="1">
      <alignment wrapText="1"/>
    </xf>
    <xf numFmtId="49" fontId="6" fillId="0" borderId="16" xfId="0" applyNumberFormat="1" applyFont="1" applyFill="1" applyBorder="1" applyAlignment="1">
      <alignment horizontal="right" wrapText="1"/>
    </xf>
    <xf numFmtId="0" fontId="6" fillId="0" borderId="25" xfId="0" applyFont="1" applyFill="1" applyBorder="1" applyAlignment="1">
      <alignment wrapText="1"/>
    </xf>
    <xf numFmtId="177" fontId="6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 horizontal="right" wrapText="1"/>
    </xf>
    <xf numFmtId="0" fontId="6" fillId="0" borderId="12" xfId="0" applyFont="1" applyFill="1" applyBorder="1" applyAlignment="1">
      <alignment horizontal="right"/>
    </xf>
    <xf numFmtId="49" fontId="7" fillId="0" borderId="13" xfId="0" applyNumberFormat="1" applyFont="1" applyFill="1" applyBorder="1" applyAlignment="1">
      <alignment horizontal="right" wrapText="1"/>
    </xf>
    <xf numFmtId="0" fontId="7" fillId="0" borderId="13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1" fontId="5" fillId="0" borderId="10" xfId="0" applyNumberFormat="1" applyFont="1" applyFill="1" applyBorder="1" applyAlignment="1">
      <alignment wrapText="1"/>
    </xf>
    <xf numFmtId="0" fontId="7" fillId="19" borderId="10" xfId="0" applyFont="1" applyFill="1" applyBorder="1" applyAlignment="1">
      <alignment horizontal="right"/>
    </xf>
    <xf numFmtId="0" fontId="7" fillId="19" borderId="10" xfId="0" applyFont="1" applyFill="1" applyBorder="1" applyAlignment="1">
      <alignment wrapText="1"/>
    </xf>
    <xf numFmtId="49" fontId="7" fillId="19" borderId="10" xfId="0" applyNumberFormat="1" applyFont="1" applyFill="1" applyBorder="1" applyAlignment="1">
      <alignment horizontal="center"/>
    </xf>
    <xf numFmtId="49" fontId="6" fillId="19" borderId="10" xfId="0" applyNumberFormat="1" applyFont="1" applyFill="1" applyBorder="1" applyAlignment="1">
      <alignment horizontal="center"/>
    </xf>
    <xf numFmtId="0" fontId="7" fillId="19" borderId="10" xfId="0" applyFont="1" applyFill="1" applyBorder="1" applyAlignment="1">
      <alignment/>
    </xf>
    <xf numFmtId="0" fontId="6" fillId="19" borderId="10" xfId="0" applyFont="1" applyFill="1" applyBorder="1" applyAlignment="1">
      <alignment horizontal="right"/>
    </xf>
    <xf numFmtId="0" fontId="6" fillId="19" borderId="10" xfId="0" applyFont="1" applyFill="1" applyBorder="1" applyAlignment="1">
      <alignment wrapText="1"/>
    </xf>
    <xf numFmtId="0" fontId="6" fillId="19" borderId="10" xfId="0" applyFont="1" applyFill="1" applyBorder="1" applyAlignment="1">
      <alignment/>
    </xf>
    <xf numFmtId="0" fontId="5" fillId="19" borderId="10" xfId="0" applyFont="1" applyFill="1" applyBorder="1" applyAlignment="1">
      <alignment horizontal="right"/>
    </xf>
    <xf numFmtId="0" fontId="1" fillId="19" borderId="10" xfId="0" applyFont="1" applyFill="1" applyBorder="1" applyAlignment="1">
      <alignment wrapText="1"/>
    </xf>
    <xf numFmtId="49" fontId="1" fillId="19" borderId="10" xfId="0" applyNumberFormat="1" applyFont="1" applyFill="1" applyBorder="1" applyAlignment="1">
      <alignment horizontal="center"/>
    </xf>
    <xf numFmtId="0" fontId="1" fillId="19" borderId="10" xfId="0" applyFont="1" applyFill="1" applyBorder="1" applyAlignment="1">
      <alignment/>
    </xf>
    <xf numFmtId="0" fontId="1" fillId="19" borderId="18" xfId="0" applyFont="1" applyFill="1" applyBorder="1" applyAlignment="1">
      <alignment/>
    </xf>
    <xf numFmtId="0" fontId="1" fillId="19" borderId="10" xfId="0" applyFont="1" applyFill="1" applyBorder="1" applyAlignment="1">
      <alignment horizontal="right"/>
    </xf>
    <xf numFmtId="49" fontId="6" fillId="19" borderId="10" xfId="0" applyNumberFormat="1" applyFont="1" applyFill="1" applyBorder="1" applyAlignment="1">
      <alignment horizontal="right" wrapText="1"/>
    </xf>
    <xf numFmtId="49" fontId="7" fillId="19" borderId="10" xfId="0" applyNumberFormat="1" applyFont="1" applyFill="1" applyBorder="1" applyAlignment="1">
      <alignment horizontal="right" wrapText="1"/>
    </xf>
    <xf numFmtId="0" fontId="1" fillId="19" borderId="19" xfId="0" applyFont="1" applyFill="1" applyBorder="1" applyAlignment="1">
      <alignment wrapText="1"/>
    </xf>
    <xf numFmtId="0" fontId="6" fillId="19" borderId="0" xfId="0" applyFont="1" applyFill="1" applyAlignment="1">
      <alignment wrapText="1"/>
    </xf>
    <xf numFmtId="0" fontId="5" fillId="19" borderId="12" xfId="0" applyFont="1" applyFill="1" applyBorder="1" applyAlignment="1">
      <alignment horizontal="center" wrapText="1"/>
    </xf>
    <xf numFmtId="0" fontId="5" fillId="19" borderId="10" xfId="0" applyFont="1" applyFill="1" applyBorder="1" applyAlignment="1">
      <alignment horizontal="left" wrapText="1"/>
    </xf>
    <xf numFmtId="49" fontId="5" fillId="19" borderId="10" xfId="0" applyNumberFormat="1" applyFont="1" applyFill="1" applyBorder="1" applyAlignment="1">
      <alignment horizontal="center"/>
    </xf>
    <xf numFmtId="0" fontId="5" fillId="19" borderId="13" xfId="0" applyNumberFormat="1" applyFont="1" applyFill="1" applyBorder="1" applyAlignment="1">
      <alignment horizontal="center" wrapText="1"/>
    </xf>
    <xf numFmtId="0" fontId="5" fillId="19" borderId="10" xfId="0" applyFont="1" applyFill="1" applyBorder="1" applyAlignment="1">
      <alignment/>
    </xf>
    <xf numFmtId="0" fontId="7" fillId="19" borderId="13" xfId="0" applyFont="1" applyFill="1" applyBorder="1" applyAlignment="1">
      <alignment wrapText="1"/>
    </xf>
    <xf numFmtId="177" fontId="7" fillId="19" borderId="10" xfId="0" applyNumberFormat="1" applyFont="1" applyFill="1" applyBorder="1" applyAlignment="1">
      <alignment/>
    </xf>
    <xf numFmtId="0" fontId="6" fillId="19" borderId="10" xfId="0" applyFont="1" applyFill="1" applyBorder="1" applyAlignment="1">
      <alignment/>
    </xf>
    <xf numFmtId="0" fontId="1" fillId="19" borderId="10" xfId="0" applyFont="1" applyFill="1" applyBorder="1" applyAlignment="1">
      <alignment/>
    </xf>
    <xf numFmtId="0" fontId="1" fillId="19" borderId="10" xfId="0" applyFont="1" applyFill="1" applyBorder="1" applyAlignment="1">
      <alignment horizontal="center"/>
    </xf>
    <xf numFmtId="0" fontId="1" fillId="19" borderId="10" xfId="0" applyFont="1" applyFill="1" applyBorder="1" applyAlignment="1">
      <alignment wrapText="1"/>
    </xf>
    <xf numFmtId="49" fontId="1" fillId="19" borderId="10" xfId="0" applyNumberFormat="1" applyFont="1" applyFill="1" applyBorder="1" applyAlignment="1">
      <alignment horizontal="center"/>
    </xf>
    <xf numFmtId="176" fontId="1" fillId="19" borderId="10" xfId="0" applyNumberFormat="1" applyFont="1" applyFill="1" applyBorder="1" applyAlignment="1">
      <alignment horizontal="center"/>
    </xf>
    <xf numFmtId="0" fontId="6" fillId="19" borderId="13" xfId="0" applyFont="1" applyFill="1" applyBorder="1" applyAlignment="1">
      <alignment wrapText="1"/>
    </xf>
    <xf numFmtId="49" fontId="1" fillId="19" borderId="10" xfId="0" applyNumberFormat="1" applyFont="1" applyFill="1" applyBorder="1" applyAlignment="1">
      <alignment horizontal="right" wrapText="1"/>
    </xf>
    <xf numFmtId="0" fontId="6" fillId="19" borderId="13" xfId="0" applyFont="1" applyFill="1" applyBorder="1" applyAlignment="1">
      <alignment/>
    </xf>
    <xf numFmtId="0" fontId="1" fillId="19" borderId="10" xfId="0" applyFont="1" applyFill="1" applyBorder="1" applyAlignment="1">
      <alignment horizontal="center" wrapText="1"/>
    </xf>
    <xf numFmtId="0" fontId="5" fillId="19" borderId="10" xfId="0" applyFont="1" applyFill="1" applyBorder="1" applyAlignment="1">
      <alignment horizontal="center"/>
    </xf>
    <xf numFmtId="0" fontId="5" fillId="19" borderId="10" xfId="0" applyFont="1" applyFill="1" applyBorder="1" applyAlignment="1">
      <alignment wrapText="1"/>
    </xf>
    <xf numFmtId="176" fontId="5" fillId="19" borderId="10" xfId="0" applyNumberFormat="1" applyFont="1" applyFill="1" applyBorder="1" applyAlignment="1">
      <alignment horizontal="center"/>
    </xf>
    <xf numFmtId="0" fontId="1" fillId="0" borderId="22" xfId="0" applyFont="1" applyFill="1" applyBorder="1" applyAlignment="1">
      <alignment wrapText="1"/>
    </xf>
    <xf numFmtId="0" fontId="1" fillId="0" borderId="26" xfId="0" applyFont="1" applyFill="1" applyBorder="1" applyAlignment="1">
      <alignment wrapText="1"/>
    </xf>
    <xf numFmtId="0" fontId="6" fillId="19" borderId="12" xfId="0" applyFont="1" applyFill="1" applyBorder="1" applyAlignment="1">
      <alignment horizontal="right"/>
    </xf>
    <xf numFmtId="0" fontId="6" fillId="19" borderId="13" xfId="0" applyFont="1" applyFill="1" applyBorder="1" applyAlignment="1">
      <alignment wrapText="1"/>
    </xf>
    <xf numFmtId="0" fontId="7" fillId="0" borderId="0" xfId="0" applyFont="1" applyAlignment="1">
      <alignment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22" fillId="0" borderId="0" xfId="0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7" xfId="53"/>
    <cellStyle name="Обычный_Tmp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6;&#1082;&#1091;&#1084;&#1077;&#1085;&#1090;&#1099;%20&#1085;&#1072;%20&#1044;&#1091;&#1084;&#1091;%202010\&#1087;&#1088;&#1080;&#1083;&#1086;&#1078;&#1077;&#1085;&#1080;&#1077;%202,3,6,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4"/>
    </sheetNames>
    <sheetDataSet>
      <sheetData sheetId="1">
        <row r="22">
          <cell r="I22">
            <v>80</v>
          </cell>
        </row>
        <row r="51">
          <cell r="H51">
            <v>129</v>
          </cell>
        </row>
        <row r="53">
          <cell r="I53">
            <v>300</v>
          </cell>
        </row>
        <row r="64">
          <cell r="H64">
            <v>750</v>
          </cell>
        </row>
        <row r="74">
          <cell r="H74">
            <v>3000</v>
          </cell>
        </row>
        <row r="77">
          <cell r="H77">
            <v>690</v>
          </cell>
        </row>
        <row r="96">
          <cell r="H96">
            <v>2900</v>
          </cell>
        </row>
        <row r="97">
          <cell r="H97">
            <v>1000</v>
          </cell>
        </row>
        <row r="121">
          <cell r="I121">
            <v>100</v>
          </cell>
        </row>
        <row r="129">
          <cell r="H129">
            <v>1200</v>
          </cell>
        </row>
        <row r="161">
          <cell r="I161">
            <v>150</v>
          </cell>
        </row>
        <row r="165">
          <cell r="I165">
            <v>455</v>
          </cell>
        </row>
        <row r="188">
          <cell r="I188">
            <v>0</v>
          </cell>
        </row>
        <row r="219">
          <cell r="I219">
            <v>59</v>
          </cell>
        </row>
        <row r="247">
          <cell r="I247">
            <v>500</v>
          </cell>
        </row>
        <row r="252">
          <cell r="I252">
            <v>34</v>
          </cell>
        </row>
        <row r="294">
          <cell r="I294">
            <v>90</v>
          </cell>
        </row>
        <row r="347">
          <cell r="I347">
            <v>142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2"/>
  <sheetViews>
    <sheetView zoomScalePageLayoutView="0" workbookViewId="0" topLeftCell="A1">
      <pane xSplit="2" ySplit="9" topLeftCell="C169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8" sqref="B8"/>
    </sheetView>
  </sheetViews>
  <sheetFormatPr defaultColWidth="9.140625" defaultRowHeight="12.75"/>
  <cols>
    <col min="1" max="1" width="3.7109375" style="0" customWidth="1"/>
    <col min="2" max="2" width="43.00390625" style="0" customWidth="1"/>
    <col min="3" max="3" width="5.140625" style="0" customWidth="1"/>
    <col min="4" max="4" width="4.7109375" style="0" customWidth="1"/>
    <col min="5" max="5" width="6.8515625" style="0" customWidth="1"/>
    <col min="6" max="6" width="5.140625" style="0" customWidth="1"/>
    <col min="7" max="7" width="9.421875" style="0" customWidth="1"/>
    <col min="8" max="8" width="11.28125" style="0" customWidth="1"/>
    <col min="9" max="10" width="11.8515625" style="0" customWidth="1"/>
    <col min="11" max="11" width="11.421875" style="0" customWidth="1"/>
  </cols>
  <sheetData>
    <row r="1" spans="1:11" ht="12.75">
      <c r="A1" s="1"/>
      <c r="B1" s="1"/>
      <c r="C1" s="1"/>
      <c r="D1" s="1"/>
      <c r="E1" s="1"/>
      <c r="F1" s="1"/>
      <c r="G1" s="16"/>
      <c r="H1" s="1"/>
      <c r="I1" s="62" t="s">
        <v>431</v>
      </c>
      <c r="J1" s="62"/>
      <c r="K1" s="63"/>
    </row>
    <row r="2" spans="1:11" ht="12.75">
      <c r="A2" s="1"/>
      <c r="B2" s="1"/>
      <c r="C2" s="1"/>
      <c r="D2" s="1"/>
      <c r="E2" s="1"/>
      <c r="F2" s="1"/>
      <c r="G2" s="16"/>
      <c r="H2" s="1"/>
      <c r="I2" s="62" t="s">
        <v>27</v>
      </c>
      <c r="J2" s="62"/>
      <c r="K2" s="63"/>
    </row>
    <row r="3" spans="1:11" ht="12.75">
      <c r="A3" s="1"/>
      <c r="B3" s="1"/>
      <c r="C3" s="1"/>
      <c r="D3" s="1"/>
      <c r="E3" s="1"/>
      <c r="F3" s="1"/>
      <c r="G3" s="16"/>
      <c r="H3" s="1"/>
      <c r="I3" s="62" t="s">
        <v>483</v>
      </c>
      <c r="J3" s="62"/>
      <c r="K3" s="63"/>
    </row>
    <row r="4" spans="1:11" ht="12.75">
      <c r="A4" s="1"/>
      <c r="B4" s="1"/>
      <c r="C4" s="1"/>
      <c r="D4" s="1"/>
      <c r="E4" s="1"/>
      <c r="F4" s="1"/>
      <c r="G4" s="1"/>
      <c r="I4" s="63"/>
      <c r="J4" s="63"/>
      <c r="K4" s="63"/>
    </row>
    <row r="5" spans="1:11" ht="15.75">
      <c r="A5" s="229" t="s">
        <v>323</v>
      </c>
      <c r="B5" s="230"/>
      <c r="C5" s="230"/>
      <c r="D5" s="230"/>
      <c r="E5" s="230"/>
      <c r="F5" s="230"/>
      <c r="G5" s="230"/>
      <c r="H5" s="230"/>
      <c r="I5" s="230"/>
      <c r="J5" s="230"/>
      <c r="K5" s="230"/>
    </row>
    <row r="6" spans="1:11" ht="15.75">
      <c r="A6" s="229" t="s">
        <v>215</v>
      </c>
      <c r="B6" s="230"/>
      <c r="C6" s="230"/>
      <c r="D6" s="230"/>
      <c r="E6" s="230"/>
      <c r="F6" s="230"/>
      <c r="G6" s="230"/>
      <c r="H6" s="230"/>
      <c r="I6" s="230"/>
      <c r="J6" s="230"/>
      <c r="K6" s="230"/>
    </row>
    <row r="7" spans="1:11" ht="12.75">
      <c r="A7" s="1"/>
      <c r="B7" s="1"/>
      <c r="C7" s="1"/>
      <c r="D7" s="1"/>
      <c r="E7" s="1"/>
      <c r="F7" s="1"/>
      <c r="G7" s="1"/>
      <c r="I7" s="17"/>
      <c r="K7" s="17" t="s">
        <v>24</v>
      </c>
    </row>
    <row r="8" spans="1:11" ht="114.75">
      <c r="A8" s="3" t="s">
        <v>1</v>
      </c>
      <c r="B8" s="2" t="s">
        <v>15</v>
      </c>
      <c r="C8" s="5" t="s">
        <v>19</v>
      </c>
      <c r="D8" s="5" t="s">
        <v>20</v>
      </c>
      <c r="E8" s="5" t="s">
        <v>21</v>
      </c>
      <c r="F8" s="5" t="s">
        <v>22</v>
      </c>
      <c r="G8" s="4" t="s">
        <v>16</v>
      </c>
      <c r="H8" s="4" t="s">
        <v>17</v>
      </c>
      <c r="I8" s="4" t="s">
        <v>18</v>
      </c>
      <c r="J8" s="4" t="s">
        <v>40</v>
      </c>
      <c r="K8" s="4" t="s">
        <v>34</v>
      </c>
    </row>
    <row r="9" spans="1:11" ht="12.75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</row>
    <row r="10" spans="1:11" ht="12.75">
      <c r="A10" s="107" t="s">
        <v>2</v>
      </c>
      <c r="B10" s="108" t="s">
        <v>41</v>
      </c>
      <c r="C10" s="109" t="s">
        <v>42</v>
      </c>
      <c r="D10" s="109" t="s">
        <v>43</v>
      </c>
      <c r="E10" s="109"/>
      <c r="F10" s="109"/>
      <c r="G10" s="108">
        <f aca="true" t="shared" si="0" ref="G10:G49">H10+I10+J10+K10</f>
        <v>210501.90000000002</v>
      </c>
      <c r="H10" s="108">
        <f>H11+H15+H23+H27+H31+H35+H39+H42</f>
        <v>200146.80000000002</v>
      </c>
      <c r="I10" s="108">
        <f>I11+I15+I23+I27+I31+I35+I39+I42</f>
        <v>10355.099999999999</v>
      </c>
      <c r="J10" s="108">
        <f>J11+J15+J23+J27+J31+J35+J39+J42</f>
        <v>0</v>
      </c>
      <c r="K10" s="108">
        <f>K11+K15+K23+K27+K31+K35+K39+K42</f>
        <v>0</v>
      </c>
    </row>
    <row r="11" spans="1:11" ht="38.25">
      <c r="A11" s="107" t="s">
        <v>3</v>
      </c>
      <c r="B11" s="110" t="s">
        <v>219</v>
      </c>
      <c r="C11" s="109" t="s">
        <v>42</v>
      </c>
      <c r="D11" s="109" t="s">
        <v>44</v>
      </c>
      <c r="E11" s="109"/>
      <c r="F11" s="109"/>
      <c r="G11" s="108">
        <f t="shared" si="0"/>
        <v>2466.5</v>
      </c>
      <c r="H11" s="108">
        <f>H12</f>
        <v>2466.5</v>
      </c>
      <c r="I11" s="108">
        <f>I12</f>
        <v>0</v>
      </c>
      <c r="J11" s="108">
        <f>J12</f>
        <v>0</v>
      </c>
      <c r="K11" s="108">
        <f>K12</f>
        <v>0</v>
      </c>
    </row>
    <row r="12" spans="1:11" ht="51">
      <c r="A12" s="107"/>
      <c r="B12" s="111" t="s">
        <v>113</v>
      </c>
      <c r="C12" s="112" t="s">
        <v>42</v>
      </c>
      <c r="D12" s="112" t="s">
        <v>44</v>
      </c>
      <c r="E12" s="112" t="s">
        <v>114</v>
      </c>
      <c r="F12" s="109"/>
      <c r="G12" s="113">
        <f t="shared" si="0"/>
        <v>2466.5</v>
      </c>
      <c r="H12" s="113">
        <f>H13</f>
        <v>2466.5</v>
      </c>
      <c r="I12" s="113"/>
      <c r="J12" s="113"/>
      <c r="K12" s="113"/>
    </row>
    <row r="13" spans="1:11" ht="12.75">
      <c r="A13" s="114"/>
      <c r="B13" s="115" t="s">
        <v>216</v>
      </c>
      <c r="C13" s="112" t="s">
        <v>42</v>
      </c>
      <c r="D13" s="112" t="s">
        <v>44</v>
      </c>
      <c r="E13" s="112" t="s">
        <v>217</v>
      </c>
      <c r="F13" s="112"/>
      <c r="G13" s="113">
        <f t="shared" si="0"/>
        <v>2466.5</v>
      </c>
      <c r="H13" s="113">
        <f>H14</f>
        <v>2466.5</v>
      </c>
      <c r="I13" s="113"/>
      <c r="J13" s="113"/>
      <c r="K13" s="113"/>
    </row>
    <row r="14" spans="1:11" ht="25.5">
      <c r="A14" s="114"/>
      <c r="B14" s="115" t="s">
        <v>218</v>
      </c>
      <c r="C14" s="112" t="s">
        <v>42</v>
      </c>
      <c r="D14" s="112" t="s">
        <v>44</v>
      </c>
      <c r="E14" s="112" t="s">
        <v>217</v>
      </c>
      <c r="F14" s="112" t="s">
        <v>32</v>
      </c>
      <c r="G14" s="113">
        <f t="shared" si="0"/>
        <v>2466.5</v>
      </c>
      <c r="H14" s="113">
        <f>Лист2!I40</f>
        <v>2466.5</v>
      </c>
      <c r="I14" s="113"/>
      <c r="J14" s="113"/>
      <c r="K14" s="113"/>
    </row>
    <row r="15" spans="1:11" ht="51">
      <c r="A15" s="107" t="s">
        <v>4</v>
      </c>
      <c r="B15" s="110" t="s">
        <v>220</v>
      </c>
      <c r="C15" s="109" t="s">
        <v>42</v>
      </c>
      <c r="D15" s="109" t="s">
        <v>45</v>
      </c>
      <c r="E15" s="109"/>
      <c r="F15" s="109"/>
      <c r="G15" s="108">
        <f t="shared" si="0"/>
        <v>11538</v>
      </c>
      <c r="H15" s="108">
        <f>H16</f>
        <v>11538</v>
      </c>
      <c r="I15" s="108">
        <f>I16</f>
        <v>0</v>
      </c>
      <c r="J15" s="108">
        <f>J16</f>
        <v>0</v>
      </c>
      <c r="K15" s="108">
        <f>K16</f>
        <v>0</v>
      </c>
    </row>
    <row r="16" spans="1:11" ht="51">
      <c r="A16" s="107"/>
      <c r="B16" s="111" t="s">
        <v>113</v>
      </c>
      <c r="C16" s="112" t="s">
        <v>42</v>
      </c>
      <c r="D16" s="112" t="s">
        <v>45</v>
      </c>
      <c r="E16" s="112" t="s">
        <v>114</v>
      </c>
      <c r="F16" s="109"/>
      <c r="G16" s="113">
        <f t="shared" si="0"/>
        <v>11538</v>
      </c>
      <c r="H16" s="113">
        <f>H18+H20+H22</f>
        <v>11538</v>
      </c>
      <c r="I16" s="108"/>
      <c r="J16" s="113"/>
      <c r="K16" s="113"/>
    </row>
    <row r="17" spans="1:11" ht="12.75">
      <c r="A17" s="114"/>
      <c r="B17" s="115" t="s">
        <v>115</v>
      </c>
      <c r="C17" s="112" t="s">
        <v>42</v>
      </c>
      <c r="D17" s="112" t="s">
        <v>45</v>
      </c>
      <c r="E17" s="112" t="s">
        <v>116</v>
      </c>
      <c r="F17" s="112"/>
      <c r="G17" s="113">
        <f t="shared" si="0"/>
        <v>7320</v>
      </c>
      <c r="H17" s="113">
        <f>H18</f>
        <v>7320</v>
      </c>
      <c r="I17" s="113"/>
      <c r="J17" s="113"/>
      <c r="K17" s="113"/>
    </row>
    <row r="18" spans="1:11" ht="25.5">
      <c r="A18" s="114"/>
      <c r="B18" s="115" t="s">
        <v>218</v>
      </c>
      <c r="C18" s="112" t="s">
        <v>42</v>
      </c>
      <c r="D18" s="112" t="s">
        <v>45</v>
      </c>
      <c r="E18" s="112" t="s">
        <v>116</v>
      </c>
      <c r="F18" s="112" t="s">
        <v>32</v>
      </c>
      <c r="G18" s="113">
        <f t="shared" si="0"/>
        <v>7320</v>
      </c>
      <c r="H18" s="113">
        <f>Лист2!I15</f>
        <v>7320</v>
      </c>
      <c r="I18" s="113"/>
      <c r="J18" s="113"/>
      <c r="K18" s="113"/>
    </row>
    <row r="19" spans="1:11" ht="25.5">
      <c r="A19" s="114"/>
      <c r="B19" s="115" t="s">
        <v>221</v>
      </c>
      <c r="C19" s="112" t="s">
        <v>42</v>
      </c>
      <c r="D19" s="112" t="s">
        <v>45</v>
      </c>
      <c r="E19" s="112" t="s">
        <v>222</v>
      </c>
      <c r="F19" s="112"/>
      <c r="G19" s="113">
        <f t="shared" si="0"/>
        <v>2395</v>
      </c>
      <c r="H19" s="113">
        <f>H20</f>
        <v>2395</v>
      </c>
      <c r="I19" s="113"/>
      <c r="J19" s="113"/>
      <c r="K19" s="113"/>
    </row>
    <row r="20" spans="1:11" ht="25.5">
      <c r="A20" s="114"/>
      <c r="B20" s="115" t="s">
        <v>218</v>
      </c>
      <c r="C20" s="112" t="s">
        <v>42</v>
      </c>
      <c r="D20" s="112" t="s">
        <v>45</v>
      </c>
      <c r="E20" s="112" t="s">
        <v>222</v>
      </c>
      <c r="F20" s="112" t="s">
        <v>32</v>
      </c>
      <c r="G20" s="113">
        <f t="shared" si="0"/>
        <v>2395</v>
      </c>
      <c r="H20" s="113">
        <f>Лист2!I17</f>
        <v>2395</v>
      </c>
      <c r="I20" s="113"/>
      <c r="J20" s="113"/>
      <c r="K20" s="113"/>
    </row>
    <row r="21" spans="1:11" ht="25.5">
      <c r="A21" s="114"/>
      <c r="B21" s="111" t="s">
        <v>223</v>
      </c>
      <c r="C21" s="112" t="s">
        <v>42</v>
      </c>
      <c r="D21" s="112" t="s">
        <v>45</v>
      </c>
      <c r="E21" s="112" t="s">
        <v>224</v>
      </c>
      <c r="F21" s="112"/>
      <c r="G21" s="113">
        <f t="shared" si="0"/>
        <v>1823</v>
      </c>
      <c r="H21" s="113">
        <f>H22</f>
        <v>1823</v>
      </c>
      <c r="I21" s="113"/>
      <c r="J21" s="113"/>
      <c r="K21" s="113"/>
    </row>
    <row r="22" spans="1:11" ht="25.5">
      <c r="A22" s="114"/>
      <c r="B22" s="115" t="s">
        <v>218</v>
      </c>
      <c r="C22" s="112" t="s">
        <v>42</v>
      </c>
      <c r="D22" s="112" t="s">
        <v>45</v>
      </c>
      <c r="E22" s="112" t="s">
        <v>224</v>
      </c>
      <c r="F22" s="112" t="s">
        <v>32</v>
      </c>
      <c r="G22" s="113">
        <f t="shared" si="0"/>
        <v>1823</v>
      </c>
      <c r="H22" s="113">
        <f>Лист2!I19</f>
        <v>1823</v>
      </c>
      <c r="I22" s="113"/>
      <c r="J22" s="113"/>
      <c r="K22" s="113"/>
    </row>
    <row r="23" spans="1:11" ht="51">
      <c r="A23" s="107" t="s">
        <v>39</v>
      </c>
      <c r="B23" s="110" t="s">
        <v>225</v>
      </c>
      <c r="C23" s="109" t="s">
        <v>42</v>
      </c>
      <c r="D23" s="109" t="s">
        <v>46</v>
      </c>
      <c r="E23" s="109"/>
      <c r="F23" s="109"/>
      <c r="G23" s="108">
        <f t="shared" si="0"/>
        <v>132912.1</v>
      </c>
      <c r="H23" s="108">
        <f>H24</f>
        <v>132912.1</v>
      </c>
      <c r="I23" s="108">
        <f>I24</f>
        <v>0</v>
      </c>
      <c r="J23" s="108">
        <f>J24</f>
        <v>0</v>
      </c>
      <c r="K23" s="108">
        <f>K24</f>
        <v>0</v>
      </c>
    </row>
    <row r="24" spans="1:11" ht="51">
      <c r="A24" s="193"/>
      <c r="B24" s="202" t="s">
        <v>113</v>
      </c>
      <c r="C24" s="195" t="s">
        <v>42</v>
      </c>
      <c r="D24" s="195" t="s">
        <v>46</v>
      </c>
      <c r="E24" s="195" t="s">
        <v>114</v>
      </c>
      <c r="F24" s="195"/>
      <c r="G24" s="196">
        <f t="shared" si="0"/>
        <v>132912.1</v>
      </c>
      <c r="H24" s="196">
        <f>H25</f>
        <v>132912.1</v>
      </c>
      <c r="I24" s="196"/>
      <c r="J24" s="197"/>
      <c r="K24" s="197"/>
    </row>
    <row r="25" spans="1:11" ht="12.75">
      <c r="A25" s="114"/>
      <c r="B25" s="115" t="s">
        <v>115</v>
      </c>
      <c r="C25" s="112" t="s">
        <v>42</v>
      </c>
      <c r="D25" s="112" t="s">
        <v>46</v>
      </c>
      <c r="E25" s="112" t="s">
        <v>116</v>
      </c>
      <c r="F25" s="112"/>
      <c r="G25" s="113">
        <f t="shared" si="0"/>
        <v>132912.1</v>
      </c>
      <c r="H25" s="113">
        <f>H26</f>
        <v>132912.1</v>
      </c>
      <c r="I25" s="113"/>
      <c r="J25" s="113"/>
      <c r="K25" s="113"/>
    </row>
    <row r="26" spans="1:11" ht="25.5">
      <c r="A26" s="114"/>
      <c r="B26" s="115" t="s">
        <v>218</v>
      </c>
      <c r="C26" s="112" t="s">
        <v>42</v>
      </c>
      <c r="D26" s="112" t="s">
        <v>46</v>
      </c>
      <c r="E26" s="112" t="s">
        <v>116</v>
      </c>
      <c r="F26" s="112" t="s">
        <v>32</v>
      </c>
      <c r="G26" s="113">
        <f t="shared" si="0"/>
        <v>132912.1</v>
      </c>
      <c r="H26" s="113">
        <f>Лист2!I44</f>
        <v>132912.1</v>
      </c>
      <c r="I26" s="113"/>
      <c r="J26" s="116"/>
      <c r="K26" s="116"/>
    </row>
    <row r="27" spans="1:11" ht="38.25">
      <c r="A27" s="107" t="s">
        <v>37</v>
      </c>
      <c r="B27" s="110" t="s">
        <v>226</v>
      </c>
      <c r="C27" s="109" t="s">
        <v>42</v>
      </c>
      <c r="D27" s="109" t="s">
        <v>48</v>
      </c>
      <c r="E27" s="109"/>
      <c r="F27" s="109"/>
      <c r="G27" s="108">
        <f t="shared" si="0"/>
        <v>21662.7</v>
      </c>
      <c r="H27" s="108">
        <f>H28</f>
        <v>21662.7</v>
      </c>
      <c r="I27" s="108">
        <f>I28</f>
        <v>0</v>
      </c>
      <c r="J27" s="108">
        <f>J28</f>
        <v>0</v>
      </c>
      <c r="K27" s="108">
        <f>K28</f>
        <v>0</v>
      </c>
    </row>
    <row r="28" spans="1:11" ht="51">
      <c r="A28" s="107"/>
      <c r="B28" s="111" t="s">
        <v>113</v>
      </c>
      <c r="C28" s="112" t="s">
        <v>42</v>
      </c>
      <c r="D28" s="112" t="s">
        <v>48</v>
      </c>
      <c r="E28" s="112" t="s">
        <v>114</v>
      </c>
      <c r="F28" s="112"/>
      <c r="G28" s="113">
        <f t="shared" si="0"/>
        <v>21662.7</v>
      </c>
      <c r="H28" s="113">
        <f>H29</f>
        <v>21662.7</v>
      </c>
      <c r="I28" s="113"/>
      <c r="J28" s="116"/>
      <c r="K28" s="116"/>
    </row>
    <row r="29" spans="1:11" ht="12.75">
      <c r="A29" s="114"/>
      <c r="B29" s="115" t="s">
        <v>115</v>
      </c>
      <c r="C29" s="112" t="s">
        <v>42</v>
      </c>
      <c r="D29" s="112" t="s">
        <v>48</v>
      </c>
      <c r="E29" s="112" t="s">
        <v>116</v>
      </c>
      <c r="F29" s="112"/>
      <c r="G29" s="113">
        <f t="shared" si="0"/>
        <v>21662.7</v>
      </c>
      <c r="H29" s="113">
        <f>H30</f>
        <v>21662.7</v>
      </c>
      <c r="I29" s="113"/>
      <c r="J29" s="113"/>
      <c r="K29" s="113"/>
    </row>
    <row r="30" spans="1:11" ht="25.5">
      <c r="A30" s="114"/>
      <c r="B30" s="115" t="s">
        <v>218</v>
      </c>
      <c r="C30" s="112" t="s">
        <v>42</v>
      </c>
      <c r="D30" s="112" t="s">
        <v>48</v>
      </c>
      <c r="E30" s="112" t="s">
        <v>116</v>
      </c>
      <c r="F30" s="112" t="s">
        <v>32</v>
      </c>
      <c r="G30" s="113">
        <f t="shared" si="0"/>
        <v>21662.7</v>
      </c>
      <c r="H30" s="113">
        <f>Лист2!I482</f>
        <v>21662.7</v>
      </c>
      <c r="I30" s="113"/>
      <c r="J30" s="113"/>
      <c r="K30" s="113"/>
    </row>
    <row r="31" spans="1:11" ht="16.5" customHeight="1">
      <c r="A31" s="117" t="s">
        <v>38</v>
      </c>
      <c r="B31" s="118" t="s">
        <v>345</v>
      </c>
      <c r="C31" s="119" t="s">
        <v>42</v>
      </c>
      <c r="D31" s="119" t="s">
        <v>50</v>
      </c>
      <c r="E31" s="120"/>
      <c r="F31" s="120"/>
      <c r="G31" s="108">
        <f t="shared" si="0"/>
        <v>395</v>
      </c>
      <c r="H31" s="108">
        <f>H32</f>
        <v>395</v>
      </c>
      <c r="I31" s="108">
        <f>I32</f>
        <v>0</v>
      </c>
      <c r="J31" s="108">
        <f>J32</f>
        <v>0</v>
      </c>
      <c r="K31" s="108">
        <f>K32</f>
        <v>0</v>
      </c>
    </row>
    <row r="32" spans="1:11" ht="12.75">
      <c r="A32" s="121"/>
      <c r="B32" s="122" t="s">
        <v>346</v>
      </c>
      <c r="C32" s="120" t="s">
        <v>42</v>
      </c>
      <c r="D32" s="120" t="s">
        <v>50</v>
      </c>
      <c r="E32" s="120" t="s">
        <v>348</v>
      </c>
      <c r="F32" s="120"/>
      <c r="G32" s="113">
        <f t="shared" si="0"/>
        <v>395</v>
      </c>
      <c r="H32" s="113">
        <f>H33</f>
        <v>395</v>
      </c>
      <c r="I32" s="113"/>
      <c r="J32" s="113"/>
      <c r="K32" s="113"/>
    </row>
    <row r="33" spans="1:11" ht="25.5">
      <c r="A33" s="121"/>
      <c r="B33" s="122" t="s">
        <v>347</v>
      </c>
      <c r="C33" s="120" t="s">
        <v>42</v>
      </c>
      <c r="D33" s="120" t="s">
        <v>50</v>
      </c>
      <c r="E33" s="120" t="s">
        <v>349</v>
      </c>
      <c r="F33" s="120"/>
      <c r="G33" s="113">
        <f t="shared" si="0"/>
        <v>395</v>
      </c>
      <c r="H33" s="113">
        <f>H34</f>
        <v>395</v>
      </c>
      <c r="I33" s="113"/>
      <c r="J33" s="113"/>
      <c r="K33" s="113"/>
    </row>
    <row r="34" spans="1:11" ht="25.5">
      <c r="A34" s="121"/>
      <c r="B34" s="123" t="s">
        <v>117</v>
      </c>
      <c r="C34" s="120" t="s">
        <v>42</v>
      </c>
      <c r="D34" s="120" t="s">
        <v>50</v>
      </c>
      <c r="E34" s="120" t="s">
        <v>349</v>
      </c>
      <c r="F34" s="120" t="s">
        <v>32</v>
      </c>
      <c r="G34" s="113">
        <f t="shared" si="0"/>
        <v>395</v>
      </c>
      <c r="H34" s="113">
        <f>Лист2!I48</f>
        <v>395</v>
      </c>
      <c r="I34" s="113"/>
      <c r="J34" s="113"/>
      <c r="K34" s="113"/>
    </row>
    <row r="35" spans="1:11" ht="25.5">
      <c r="A35" s="107" t="s">
        <v>49</v>
      </c>
      <c r="B35" s="124" t="s">
        <v>316</v>
      </c>
      <c r="C35" s="109" t="s">
        <v>42</v>
      </c>
      <c r="D35" s="109" t="s">
        <v>317</v>
      </c>
      <c r="E35" s="112"/>
      <c r="F35" s="112"/>
      <c r="G35" s="108">
        <f t="shared" si="0"/>
        <v>3000</v>
      </c>
      <c r="H35" s="108">
        <f>H36</f>
        <v>3000</v>
      </c>
      <c r="I35" s="108">
        <f>I36</f>
        <v>0</v>
      </c>
      <c r="J35" s="108">
        <f>J36</f>
        <v>0</v>
      </c>
      <c r="K35" s="108">
        <f>K36</f>
        <v>0</v>
      </c>
    </row>
    <row r="36" spans="1:11" ht="12.75">
      <c r="A36" s="114"/>
      <c r="B36" s="123" t="s">
        <v>320</v>
      </c>
      <c r="C36" s="120" t="s">
        <v>42</v>
      </c>
      <c r="D36" s="120" t="s">
        <v>317</v>
      </c>
      <c r="E36" s="120" t="s">
        <v>321</v>
      </c>
      <c r="F36" s="120"/>
      <c r="G36" s="113">
        <f t="shared" si="0"/>
        <v>3000</v>
      </c>
      <c r="H36" s="113">
        <f>H37</f>
        <v>3000</v>
      </c>
      <c r="I36" s="113"/>
      <c r="J36" s="113"/>
      <c r="K36" s="113"/>
    </row>
    <row r="37" spans="1:11" ht="12.75">
      <c r="A37" s="114"/>
      <c r="B37" s="123" t="s">
        <v>318</v>
      </c>
      <c r="C37" s="120" t="s">
        <v>42</v>
      </c>
      <c r="D37" s="120" t="s">
        <v>317</v>
      </c>
      <c r="E37" s="120" t="s">
        <v>319</v>
      </c>
      <c r="F37" s="120"/>
      <c r="G37" s="113">
        <f t="shared" si="0"/>
        <v>3000</v>
      </c>
      <c r="H37" s="113">
        <f>H38</f>
        <v>3000</v>
      </c>
      <c r="I37" s="113"/>
      <c r="J37" s="113"/>
      <c r="K37" s="113"/>
    </row>
    <row r="38" spans="1:11" ht="12.75">
      <c r="A38" s="114"/>
      <c r="B38" s="123" t="s">
        <v>230</v>
      </c>
      <c r="C38" s="120" t="s">
        <v>42</v>
      </c>
      <c r="D38" s="120" t="s">
        <v>317</v>
      </c>
      <c r="E38" s="120" t="s">
        <v>319</v>
      </c>
      <c r="F38" s="120" t="s">
        <v>231</v>
      </c>
      <c r="G38" s="113">
        <f t="shared" si="0"/>
        <v>3000</v>
      </c>
      <c r="H38" s="113">
        <f>Лист2!I486</f>
        <v>3000</v>
      </c>
      <c r="I38" s="113"/>
      <c r="J38" s="113"/>
      <c r="K38" s="113"/>
    </row>
    <row r="39" spans="1:11" ht="12.75">
      <c r="A39" s="107" t="s">
        <v>322</v>
      </c>
      <c r="B39" s="108" t="s">
        <v>51</v>
      </c>
      <c r="C39" s="109" t="s">
        <v>42</v>
      </c>
      <c r="D39" s="109" t="s">
        <v>227</v>
      </c>
      <c r="E39" s="109"/>
      <c r="F39" s="109"/>
      <c r="G39" s="108">
        <f t="shared" si="0"/>
        <v>1105</v>
      </c>
      <c r="H39" s="108">
        <f>H40</f>
        <v>1105</v>
      </c>
      <c r="I39" s="108">
        <f>I40</f>
        <v>0</v>
      </c>
      <c r="J39" s="108">
        <f>J40</f>
        <v>0</v>
      </c>
      <c r="K39" s="108">
        <f>K40</f>
        <v>0</v>
      </c>
    </row>
    <row r="40" spans="1:11" ht="12.75">
      <c r="A40" s="114"/>
      <c r="B40" s="113" t="s">
        <v>228</v>
      </c>
      <c r="C40" s="112" t="s">
        <v>42</v>
      </c>
      <c r="D40" s="112" t="s">
        <v>227</v>
      </c>
      <c r="E40" s="112" t="s">
        <v>229</v>
      </c>
      <c r="F40" s="112"/>
      <c r="G40" s="113">
        <f t="shared" si="0"/>
        <v>1105</v>
      </c>
      <c r="H40" s="113">
        <f>H41</f>
        <v>1105</v>
      </c>
      <c r="I40" s="113"/>
      <c r="J40" s="113"/>
      <c r="K40" s="113"/>
    </row>
    <row r="41" spans="1:11" ht="12.75">
      <c r="A41" s="114"/>
      <c r="B41" s="125" t="s">
        <v>230</v>
      </c>
      <c r="C41" s="112" t="s">
        <v>42</v>
      </c>
      <c r="D41" s="112" t="s">
        <v>227</v>
      </c>
      <c r="E41" s="112" t="s">
        <v>229</v>
      </c>
      <c r="F41" s="112" t="s">
        <v>231</v>
      </c>
      <c r="G41" s="113">
        <f t="shared" si="0"/>
        <v>1105</v>
      </c>
      <c r="H41" s="113">
        <f>Лист2!I490</f>
        <v>1105</v>
      </c>
      <c r="I41" s="113"/>
      <c r="J41" s="113"/>
      <c r="K41" s="113"/>
    </row>
    <row r="42" spans="1:11" ht="12.75">
      <c r="A42" s="107" t="s">
        <v>350</v>
      </c>
      <c r="B42" s="108" t="s">
        <v>52</v>
      </c>
      <c r="C42" s="109" t="s">
        <v>42</v>
      </c>
      <c r="D42" s="109" t="s">
        <v>232</v>
      </c>
      <c r="E42" s="109"/>
      <c r="F42" s="109"/>
      <c r="G42" s="108">
        <f t="shared" si="0"/>
        <v>37422.6</v>
      </c>
      <c r="H42" s="108">
        <f>H43+H45+H48+H55+H58+H61</f>
        <v>27067.5</v>
      </c>
      <c r="I42" s="108">
        <f>I43+I45+I48+I55+I58+I61</f>
        <v>10355.099999999999</v>
      </c>
      <c r="J42" s="108">
        <f>J43+J45+J48+J55+J58+J61</f>
        <v>0</v>
      </c>
      <c r="K42" s="108">
        <f>K43+K45+K48+K55+K58+K61</f>
        <v>0</v>
      </c>
    </row>
    <row r="43" spans="1:11" ht="25.5">
      <c r="A43" s="114"/>
      <c r="B43" s="126" t="s">
        <v>233</v>
      </c>
      <c r="C43" s="112" t="s">
        <v>42</v>
      </c>
      <c r="D43" s="112" t="s">
        <v>232</v>
      </c>
      <c r="E43" s="112" t="s">
        <v>234</v>
      </c>
      <c r="F43" s="112"/>
      <c r="G43" s="113">
        <f t="shared" si="0"/>
        <v>5031.7</v>
      </c>
      <c r="H43" s="113"/>
      <c r="I43" s="113">
        <f>I44</f>
        <v>5031.7</v>
      </c>
      <c r="J43" s="113"/>
      <c r="K43" s="113"/>
    </row>
    <row r="44" spans="1:11" ht="25.5">
      <c r="A44" s="114"/>
      <c r="B44" s="115" t="s">
        <v>218</v>
      </c>
      <c r="C44" s="112" t="s">
        <v>42</v>
      </c>
      <c r="D44" s="112" t="s">
        <v>232</v>
      </c>
      <c r="E44" s="112" t="s">
        <v>234</v>
      </c>
      <c r="F44" s="112" t="s">
        <v>32</v>
      </c>
      <c r="G44" s="113">
        <f t="shared" si="0"/>
        <v>5031.7</v>
      </c>
      <c r="H44" s="113"/>
      <c r="I44" s="113">
        <f>Лист2!J52</f>
        <v>5031.7</v>
      </c>
      <c r="J44" s="113"/>
      <c r="K44" s="113"/>
    </row>
    <row r="45" spans="1:11" ht="51">
      <c r="A45" s="107"/>
      <c r="B45" s="127" t="s">
        <v>113</v>
      </c>
      <c r="C45" s="112" t="s">
        <v>42</v>
      </c>
      <c r="D45" s="112" t="s">
        <v>232</v>
      </c>
      <c r="E45" s="112" t="s">
        <v>114</v>
      </c>
      <c r="F45" s="112"/>
      <c r="G45" s="113">
        <f t="shared" si="0"/>
        <v>5194.4</v>
      </c>
      <c r="H45" s="113"/>
      <c r="I45" s="113">
        <f>I46</f>
        <v>5194.4</v>
      </c>
      <c r="J45" s="116"/>
      <c r="K45" s="116"/>
    </row>
    <row r="46" spans="1:11" ht="12.75">
      <c r="A46" s="114"/>
      <c r="B46" s="115" t="s">
        <v>115</v>
      </c>
      <c r="C46" s="112" t="s">
        <v>42</v>
      </c>
      <c r="D46" s="112" t="s">
        <v>232</v>
      </c>
      <c r="E46" s="112" t="s">
        <v>116</v>
      </c>
      <c r="F46" s="112"/>
      <c r="G46" s="113">
        <f t="shared" si="0"/>
        <v>5194.4</v>
      </c>
      <c r="H46" s="113"/>
      <c r="I46" s="113">
        <f>I47</f>
        <v>5194.4</v>
      </c>
      <c r="J46" s="113"/>
      <c r="K46" s="113"/>
    </row>
    <row r="47" spans="1:11" ht="25.5">
      <c r="A47" s="114"/>
      <c r="B47" s="115" t="s">
        <v>218</v>
      </c>
      <c r="C47" s="112" t="s">
        <v>42</v>
      </c>
      <c r="D47" s="112" t="s">
        <v>232</v>
      </c>
      <c r="E47" s="112" t="s">
        <v>116</v>
      </c>
      <c r="F47" s="112" t="s">
        <v>32</v>
      </c>
      <c r="G47" s="113">
        <f t="shared" si="0"/>
        <v>5194.4</v>
      </c>
      <c r="H47" s="113"/>
      <c r="I47" s="113">
        <f>Лист2!J57</f>
        <v>5194.4</v>
      </c>
      <c r="J47" s="116"/>
      <c r="K47" s="116"/>
    </row>
    <row r="48" spans="1:11" ht="38.25">
      <c r="A48" s="128"/>
      <c r="B48" s="111" t="s">
        <v>235</v>
      </c>
      <c r="C48" s="112" t="s">
        <v>42</v>
      </c>
      <c r="D48" s="112" t="s">
        <v>232</v>
      </c>
      <c r="E48" s="112" t="s">
        <v>210</v>
      </c>
      <c r="F48" s="112"/>
      <c r="G48" s="113">
        <f t="shared" si="0"/>
        <v>26212.5</v>
      </c>
      <c r="H48" s="113">
        <f>H49+H51+H54</f>
        <v>26212.5</v>
      </c>
      <c r="I48" s="113"/>
      <c r="J48" s="113"/>
      <c r="K48" s="113"/>
    </row>
    <row r="49" spans="1:11" ht="38.25">
      <c r="A49" s="114"/>
      <c r="B49" s="129" t="s">
        <v>209</v>
      </c>
      <c r="C49" s="112" t="s">
        <v>42</v>
      </c>
      <c r="D49" s="112" t="s">
        <v>232</v>
      </c>
      <c r="E49" s="112" t="s">
        <v>236</v>
      </c>
      <c r="F49" s="112"/>
      <c r="G49" s="113">
        <f t="shared" si="0"/>
        <v>11388</v>
      </c>
      <c r="H49" s="113">
        <f>H50</f>
        <v>11388</v>
      </c>
      <c r="I49" s="113"/>
      <c r="J49" s="113"/>
      <c r="K49" s="113"/>
    </row>
    <row r="50" spans="1:11" ht="25.5">
      <c r="A50" s="114"/>
      <c r="B50" s="115" t="s">
        <v>218</v>
      </c>
      <c r="C50" s="112" t="s">
        <v>42</v>
      </c>
      <c r="D50" s="112" t="s">
        <v>232</v>
      </c>
      <c r="E50" s="112" t="s">
        <v>236</v>
      </c>
      <c r="F50" s="112" t="s">
        <v>32</v>
      </c>
      <c r="G50" s="113">
        <f aca="true" t="shared" si="1" ref="G50:G93">H50+I50+J50+K50</f>
        <v>11388</v>
      </c>
      <c r="H50" s="113">
        <f>Лист2!I60</f>
        <v>11388</v>
      </c>
      <c r="I50" s="113"/>
      <c r="J50" s="116"/>
      <c r="K50" s="116"/>
    </row>
    <row r="51" spans="1:11" ht="25.5">
      <c r="A51" s="130"/>
      <c r="B51" s="131" t="s">
        <v>325</v>
      </c>
      <c r="C51" s="132" t="s">
        <v>42</v>
      </c>
      <c r="D51" s="132" t="s">
        <v>232</v>
      </c>
      <c r="E51" s="132" t="s">
        <v>461</v>
      </c>
      <c r="F51" s="132"/>
      <c r="G51" s="133">
        <f t="shared" si="1"/>
        <v>14783.499999999998</v>
      </c>
      <c r="H51" s="134">
        <f>H52</f>
        <v>14783.499999999998</v>
      </c>
      <c r="I51" s="134"/>
      <c r="J51" s="134"/>
      <c r="K51" s="134"/>
    </row>
    <row r="52" spans="1:11" ht="12.75">
      <c r="A52" s="190"/>
      <c r="B52" s="201" t="s">
        <v>462</v>
      </c>
      <c r="C52" s="188" t="s">
        <v>42</v>
      </c>
      <c r="D52" s="188" t="s">
        <v>232</v>
      </c>
      <c r="E52" s="188" t="s">
        <v>463</v>
      </c>
      <c r="F52" s="188"/>
      <c r="G52" s="192">
        <f t="shared" si="1"/>
        <v>14783.499999999998</v>
      </c>
      <c r="H52" s="192">
        <f>H53</f>
        <v>14783.499999999998</v>
      </c>
      <c r="I52" s="192"/>
      <c r="J52" s="192"/>
      <c r="K52" s="192"/>
    </row>
    <row r="53" spans="1:11" ht="25.5">
      <c r="A53" s="135"/>
      <c r="B53" s="136" t="s">
        <v>117</v>
      </c>
      <c r="C53" s="137" t="s">
        <v>42</v>
      </c>
      <c r="D53" s="137" t="s">
        <v>232</v>
      </c>
      <c r="E53" s="137" t="s">
        <v>463</v>
      </c>
      <c r="F53" s="137" t="s">
        <v>32</v>
      </c>
      <c r="G53" s="133">
        <f t="shared" si="1"/>
        <v>14783.499999999998</v>
      </c>
      <c r="H53" s="138">
        <f>Лист2!I63+Лист2!H23+Лист2!I224+Лист2!I303+Лист2!I352+Лист2!I430+Лист2!I494</f>
        <v>14783.499999999998</v>
      </c>
      <c r="I53" s="138"/>
      <c r="J53" s="138"/>
      <c r="K53" s="138"/>
    </row>
    <row r="54" spans="1:11" ht="25.5">
      <c r="A54" s="135"/>
      <c r="B54" s="139" t="s">
        <v>94</v>
      </c>
      <c r="C54" s="137" t="s">
        <v>42</v>
      </c>
      <c r="D54" s="137" t="s">
        <v>232</v>
      </c>
      <c r="E54" s="137" t="s">
        <v>478</v>
      </c>
      <c r="F54" s="137" t="s">
        <v>32</v>
      </c>
      <c r="G54" s="133">
        <f t="shared" si="1"/>
        <v>41</v>
      </c>
      <c r="H54" s="138">
        <f>Лист2!I64</f>
        <v>41</v>
      </c>
      <c r="I54" s="138"/>
      <c r="J54" s="138"/>
      <c r="K54" s="138"/>
    </row>
    <row r="55" spans="1:11" ht="38.25">
      <c r="A55" s="121"/>
      <c r="B55" s="123" t="s">
        <v>342</v>
      </c>
      <c r="C55" s="120" t="s">
        <v>42</v>
      </c>
      <c r="D55" s="120" t="s">
        <v>232</v>
      </c>
      <c r="E55" s="120" t="s">
        <v>343</v>
      </c>
      <c r="F55" s="120"/>
      <c r="G55" s="133">
        <f t="shared" si="1"/>
        <v>0</v>
      </c>
      <c r="H55" s="133">
        <f>H56</f>
        <v>0</v>
      </c>
      <c r="I55" s="133"/>
      <c r="J55" s="133"/>
      <c r="K55" s="133"/>
    </row>
    <row r="56" spans="1:11" ht="38.25">
      <c r="A56" s="121"/>
      <c r="B56" s="123" t="s">
        <v>340</v>
      </c>
      <c r="C56" s="120" t="s">
        <v>42</v>
      </c>
      <c r="D56" s="120" t="s">
        <v>232</v>
      </c>
      <c r="E56" s="120" t="s">
        <v>341</v>
      </c>
      <c r="F56" s="120"/>
      <c r="G56" s="133">
        <f t="shared" si="1"/>
        <v>0</v>
      </c>
      <c r="H56" s="133">
        <f>H57</f>
        <v>0</v>
      </c>
      <c r="I56" s="133"/>
      <c r="J56" s="133"/>
      <c r="K56" s="133"/>
    </row>
    <row r="57" spans="1:11" ht="12.75">
      <c r="A57" s="121"/>
      <c r="B57" s="133" t="s">
        <v>181</v>
      </c>
      <c r="C57" s="120" t="s">
        <v>42</v>
      </c>
      <c r="D57" s="120" t="s">
        <v>232</v>
      </c>
      <c r="E57" s="120" t="s">
        <v>341</v>
      </c>
      <c r="F57" s="120" t="s">
        <v>182</v>
      </c>
      <c r="G57" s="133">
        <f t="shared" si="1"/>
        <v>0</v>
      </c>
      <c r="H57" s="133">
        <f>Лист2!I349</f>
        <v>0</v>
      </c>
      <c r="I57" s="133"/>
      <c r="J57" s="133"/>
      <c r="K57" s="133"/>
    </row>
    <row r="58" spans="1:11" ht="12.75">
      <c r="A58" s="114"/>
      <c r="B58" s="113" t="s">
        <v>175</v>
      </c>
      <c r="C58" s="112" t="s">
        <v>42</v>
      </c>
      <c r="D58" s="112" t="s">
        <v>232</v>
      </c>
      <c r="E58" s="112" t="s">
        <v>176</v>
      </c>
      <c r="F58" s="112"/>
      <c r="G58" s="140">
        <f t="shared" si="1"/>
        <v>129</v>
      </c>
      <c r="H58" s="113"/>
      <c r="I58" s="113">
        <f>I59</f>
        <v>129</v>
      </c>
      <c r="J58" s="113"/>
      <c r="K58" s="113"/>
    </row>
    <row r="59" spans="1:11" ht="25.5">
      <c r="A59" s="114"/>
      <c r="B59" s="141" t="s">
        <v>218</v>
      </c>
      <c r="C59" s="112" t="s">
        <v>42</v>
      </c>
      <c r="D59" s="112" t="s">
        <v>232</v>
      </c>
      <c r="E59" s="112" t="s">
        <v>176</v>
      </c>
      <c r="F59" s="112" t="s">
        <v>32</v>
      </c>
      <c r="G59" s="140">
        <f t="shared" si="1"/>
        <v>129</v>
      </c>
      <c r="H59" s="113"/>
      <c r="I59" s="142">
        <f>I60</f>
        <v>129</v>
      </c>
      <c r="J59" s="113"/>
      <c r="K59" s="113"/>
    </row>
    <row r="60" spans="1:11" ht="51">
      <c r="A60" s="114"/>
      <c r="B60" s="143" t="s">
        <v>279</v>
      </c>
      <c r="C60" s="120" t="s">
        <v>42</v>
      </c>
      <c r="D60" s="120" t="s">
        <v>232</v>
      </c>
      <c r="E60" s="120" t="s">
        <v>280</v>
      </c>
      <c r="F60" s="120" t="s">
        <v>32</v>
      </c>
      <c r="G60" s="133">
        <f t="shared" si="1"/>
        <v>129</v>
      </c>
      <c r="H60" s="133"/>
      <c r="I60" s="142">
        <f>Лист2!J67</f>
        <v>129</v>
      </c>
      <c r="J60" s="133"/>
      <c r="K60" s="133"/>
    </row>
    <row r="61" spans="1:11" ht="12.75">
      <c r="A61" s="114"/>
      <c r="B61" s="123" t="s">
        <v>109</v>
      </c>
      <c r="C61" s="120" t="s">
        <v>42</v>
      </c>
      <c r="D61" s="120" t="s">
        <v>232</v>
      </c>
      <c r="E61" s="120" t="s">
        <v>110</v>
      </c>
      <c r="F61" s="120"/>
      <c r="G61" s="133">
        <f t="shared" si="1"/>
        <v>855</v>
      </c>
      <c r="H61" s="133">
        <f>H62</f>
        <v>855</v>
      </c>
      <c r="I61" s="142"/>
      <c r="J61" s="133"/>
      <c r="K61" s="133"/>
    </row>
    <row r="62" spans="1:11" ht="25.5">
      <c r="A62" s="114"/>
      <c r="B62" s="136" t="s">
        <v>117</v>
      </c>
      <c r="C62" s="120" t="s">
        <v>42</v>
      </c>
      <c r="D62" s="120" t="s">
        <v>232</v>
      </c>
      <c r="E62" s="120" t="s">
        <v>110</v>
      </c>
      <c r="F62" s="120" t="s">
        <v>32</v>
      </c>
      <c r="G62" s="133">
        <f t="shared" si="1"/>
        <v>855</v>
      </c>
      <c r="H62" s="133">
        <f>Лист2!I25+Лист2!I69+Лист2!I226+Лист2!I305+Лист2!I354+Лист2!I432+Лист2!I496</f>
        <v>855</v>
      </c>
      <c r="I62" s="142"/>
      <c r="J62" s="133"/>
      <c r="K62" s="133"/>
    </row>
    <row r="63" spans="1:11" ht="25.5">
      <c r="A63" s="107" t="s">
        <v>5</v>
      </c>
      <c r="B63" s="110" t="s">
        <v>6</v>
      </c>
      <c r="C63" s="109" t="s">
        <v>45</v>
      </c>
      <c r="D63" s="109" t="s">
        <v>43</v>
      </c>
      <c r="E63" s="109"/>
      <c r="F63" s="109"/>
      <c r="G63" s="108">
        <f t="shared" si="1"/>
        <v>105680.90000000001</v>
      </c>
      <c r="H63" s="108">
        <f>H64+H79</f>
        <v>91518.8</v>
      </c>
      <c r="I63" s="108">
        <f>I64+I79</f>
        <v>0</v>
      </c>
      <c r="J63" s="108">
        <f>J64+J79</f>
        <v>0</v>
      </c>
      <c r="K63" s="108">
        <f>K64+K79</f>
        <v>14162.1</v>
      </c>
    </row>
    <row r="64" spans="1:11" ht="12.75">
      <c r="A64" s="107" t="s">
        <v>7</v>
      </c>
      <c r="B64" s="108" t="s">
        <v>53</v>
      </c>
      <c r="C64" s="109" t="s">
        <v>45</v>
      </c>
      <c r="D64" s="109" t="s">
        <v>44</v>
      </c>
      <c r="E64" s="109"/>
      <c r="F64" s="109"/>
      <c r="G64" s="108">
        <f t="shared" si="1"/>
        <v>105037.1</v>
      </c>
      <c r="H64" s="108">
        <f>H65+H68</f>
        <v>90875</v>
      </c>
      <c r="I64" s="108">
        <f>I65+I68</f>
        <v>0</v>
      </c>
      <c r="J64" s="108">
        <f>J65+J68</f>
        <v>0</v>
      </c>
      <c r="K64" s="108">
        <f>K65+K68</f>
        <v>14162.1</v>
      </c>
    </row>
    <row r="65" spans="1:11" ht="38.25">
      <c r="A65" s="121"/>
      <c r="B65" s="8" t="s">
        <v>342</v>
      </c>
      <c r="C65" s="120" t="s">
        <v>45</v>
      </c>
      <c r="D65" s="120" t="s">
        <v>44</v>
      </c>
      <c r="E65" s="12" t="s">
        <v>343</v>
      </c>
      <c r="F65" s="120"/>
      <c r="G65" s="133">
        <f t="shared" si="1"/>
        <v>2000</v>
      </c>
      <c r="H65" s="133">
        <f>H66</f>
        <v>2000</v>
      </c>
      <c r="I65" s="133"/>
      <c r="J65" s="133"/>
      <c r="K65" s="133"/>
    </row>
    <row r="66" spans="1:11" ht="63.75">
      <c r="A66" s="121"/>
      <c r="B66" s="223" t="s">
        <v>481</v>
      </c>
      <c r="C66" s="120" t="s">
        <v>45</v>
      </c>
      <c r="D66" s="120" t="s">
        <v>44</v>
      </c>
      <c r="E66" s="12" t="s">
        <v>482</v>
      </c>
      <c r="F66" s="120"/>
      <c r="G66" s="133">
        <f t="shared" si="1"/>
        <v>2000</v>
      </c>
      <c r="H66" s="133">
        <f>H67</f>
        <v>2000</v>
      </c>
      <c r="I66" s="133"/>
      <c r="J66" s="133"/>
      <c r="K66" s="133"/>
    </row>
    <row r="67" spans="1:11" ht="12.75">
      <c r="A67" s="225"/>
      <c r="B67" s="192" t="s">
        <v>181</v>
      </c>
      <c r="C67" s="188" t="s">
        <v>45</v>
      </c>
      <c r="D67" s="188" t="s">
        <v>44</v>
      </c>
      <c r="E67" s="214" t="s">
        <v>482</v>
      </c>
      <c r="F67" s="188" t="s">
        <v>182</v>
      </c>
      <c r="G67" s="192">
        <f t="shared" si="1"/>
        <v>2000</v>
      </c>
      <c r="H67" s="192">
        <f>Лист2!I359</f>
        <v>2000</v>
      </c>
      <c r="I67" s="192"/>
      <c r="J67" s="192"/>
      <c r="K67" s="192"/>
    </row>
    <row r="68" spans="1:11" ht="12.75">
      <c r="A68" s="107"/>
      <c r="B68" s="123" t="s">
        <v>167</v>
      </c>
      <c r="C68" s="112" t="s">
        <v>45</v>
      </c>
      <c r="D68" s="112" t="s">
        <v>44</v>
      </c>
      <c r="E68" s="112" t="s">
        <v>168</v>
      </c>
      <c r="F68" s="109"/>
      <c r="G68" s="113">
        <f t="shared" si="1"/>
        <v>103037.1</v>
      </c>
      <c r="H68" s="113">
        <f>H69+H71+H73+H75+H77</f>
        <v>88875</v>
      </c>
      <c r="I68" s="113"/>
      <c r="J68" s="113"/>
      <c r="K68" s="113">
        <f>K69+K71+K73+K75+K77</f>
        <v>14162.1</v>
      </c>
    </row>
    <row r="69" spans="1:11" ht="63.75" customHeight="1">
      <c r="A69" s="107"/>
      <c r="B69" s="115" t="s">
        <v>169</v>
      </c>
      <c r="C69" s="112" t="s">
        <v>45</v>
      </c>
      <c r="D69" s="112" t="s">
        <v>44</v>
      </c>
      <c r="E69" s="112" t="s">
        <v>170</v>
      </c>
      <c r="F69" s="109"/>
      <c r="G69" s="113">
        <f t="shared" si="1"/>
        <v>14162.1</v>
      </c>
      <c r="H69" s="108"/>
      <c r="I69" s="108"/>
      <c r="J69" s="113"/>
      <c r="K69" s="113">
        <f>K70</f>
        <v>14162.1</v>
      </c>
    </row>
    <row r="70" spans="1:11" ht="38.25">
      <c r="A70" s="107"/>
      <c r="B70" s="111" t="s">
        <v>171</v>
      </c>
      <c r="C70" s="112" t="s">
        <v>45</v>
      </c>
      <c r="D70" s="112" t="s">
        <v>44</v>
      </c>
      <c r="E70" s="112" t="s">
        <v>170</v>
      </c>
      <c r="F70" s="112" t="s">
        <v>172</v>
      </c>
      <c r="G70" s="113">
        <f t="shared" si="1"/>
        <v>14162.1</v>
      </c>
      <c r="H70" s="113"/>
      <c r="I70" s="113"/>
      <c r="J70" s="113"/>
      <c r="K70" s="113">
        <f>Лист2!L210</f>
        <v>14162.1</v>
      </c>
    </row>
    <row r="71" spans="1:11" ht="12.75">
      <c r="A71" s="107"/>
      <c r="B71" s="133" t="s">
        <v>177</v>
      </c>
      <c r="C71" s="112" t="s">
        <v>45</v>
      </c>
      <c r="D71" s="112" t="s">
        <v>44</v>
      </c>
      <c r="E71" s="112" t="s">
        <v>178</v>
      </c>
      <c r="F71" s="112"/>
      <c r="G71" s="113">
        <f t="shared" si="1"/>
        <v>62934</v>
      </c>
      <c r="H71" s="113">
        <f>H72</f>
        <v>62934</v>
      </c>
      <c r="I71" s="108"/>
      <c r="J71" s="116"/>
      <c r="K71" s="116"/>
    </row>
    <row r="72" spans="1:11" ht="38.25">
      <c r="A72" s="107"/>
      <c r="B72" s="111" t="s">
        <v>171</v>
      </c>
      <c r="C72" s="112" t="s">
        <v>45</v>
      </c>
      <c r="D72" s="112" t="s">
        <v>44</v>
      </c>
      <c r="E72" s="112" t="s">
        <v>178</v>
      </c>
      <c r="F72" s="112" t="s">
        <v>172</v>
      </c>
      <c r="G72" s="113">
        <f t="shared" si="1"/>
        <v>62934</v>
      </c>
      <c r="H72" s="113">
        <f>Лист2!I212</f>
        <v>62934</v>
      </c>
      <c r="I72" s="113"/>
      <c r="J72" s="113"/>
      <c r="K72" s="113"/>
    </row>
    <row r="73" spans="1:11" ht="25.5" customHeight="1">
      <c r="A73" s="107"/>
      <c r="B73" s="123" t="s">
        <v>173</v>
      </c>
      <c r="C73" s="112" t="s">
        <v>45</v>
      </c>
      <c r="D73" s="112" t="s">
        <v>44</v>
      </c>
      <c r="E73" s="112" t="s">
        <v>174</v>
      </c>
      <c r="F73" s="112"/>
      <c r="G73" s="113">
        <f t="shared" si="1"/>
        <v>23121</v>
      </c>
      <c r="H73" s="113">
        <f>H74</f>
        <v>23121</v>
      </c>
      <c r="I73" s="108"/>
      <c r="J73" s="116"/>
      <c r="K73" s="116"/>
    </row>
    <row r="74" spans="1:11" ht="38.25">
      <c r="A74" s="198"/>
      <c r="B74" s="202" t="s">
        <v>171</v>
      </c>
      <c r="C74" s="195" t="s">
        <v>45</v>
      </c>
      <c r="D74" s="195" t="s">
        <v>44</v>
      </c>
      <c r="E74" s="195" t="s">
        <v>174</v>
      </c>
      <c r="F74" s="195" t="s">
        <v>172</v>
      </c>
      <c r="G74" s="196">
        <f t="shared" si="1"/>
        <v>23121</v>
      </c>
      <c r="H74" s="196">
        <f>Лист2!I214</f>
        <v>23121</v>
      </c>
      <c r="I74" s="196"/>
      <c r="J74" s="196"/>
      <c r="K74" s="196"/>
    </row>
    <row r="75" spans="1:11" ht="12.75">
      <c r="A75" s="114"/>
      <c r="B75" s="123" t="s">
        <v>281</v>
      </c>
      <c r="C75" s="112" t="s">
        <v>45</v>
      </c>
      <c r="D75" s="112" t="s">
        <v>44</v>
      </c>
      <c r="E75" s="112" t="s">
        <v>282</v>
      </c>
      <c r="F75" s="112"/>
      <c r="G75" s="113">
        <f t="shared" si="1"/>
        <v>780</v>
      </c>
      <c r="H75" s="113">
        <f>H76</f>
        <v>780</v>
      </c>
      <c r="I75" s="113"/>
      <c r="J75" s="113"/>
      <c r="K75" s="113"/>
    </row>
    <row r="76" spans="1:11" ht="38.25">
      <c r="A76" s="114"/>
      <c r="B76" s="123" t="s">
        <v>171</v>
      </c>
      <c r="C76" s="112" t="s">
        <v>45</v>
      </c>
      <c r="D76" s="112" t="s">
        <v>44</v>
      </c>
      <c r="E76" s="112" t="s">
        <v>282</v>
      </c>
      <c r="F76" s="112" t="s">
        <v>172</v>
      </c>
      <c r="G76" s="113">
        <f t="shared" si="1"/>
        <v>780</v>
      </c>
      <c r="H76" s="113">
        <f>Лист2!I216</f>
        <v>780</v>
      </c>
      <c r="I76" s="113"/>
      <c r="J76" s="113"/>
      <c r="K76" s="113"/>
    </row>
    <row r="77" spans="1:11" ht="38.25">
      <c r="A77" s="114"/>
      <c r="B77" s="123" t="s">
        <v>179</v>
      </c>
      <c r="C77" s="112" t="s">
        <v>45</v>
      </c>
      <c r="D77" s="112" t="s">
        <v>44</v>
      </c>
      <c r="E77" s="112" t="s">
        <v>180</v>
      </c>
      <c r="F77" s="112"/>
      <c r="G77" s="113">
        <f t="shared" si="1"/>
        <v>2040</v>
      </c>
      <c r="H77" s="113">
        <f>H78</f>
        <v>2040</v>
      </c>
      <c r="I77" s="108"/>
      <c r="J77" s="116"/>
      <c r="K77" s="116"/>
    </row>
    <row r="78" spans="1:11" ht="12.75">
      <c r="A78" s="114"/>
      <c r="B78" s="133" t="s">
        <v>125</v>
      </c>
      <c r="C78" s="112" t="s">
        <v>45</v>
      </c>
      <c r="D78" s="112" t="s">
        <v>44</v>
      </c>
      <c r="E78" s="112" t="s">
        <v>180</v>
      </c>
      <c r="F78" s="112" t="s">
        <v>126</v>
      </c>
      <c r="G78" s="113">
        <f t="shared" si="1"/>
        <v>2040</v>
      </c>
      <c r="H78" s="113">
        <f>Лист2!I218</f>
        <v>2040</v>
      </c>
      <c r="I78" s="113"/>
      <c r="J78" s="113"/>
      <c r="K78" s="113"/>
    </row>
    <row r="79" spans="1:11" ht="38.25">
      <c r="A79" s="107" t="s">
        <v>8</v>
      </c>
      <c r="B79" s="144" t="s">
        <v>185</v>
      </c>
      <c r="C79" s="109" t="s">
        <v>45</v>
      </c>
      <c r="D79" s="109" t="s">
        <v>54</v>
      </c>
      <c r="E79" s="109"/>
      <c r="F79" s="109"/>
      <c r="G79" s="108">
        <f t="shared" si="1"/>
        <v>643.8</v>
      </c>
      <c r="H79" s="108">
        <f>H80</f>
        <v>643.8</v>
      </c>
      <c r="I79" s="108">
        <f>I80</f>
        <v>0</v>
      </c>
      <c r="J79" s="108">
        <f>J80</f>
        <v>0</v>
      </c>
      <c r="K79" s="108">
        <f>K80</f>
        <v>0</v>
      </c>
    </row>
    <row r="80" spans="1:11" ht="12.75">
      <c r="A80" s="114"/>
      <c r="B80" s="133" t="s">
        <v>237</v>
      </c>
      <c r="C80" s="112" t="s">
        <v>45</v>
      </c>
      <c r="D80" s="112" t="s">
        <v>54</v>
      </c>
      <c r="E80" s="112" t="s">
        <v>239</v>
      </c>
      <c r="F80" s="112"/>
      <c r="G80" s="113">
        <f t="shared" si="1"/>
        <v>643.8</v>
      </c>
      <c r="H80" s="113">
        <f>H81</f>
        <v>643.8</v>
      </c>
      <c r="I80" s="113"/>
      <c r="J80" s="113"/>
      <c r="K80" s="113"/>
    </row>
    <row r="81" spans="1:11" ht="27.75" customHeight="1">
      <c r="A81" s="114"/>
      <c r="B81" s="123" t="s">
        <v>238</v>
      </c>
      <c r="C81" s="112" t="s">
        <v>45</v>
      </c>
      <c r="D81" s="112" t="s">
        <v>54</v>
      </c>
      <c r="E81" s="112" t="s">
        <v>240</v>
      </c>
      <c r="F81" s="112"/>
      <c r="G81" s="113">
        <f t="shared" si="1"/>
        <v>643.8</v>
      </c>
      <c r="H81" s="113">
        <f>H82</f>
        <v>643.8</v>
      </c>
      <c r="I81" s="113"/>
      <c r="J81" s="116"/>
      <c r="K81" s="116"/>
    </row>
    <row r="82" spans="1:11" ht="38.25">
      <c r="A82" s="114"/>
      <c r="B82" s="111" t="s">
        <v>171</v>
      </c>
      <c r="C82" s="112" t="s">
        <v>45</v>
      </c>
      <c r="D82" s="112" t="s">
        <v>54</v>
      </c>
      <c r="E82" s="112" t="s">
        <v>240</v>
      </c>
      <c r="F82" s="112" t="s">
        <v>172</v>
      </c>
      <c r="G82" s="113">
        <f t="shared" si="1"/>
        <v>643.8</v>
      </c>
      <c r="H82" s="113">
        <f>Лист2!I74</f>
        <v>643.8</v>
      </c>
      <c r="I82" s="113"/>
      <c r="J82" s="113"/>
      <c r="K82" s="113"/>
    </row>
    <row r="83" spans="1:11" ht="12.75">
      <c r="A83" s="107" t="s">
        <v>9</v>
      </c>
      <c r="B83" s="108" t="s">
        <v>55</v>
      </c>
      <c r="C83" s="109" t="s">
        <v>46</v>
      </c>
      <c r="D83" s="109" t="s">
        <v>43</v>
      </c>
      <c r="E83" s="109"/>
      <c r="F83" s="109"/>
      <c r="G83" s="108">
        <f t="shared" si="1"/>
        <v>75592.59999999999</v>
      </c>
      <c r="H83" s="108">
        <f>H84+H89+H94+H101+H104+H112</f>
        <v>73616.2</v>
      </c>
      <c r="I83" s="108">
        <f>I84+I89+I94+I101+I104+I112</f>
        <v>818.4</v>
      </c>
      <c r="J83" s="108">
        <f>J84+J89+J94+J101+J104+J112</f>
        <v>0</v>
      </c>
      <c r="K83" s="108">
        <f>K84+K89+K94+K101+K104+K112</f>
        <v>1158</v>
      </c>
    </row>
    <row r="84" spans="1:11" ht="12.75">
      <c r="A84" s="117" t="s">
        <v>56</v>
      </c>
      <c r="B84" s="145" t="s">
        <v>445</v>
      </c>
      <c r="C84" s="119" t="s">
        <v>46</v>
      </c>
      <c r="D84" s="119" t="s">
        <v>42</v>
      </c>
      <c r="E84" s="119"/>
      <c r="F84" s="119"/>
      <c r="G84" s="146">
        <f t="shared" si="1"/>
        <v>421.40000000000003</v>
      </c>
      <c r="H84" s="133">
        <f>H85+H90</f>
        <v>0</v>
      </c>
      <c r="I84" s="133">
        <v>0</v>
      </c>
      <c r="J84" s="133">
        <f>J85+J90</f>
        <v>0</v>
      </c>
      <c r="K84" s="133">
        <f>K85+K90</f>
        <v>421.40000000000003</v>
      </c>
    </row>
    <row r="85" spans="1:11" ht="12.75">
      <c r="A85" s="121"/>
      <c r="B85" s="115" t="s">
        <v>175</v>
      </c>
      <c r="C85" s="120" t="s">
        <v>46</v>
      </c>
      <c r="D85" s="120" t="s">
        <v>42</v>
      </c>
      <c r="E85" s="120" t="s">
        <v>176</v>
      </c>
      <c r="F85" s="120"/>
      <c r="G85" s="146">
        <f t="shared" si="1"/>
        <v>421.40000000000003</v>
      </c>
      <c r="H85" s="133"/>
      <c r="I85" s="133"/>
      <c r="J85" s="133"/>
      <c r="K85" s="133">
        <f>K86</f>
        <v>421.40000000000003</v>
      </c>
    </row>
    <row r="86" spans="1:11" ht="25.5">
      <c r="A86" s="121"/>
      <c r="B86" s="127" t="s">
        <v>443</v>
      </c>
      <c r="C86" s="120" t="s">
        <v>46</v>
      </c>
      <c r="D86" s="120" t="s">
        <v>42</v>
      </c>
      <c r="E86" s="120" t="s">
        <v>444</v>
      </c>
      <c r="F86" s="120"/>
      <c r="G86" s="146">
        <f t="shared" si="1"/>
        <v>421.40000000000003</v>
      </c>
      <c r="H86" s="133"/>
      <c r="I86" s="133"/>
      <c r="J86" s="133"/>
      <c r="K86" s="133">
        <f>K87+K88</f>
        <v>421.40000000000003</v>
      </c>
    </row>
    <row r="87" spans="1:11" ht="18.75" customHeight="1">
      <c r="A87" s="121"/>
      <c r="B87" s="123" t="s">
        <v>95</v>
      </c>
      <c r="C87" s="120" t="s">
        <v>46</v>
      </c>
      <c r="D87" s="120" t="s">
        <v>42</v>
      </c>
      <c r="E87" s="120" t="s">
        <v>444</v>
      </c>
      <c r="F87" s="120" t="s">
        <v>99</v>
      </c>
      <c r="G87" s="146">
        <f t="shared" si="1"/>
        <v>407.8</v>
      </c>
      <c r="H87" s="133"/>
      <c r="I87" s="133"/>
      <c r="J87" s="133"/>
      <c r="K87" s="133">
        <f>Лист2!L79+Лист2!L231</f>
        <v>407.8</v>
      </c>
    </row>
    <row r="88" spans="1:11" ht="25.5">
      <c r="A88" s="121"/>
      <c r="B88" s="123" t="s">
        <v>117</v>
      </c>
      <c r="C88" s="120" t="s">
        <v>46</v>
      </c>
      <c r="D88" s="120" t="s">
        <v>42</v>
      </c>
      <c r="E88" s="120" t="s">
        <v>444</v>
      </c>
      <c r="F88" s="120" t="s">
        <v>32</v>
      </c>
      <c r="G88" s="146">
        <f t="shared" si="1"/>
        <v>13.6</v>
      </c>
      <c r="H88" s="133"/>
      <c r="I88" s="133"/>
      <c r="J88" s="133"/>
      <c r="K88" s="133">
        <f>Лист2!L30</f>
        <v>13.6</v>
      </c>
    </row>
    <row r="89" spans="1:11" ht="12.75">
      <c r="A89" s="107" t="s">
        <v>58</v>
      </c>
      <c r="B89" s="147" t="s">
        <v>57</v>
      </c>
      <c r="C89" s="109" t="s">
        <v>46</v>
      </c>
      <c r="D89" s="109" t="s">
        <v>47</v>
      </c>
      <c r="E89" s="109"/>
      <c r="F89" s="109"/>
      <c r="G89" s="108">
        <f t="shared" si="1"/>
        <v>1568.4</v>
      </c>
      <c r="H89" s="108">
        <f>H92+H90</f>
        <v>750</v>
      </c>
      <c r="I89" s="108">
        <f>I92+I90</f>
        <v>818.4</v>
      </c>
      <c r="J89" s="108">
        <f>J92+J90</f>
        <v>0</v>
      </c>
      <c r="K89" s="108">
        <f>K92+K90</f>
        <v>0</v>
      </c>
    </row>
    <row r="90" spans="1:11" ht="12.75">
      <c r="A90" s="107"/>
      <c r="B90" s="133" t="s">
        <v>175</v>
      </c>
      <c r="C90" s="112" t="s">
        <v>46</v>
      </c>
      <c r="D90" s="112" t="s">
        <v>47</v>
      </c>
      <c r="E90" s="112" t="s">
        <v>176</v>
      </c>
      <c r="F90" s="109"/>
      <c r="G90" s="140">
        <f t="shared" si="1"/>
        <v>818.4</v>
      </c>
      <c r="H90" s="113"/>
      <c r="I90" s="113">
        <f>I91</f>
        <v>818.4</v>
      </c>
      <c r="J90" s="113"/>
      <c r="K90" s="113"/>
    </row>
    <row r="91" spans="1:11" ht="25.5">
      <c r="A91" s="107"/>
      <c r="B91" s="127" t="s">
        <v>287</v>
      </c>
      <c r="C91" s="112" t="s">
        <v>46</v>
      </c>
      <c r="D91" s="112" t="s">
        <v>47</v>
      </c>
      <c r="E91" s="112" t="s">
        <v>314</v>
      </c>
      <c r="F91" s="112" t="s">
        <v>288</v>
      </c>
      <c r="G91" s="140">
        <f t="shared" si="1"/>
        <v>818.4</v>
      </c>
      <c r="H91" s="113"/>
      <c r="I91" s="140">
        <f>Лист2!J82</f>
        <v>818.4</v>
      </c>
      <c r="J91" s="113"/>
      <c r="K91" s="113"/>
    </row>
    <row r="92" spans="1:11" ht="12.75">
      <c r="A92" s="107"/>
      <c r="B92" s="123" t="s">
        <v>109</v>
      </c>
      <c r="C92" s="112" t="s">
        <v>46</v>
      </c>
      <c r="D92" s="112" t="s">
        <v>47</v>
      </c>
      <c r="E92" s="112" t="s">
        <v>110</v>
      </c>
      <c r="F92" s="109"/>
      <c r="G92" s="113">
        <f t="shared" si="1"/>
        <v>750</v>
      </c>
      <c r="H92" s="113">
        <f>H93</f>
        <v>750</v>
      </c>
      <c r="I92" s="113"/>
      <c r="J92" s="113"/>
      <c r="K92" s="113"/>
    </row>
    <row r="93" spans="1:11" ht="25.5">
      <c r="A93" s="107"/>
      <c r="B93" s="127" t="s">
        <v>287</v>
      </c>
      <c r="C93" s="112" t="s">
        <v>46</v>
      </c>
      <c r="D93" s="112" t="s">
        <v>47</v>
      </c>
      <c r="E93" s="112" t="s">
        <v>110</v>
      </c>
      <c r="F93" s="112" t="s">
        <v>288</v>
      </c>
      <c r="G93" s="113">
        <f t="shared" si="1"/>
        <v>750</v>
      </c>
      <c r="H93" s="113">
        <f>Лист2!I84</f>
        <v>750</v>
      </c>
      <c r="I93" s="113"/>
      <c r="J93" s="113"/>
      <c r="K93" s="113"/>
    </row>
    <row r="94" spans="1:11" ht="12.75">
      <c r="A94" s="107" t="s">
        <v>59</v>
      </c>
      <c r="B94" s="108" t="s">
        <v>60</v>
      </c>
      <c r="C94" s="109" t="s">
        <v>46</v>
      </c>
      <c r="D94" s="109" t="s">
        <v>61</v>
      </c>
      <c r="E94" s="109"/>
      <c r="F94" s="109"/>
      <c r="G94" s="108">
        <f aca="true" t="shared" si="2" ref="G94:G129">H94+I94+J94+K94</f>
        <v>4500</v>
      </c>
      <c r="H94" s="108">
        <f>H95+H98</f>
        <v>4500</v>
      </c>
      <c r="I94" s="108">
        <f>I95+I98</f>
        <v>0</v>
      </c>
      <c r="J94" s="108">
        <f>J95+J98</f>
        <v>0</v>
      </c>
      <c r="K94" s="108">
        <f>K95+K98</f>
        <v>0</v>
      </c>
    </row>
    <row r="95" spans="1:11" ht="12.75">
      <c r="A95" s="107"/>
      <c r="B95" s="133" t="s">
        <v>247</v>
      </c>
      <c r="C95" s="112" t="s">
        <v>46</v>
      </c>
      <c r="D95" s="112" t="s">
        <v>61</v>
      </c>
      <c r="E95" s="112" t="s">
        <v>248</v>
      </c>
      <c r="F95" s="112"/>
      <c r="G95" s="113">
        <f t="shared" si="2"/>
        <v>2500</v>
      </c>
      <c r="H95" s="113">
        <f>H96</f>
        <v>2500</v>
      </c>
      <c r="I95" s="113"/>
      <c r="J95" s="113"/>
      <c r="K95" s="113"/>
    </row>
    <row r="96" spans="1:11" ht="25.5">
      <c r="A96" s="107"/>
      <c r="B96" s="123" t="s">
        <v>211</v>
      </c>
      <c r="C96" s="112" t="s">
        <v>46</v>
      </c>
      <c r="D96" s="112" t="s">
        <v>61</v>
      </c>
      <c r="E96" s="112" t="s">
        <v>249</v>
      </c>
      <c r="F96" s="112"/>
      <c r="G96" s="113">
        <f t="shared" si="2"/>
        <v>2500</v>
      </c>
      <c r="H96" s="113">
        <f>H97</f>
        <v>2500</v>
      </c>
      <c r="I96" s="113"/>
      <c r="J96" s="116"/>
      <c r="K96" s="116"/>
    </row>
    <row r="97" spans="1:11" ht="12.75">
      <c r="A97" s="107"/>
      <c r="B97" s="133" t="s">
        <v>188</v>
      </c>
      <c r="C97" s="112" t="s">
        <v>46</v>
      </c>
      <c r="D97" s="112" t="s">
        <v>61</v>
      </c>
      <c r="E97" s="112" t="s">
        <v>249</v>
      </c>
      <c r="F97" s="112" t="s">
        <v>189</v>
      </c>
      <c r="G97" s="113">
        <f t="shared" si="2"/>
        <v>2500</v>
      </c>
      <c r="H97" s="113">
        <f>Лист2!I88</f>
        <v>2500</v>
      </c>
      <c r="I97" s="113"/>
      <c r="J97" s="113"/>
      <c r="K97" s="113"/>
    </row>
    <row r="98" spans="1:11" ht="12.75">
      <c r="A98" s="107"/>
      <c r="B98" s="133" t="s">
        <v>250</v>
      </c>
      <c r="C98" s="112" t="s">
        <v>46</v>
      </c>
      <c r="D98" s="112" t="s">
        <v>61</v>
      </c>
      <c r="E98" s="112" t="s">
        <v>251</v>
      </c>
      <c r="F98" s="112"/>
      <c r="G98" s="113">
        <f t="shared" si="2"/>
        <v>2000</v>
      </c>
      <c r="H98" s="113">
        <f>H99</f>
        <v>2000</v>
      </c>
      <c r="I98" s="113"/>
      <c r="J98" s="113"/>
      <c r="K98" s="113"/>
    </row>
    <row r="99" spans="1:11" ht="25.5">
      <c r="A99" s="114"/>
      <c r="B99" s="123" t="s">
        <v>252</v>
      </c>
      <c r="C99" s="112" t="s">
        <v>46</v>
      </c>
      <c r="D99" s="112" t="s">
        <v>61</v>
      </c>
      <c r="E99" s="112" t="s">
        <v>253</v>
      </c>
      <c r="F99" s="112"/>
      <c r="G99" s="113">
        <f t="shared" si="2"/>
        <v>2000</v>
      </c>
      <c r="H99" s="113">
        <f>H100</f>
        <v>2000</v>
      </c>
      <c r="I99" s="113"/>
      <c r="J99" s="116"/>
      <c r="K99" s="116"/>
    </row>
    <row r="100" spans="1:11" ht="12.75">
      <c r="A100" s="114"/>
      <c r="B100" s="133" t="s">
        <v>188</v>
      </c>
      <c r="C100" s="112" t="s">
        <v>46</v>
      </c>
      <c r="D100" s="112" t="s">
        <v>61</v>
      </c>
      <c r="E100" s="112" t="s">
        <v>253</v>
      </c>
      <c r="F100" s="112" t="s">
        <v>189</v>
      </c>
      <c r="G100" s="113">
        <f t="shared" si="2"/>
        <v>2000</v>
      </c>
      <c r="H100" s="113">
        <f>Лист2!I91</f>
        <v>2000</v>
      </c>
      <c r="I100" s="113"/>
      <c r="J100" s="113"/>
      <c r="K100" s="113"/>
    </row>
    <row r="101" spans="1:11" ht="12.75">
      <c r="A101" s="117" t="s">
        <v>355</v>
      </c>
      <c r="B101" s="148" t="s">
        <v>337</v>
      </c>
      <c r="C101" s="119" t="s">
        <v>46</v>
      </c>
      <c r="D101" s="119" t="s">
        <v>54</v>
      </c>
      <c r="E101" s="120"/>
      <c r="F101" s="120"/>
      <c r="G101" s="146">
        <f t="shared" si="2"/>
        <v>455</v>
      </c>
      <c r="H101" s="146">
        <f>H102</f>
        <v>455</v>
      </c>
      <c r="I101" s="146">
        <f>I102</f>
        <v>0</v>
      </c>
      <c r="J101" s="146">
        <f>J102</f>
        <v>0</v>
      </c>
      <c r="K101" s="146">
        <f>K102</f>
        <v>0</v>
      </c>
    </row>
    <row r="102" spans="1:11" ht="12.75">
      <c r="A102" s="121"/>
      <c r="B102" s="123" t="s">
        <v>109</v>
      </c>
      <c r="C102" s="120" t="s">
        <v>46</v>
      </c>
      <c r="D102" s="120" t="s">
        <v>54</v>
      </c>
      <c r="E102" s="120" t="s">
        <v>110</v>
      </c>
      <c r="F102" s="120"/>
      <c r="G102" s="133">
        <f t="shared" si="2"/>
        <v>455</v>
      </c>
      <c r="H102" s="133">
        <f>H103</f>
        <v>455</v>
      </c>
      <c r="I102" s="133"/>
      <c r="J102" s="133"/>
      <c r="K102" s="133"/>
    </row>
    <row r="103" spans="1:11" ht="25.5">
      <c r="A103" s="121"/>
      <c r="B103" s="149" t="s">
        <v>339</v>
      </c>
      <c r="C103" s="120" t="s">
        <v>46</v>
      </c>
      <c r="D103" s="120" t="s">
        <v>54</v>
      </c>
      <c r="E103" s="120" t="s">
        <v>110</v>
      </c>
      <c r="F103" s="120" t="s">
        <v>338</v>
      </c>
      <c r="G103" s="133">
        <f t="shared" si="2"/>
        <v>455</v>
      </c>
      <c r="H103" s="133">
        <f>Лист2!I234</f>
        <v>455</v>
      </c>
      <c r="I103" s="133"/>
      <c r="J103" s="133"/>
      <c r="K103" s="133"/>
    </row>
    <row r="104" spans="1:11" ht="12.75">
      <c r="A104" s="107" t="s">
        <v>356</v>
      </c>
      <c r="B104" s="110" t="s">
        <v>336</v>
      </c>
      <c r="C104" s="109" t="s">
        <v>46</v>
      </c>
      <c r="D104" s="109" t="s">
        <v>89</v>
      </c>
      <c r="E104" s="109"/>
      <c r="F104" s="112"/>
      <c r="G104" s="108">
        <f t="shared" si="2"/>
        <v>12038.8</v>
      </c>
      <c r="H104" s="108">
        <f>H105+H110</f>
        <v>12038.8</v>
      </c>
      <c r="I104" s="108">
        <f>I105+I110</f>
        <v>0</v>
      </c>
      <c r="J104" s="108">
        <f>J105+J110</f>
        <v>0</v>
      </c>
      <c r="K104" s="108">
        <f>K105+K110</f>
        <v>0</v>
      </c>
    </row>
    <row r="105" spans="1:11" ht="12.75">
      <c r="A105" s="121"/>
      <c r="B105" s="149" t="s">
        <v>436</v>
      </c>
      <c r="C105" s="120" t="s">
        <v>46</v>
      </c>
      <c r="D105" s="120" t="s">
        <v>89</v>
      </c>
      <c r="E105" s="120" t="s">
        <v>437</v>
      </c>
      <c r="F105" s="120"/>
      <c r="G105" s="133">
        <f t="shared" si="2"/>
        <v>9038.8</v>
      </c>
      <c r="H105" s="133">
        <f>H106+H108</f>
        <v>9038.8</v>
      </c>
      <c r="I105" s="146"/>
      <c r="J105" s="146"/>
      <c r="K105" s="146"/>
    </row>
    <row r="106" spans="1:11" ht="30" customHeight="1">
      <c r="A106" s="121"/>
      <c r="B106" s="150" t="s">
        <v>479</v>
      </c>
      <c r="C106" s="120" t="s">
        <v>46</v>
      </c>
      <c r="D106" s="120" t="s">
        <v>89</v>
      </c>
      <c r="E106" s="151" t="s">
        <v>480</v>
      </c>
      <c r="F106" s="120"/>
      <c r="G106" s="133">
        <f t="shared" si="2"/>
        <v>5198.9</v>
      </c>
      <c r="H106" s="133">
        <f>H107</f>
        <v>5198.9</v>
      </c>
      <c r="I106" s="146"/>
      <c r="J106" s="146"/>
      <c r="K106" s="146"/>
    </row>
    <row r="107" spans="1:11" ht="25.5">
      <c r="A107" s="121"/>
      <c r="B107" s="136" t="s">
        <v>117</v>
      </c>
      <c r="C107" s="120" t="s">
        <v>46</v>
      </c>
      <c r="D107" s="120" t="s">
        <v>89</v>
      </c>
      <c r="E107" s="151" t="s">
        <v>480</v>
      </c>
      <c r="F107" s="120" t="s">
        <v>32</v>
      </c>
      <c r="G107" s="133">
        <f t="shared" si="2"/>
        <v>5198.9</v>
      </c>
      <c r="H107" s="133">
        <f>Лист2!I34+Лист2!I95+Лист2!I238+Лист2!I310+Лист2!I367+Лист2!I437+Лист2!I501</f>
        <v>5198.9</v>
      </c>
      <c r="I107" s="146"/>
      <c r="J107" s="146"/>
      <c r="K107" s="146"/>
    </row>
    <row r="108" spans="1:11" ht="25.5">
      <c r="A108" s="121"/>
      <c r="B108" s="123" t="s">
        <v>94</v>
      </c>
      <c r="C108" s="120" t="s">
        <v>46</v>
      </c>
      <c r="D108" s="120" t="s">
        <v>89</v>
      </c>
      <c r="E108" s="120" t="s">
        <v>438</v>
      </c>
      <c r="F108" s="120"/>
      <c r="G108" s="133">
        <f t="shared" si="2"/>
        <v>3839.9</v>
      </c>
      <c r="H108" s="133">
        <f>H109</f>
        <v>3839.9</v>
      </c>
      <c r="I108" s="146"/>
      <c r="J108" s="146"/>
      <c r="K108" s="146"/>
    </row>
    <row r="109" spans="1:11" ht="12.75">
      <c r="A109" s="121"/>
      <c r="B109" s="123" t="s">
        <v>329</v>
      </c>
      <c r="C109" s="120" t="s">
        <v>46</v>
      </c>
      <c r="D109" s="120" t="s">
        <v>89</v>
      </c>
      <c r="E109" s="120" t="s">
        <v>438</v>
      </c>
      <c r="F109" s="120" t="s">
        <v>330</v>
      </c>
      <c r="G109" s="133">
        <f t="shared" si="2"/>
        <v>3839.9</v>
      </c>
      <c r="H109" s="133">
        <f>Лист2!I97</f>
        <v>3839.9</v>
      </c>
      <c r="I109" s="146"/>
      <c r="J109" s="146"/>
      <c r="K109" s="146"/>
    </row>
    <row r="110" spans="1:11" ht="12.75">
      <c r="A110" s="114"/>
      <c r="B110" s="123" t="s">
        <v>109</v>
      </c>
      <c r="C110" s="120" t="s">
        <v>46</v>
      </c>
      <c r="D110" s="120" t="s">
        <v>89</v>
      </c>
      <c r="E110" s="120" t="s">
        <v>110</v>
      </c>
      <c r="F110" s="120"/>
      <c r="G110" s="113">
        <f t="shared" si="2"/>
        <v>3000</v>
      </c>
      <c r="H110" s="113">
        <f>H111</f>
        <v>3000</v>
      </c>
      <c r="I110" s="113"/>
      <c r="J110" s="113"/>
      <c r="K110" s="113"/>
    </row>
    <row r="111" spans="1:11" ht="25.5">
      <c r="A111" s="114"/>
      <c r="B111" s="152" t="s">
        <v>117</v>
      </c>
      <c r="C111" s="137" t="s">
        <v>46</v>
      </c>
      <c r="D111" s="137" t="s">
        <v>89</v>
      </c>
      <c r="E111" s="137" t="s">
        <v>110</v>
      </c>
      <c r="F111" s="137" t="s">
        <v>32</v>
      </c>
      <c r="G111" s="113">
        <f t="shared" si="2"/>
        <v>3000</v>
      </c>
      <c r="H111" s="113">
        <f>Лист2!I99</f>
        <v>3000</v>
      </c>
      <c r="I111" s="113"/>
      <c r="J111" s="113"/>
      <c r="K111" s="113"/>
    </row>
    <row r="112" spans="1:11" ht="12.75">
      <c r="A112" s="107" t="s">
        <v>447</v>
      </c>
      <c r="B112" s="108" t="s">
        <v>62</v>
      </c>
      <c r="C112" s="109" t="s">
        <v>46</v>
      </c>
      <c r="D112" s="109" t="s">
        <v>227</v>
      </c>
      <c r="E112" s="109"/>
      <c r="F112" s="109"/>
      <c r="G112" s="108">
        <f t="shared" si="2"/>
        <v>56608.99999999999</v>
      </c>
      <c r="H112" s="108">
        <f>H113+H116+H119+H121</f>
        <v>55872.399999999994</v>
      </c>
      <c r="I112" s="108">
        <f>I113+I116+I119+I121</f>
        <v>0</v>
      </c>
      <c r="J112" s="108">
        <f>J113+J116+J119+J121</f>
        <v>0</v>
      </c>
      <c r="K112" s="108">
        <f>K113+K116+K119+K121</f>
        <v>736.5999999999999</v>
      </c>
    </row>
    <row r="113" spans="1:11" ht="51">
      <c r="A113" s="114"/>
      <c r="B113" s="123" t="s">
        <v>113</v>
      </c>
      <c r="C113" s="112" t="s">
        <v>46</v>
      </c>
      <c r="D113" s="112" t="s">
        <v>227</v>
      </c>
      <c r="E113" s="112" t="s">
        <v>114</v>
      </c>
      <c r="F113" s="112"/>
      <c r="G113" s="113">
        <f t="shared" si="2"/>
        <v>16467.1</v>
      </c>
      <c r="H113" s="113">
        <f>H114</f>
        <v>16467.1</v>
      </c>
      <c r="I113" s="113"/>
      <c r="J113" s="113"/>
      <c r="K113" s="113"/>
    </row>
    <row r="114" spans="1:11" ht="12.75">
      <c r="A114" s="114"/>
      <c r="B114" s="133" t="s">
        <v>115</v>
      </c>
      <c r="C114" s="112" t="s">
        <v>46</v>
      </c>
      <c r="D114" s="112" t="s">
        <v>227</v>
      </c>
      <c r="E114" s="112" t="s">
        <v>116</v>
      </c>
      <c r="F114" s="112"/>
      <c r="G114" s="113">
        <f t="shared" si="2"/>
        <v>16467.1</v>
      </c>
      <c r="H114" s="113">
        <f>H115</f>
        <v>16467.1</v>
      </c>
      <c r="I114" s="113"/>
      <c r="J114" s="113"/>
      <c r="K114" s="113"/>
    </row>
    <row r="115" spans="1:11" ht="25.5">
      <c r="A115" s="114"/>
      <c r="B115" s="123" t="s">
        <v>117</v>
      </c>
      <c r="C115" s="112" t="s">
        <v>46</v>
      </c>
      <c r="D115" s="112" t="s">
        <v>227</v>
      </c>
      <c r="E115" s="112" t="s">
        <v>116</v>
      </c>
      <c r="F115" s="112" t="s">
        <v>32</v>
      </c>
      <c r="G115" s="113">
        <f t="shared" si="2"/>
        <v>16467.1</v>
      </c>
      <c r="H115" s="113">
        <f>Лист2!I371</f>
        <v>16467.1</v>
      </c>
      <c r="I115" s="113"/>
      <c r="J115" s="113"/>
      <c r="K115" s="113"/>
    </row>
    <row r="116" spans="1:11" ht="25.5">
      <c r="A116" s="121"/>
      <c r="B116" s="139" t="s">
        <v>325</v>
      </c>
      <c r="C116" s="120" t="s">
        <v>46</v>
      </c>
      <c r="D116" s="120" t="s">
        <v>227</v>
      </c>
      <c r="E116" s="120" t="s">
        <v>326</v>
      </c>
      <c r="F116" s="120"/>
      <c r="G116" s="133">
        <f t="shared" si="2"/>
        <v>29156.600000000002</v>
      </c>
      <c r="H116" s="133">
        <f>H117</f>
        <v>29156.600000000002</v>
      </c>
      <c r="I116" s="133"/>
      <c r="J116" s="133"/>
      <c r="K116" s="133"/>
    </row>
    <row r="117" spans="1:11" ht="25.5">
      <c r="A117" s="121"/>
      <c r="B117" s="123" t="s">
        <v>94</v>
      </c>
      <c r="C117" s="120" t="s">
        <v>46</v>
      </c>
      <c r="D117" s="120" t="s">
        <v>227</v>
      </c>
      <c r="E117" s="120" t="s">
        <v>326</v>
      </c>
      <c r="F117" s="120"/>
      <c r="G117" s="133">
        <f t="shared" si="2"/>
        <v>29156.600000000002</v>
      </c>
      <c r="H117" s="133">
        <f>H118</f>
        <v>29156.600000000002</v>
      </c>
      <c r="I117" s="133"/>
      <c r="J117" s="133"/>
      <c r="K117" s="133"/>
    </row>
    <row r="118" spans="1:11" ht="15.75" customHeight="1">
      <c r="A118" s="190"/>
      <c r="B118" s="191" t="s">
        <v>95</v>
      </c>
      <c r="C118" s="188" t="s">
        <v>46</v>
      </c>
      <c r="D118" s="188" t="s">
        <v>227</v>
      </c>
      <c r="E118" s="188" t="s">
        <v>326</v>
      </c>
      <c r="F118" s="188" t="s">
        <v>99</v>
      </c>
      <c r="G118" s="192">
        <f t="shared" si="2"/>
        <v>29156.600000000002</v>
      </c>
      <c r="H118" s="192">
        <f>Лист2!I374</f>
        <v>29156.600000000002</v>
      </c>
      <c r="I118" s="192"/>
      <c r="J118" s="192"/>
      <c r="K118" s="192"/>
    </row>
    <row r="119" spans="1:11" ht="15.75" customHeight="1">
      <c r="A119" s="121"/>
      <c r="B119" s="123" t="s">
        <v>175</v>
      </c>
      <c r="C119" s="120" t="s">
        <v>46</v>
      </c>
      <c r="D119" s="120" t="s">
        <v>227</v>
      </c>
      <c r="E119" s="120" t="s">
        <v>176</v>
      </c>
      <c r="F119" s="120"/>
      <c r="G119" s="133">
        <f>G120</f>
        <v>736.5999999999999</v>
      </c>
      <c r="H119" s="133"/>
      <c r="I119" s="133"/>
      <c r="J119" s="133"/>
      <c r="K119" s="133">
        <f>K120</f>
        <v>736.5999999999999</v>
      </c>
    </row>
    <row r="120" spans="1:11" ht="25.5">
      <c r="A120" s="121"/>
      <c r="B120" s="123" t="s">
        <v>117</v>
      </c>
      <c r="C120" s="120" t="s">
        <v>46</v>
      </c>
      <c r="D120" s="120" t="s">
        <v>227</v>
      </c>
      <c r="E120" s="120" t="s">
        <v>176</v>
      </c>
      <c r="F120" s="120" t="s">
        <v>32</v>
      </c>
      <c r="G120" s="133">
        <f>SUM(H120:K120)</f>
        <v>736.5999999999999</v>
      </c>
      <c r="H120" s="133"/>
      <c r="I120" s="133"/>
      <c r="J120" s="133"/>
      <c r="K120" s="133">
        <f>Лист2!L103</f>
        <v>736.5999999999999</v>
      </c>
    </row>
    <row r="121" spans="1:11" ht="12.75">
      <c r="A121" s="114"/>
      <c r="B121" s="115" t="s">
        <v>109</v>
      </c>
      <c r="C121" s="112" t="s">
        <v>46</v>
      </c>
      <c r="D121" s="112" t="s">
        <v>227</v>
      </c>
      <c r="E121" s="112" t="s">
        <v>110</v>
      </c>
      <c r="F121" s="109"/>
      <c r="G121" s="113">
        <f t="shared" si="2"/>
        <v>10248.7</v>
      </c>
      <c r="H121" s="113">
        <f>H122</f>
        <v>10248.7</v>
      </c>
      <c r="I121" s="113"/>
      <c r="J121" s="113"/>
      <c r="K121" s="113"/>
    </row>
    <row r="122" spans="1:11" ht="25.5">
      <c r="A122" s="114"/>
      <c r="B122" s="115" t="s">
        <v>117</v>
      </c>
      <c r="C122" s="112" t="s">
        <v>46</v>
      </c>
      <c r="D122" s="112" t="s">
        <v>227</v>
      </c>
      <c r="E122" s="112" t="s">
        <v>110</v>
      </c>
      <c r="F122" s="112" t="s">
        <v>32</v>
      </c>
      <c r="G122" s="113">
        <f t="shared" si="2"/>
        <v>10248.7</v>
      </c>
      <c r="H122" s="113">
        <f>Лист2!I105+Лист2!I376</f>
        <v>10248.7</v>
      </c>
      <c r="I122" s="113"/>
      <c r="J122" s="113"/>
      <c r="K122" s="113"/>
    </row>
    <row r="123" spans="1:11" ht="12.75">
      <c r="A123" s="107" t="s">
        <v>10</v>
      </c>
      <c r="B123" s="108" t="s">
        <v>63</v>
      </c>
      <c r="C123" s="109" t="s">
        <v>47</v>
      </c>
      <c r="D123" s="109" t="s">
        <v>43</v>
      </c>
      <c r="E123" s="109"/>
      <c r="F123" s="109"/>
      <c r="G123" s="153">
        <f t="shared" si="2"/>
        <v>821630</v>
      </c>
      <c r="H123" s="153">
        <f>H124+H146+H155+H169</f>
        <v>289120.19999999995</v>
      </c>
      <c r="I123" s="153">
        <f>I124+I146+I155+I169</f>
        <v>0</v>
      </c>
      <c r="J123" s="153">
        <f>J124+J146+J155+J169</f>
        <v>531089.8</v>
      </c>
      <c r="K123" s="153">
        <f>K124+K146+K155+K169</f>
        <v>1420</v>
      </c>
    </row>
    <row r="124" spans="1:11" ht="12.75">
      <c r="A124" s="107" t="s">
        <v>64</v>
      </c>
      <c r="B124" s="108" t="s">
        <v>65</v>
      </c>
      <c r="C124" s="109" t="s">
        <v>47</v>
      </c>
      <c r="D124" s="109" t="s">
        <v>42</v>
      </c>
      <c r="E124" s="109"/>
      <c r="F124" s="109"/>
      <c r="G124" s="108">
        <f t="shared" si="2"/>
        <v>452855.7</v>
      </c>
      <c r="H124" s="153">
        <f>H125+H132+H135+H137+H140+H144</f>
        <v>58231.299999999996</v>
      </c>
      <c r="I124" s="153">
        <f>I125+I135+I137+I140+I144</f>
        <v>0</v>
      </c>
      <c r="J124" s="153">
        <f>J125+J135+J137+J140+J144</f>
        <v>394624.4</v>
      </c>
      <c r="K124" s="153">
        <f>K125+K135+K137+K140+K144</f>
        <v>0</v>
      </c>
    </row>
    <row r="125" spans="1:11" ht="38.25">
      <c r="A125" s="114"/>
      <c r="B125" s="123" t="s">
        <v>293</v>
      </c>
      <c r="C125" s="112" t="s">
        <v>47</v>
      </c>
      <c r="D125" s="112" t="s">
        <v>42</v>
      </c>
      <c r="E125" s="112" t="s">
        <v>294</v>
      </c>
      <c r="F125" s="112"/>
      <c r="G125" s="113">
        <f t="shared" si="2"/>
        <v>106957.29999999999</v>
      </c>
      <c r="H125" s="113">
        <f>H126+H129</f>
        <v>10100</v>
      </c>
      <c r="I125" s="113"/>
      <c r="J125" s="113">
        <f>J126+J129</f>
        <v>96857.29999999999</v>
      </c>
      <c r="K125" s="113"/>
    </row>
    <row r="126" spans="1:11" ht="76.5">
      <c r="A126" s="114"/>
      <c r="B126" s="123" t="s">
        <v>308</v>
      </c>
      <c r="C126" s="112" t="s">
        <v>47</v>
      </c>
      <c r="D126" s="112" t="s">
        <v>42</v>
      </c>
      <c r="E126" s="112" t="s">
        <v>309</v>
      </c>
      <c r="F126" s="112"/>
      <c r="G126" s="140">
        <f t="shared" si="2"/>
        <v>77310.2</v>
      </c>
      <c r="H126" s="113"/>
      <c r="I126" s="113"/>
      <c r="J126" s="113">
        <f>J127</f>
        <v>77310.2</v>
      </c>
      <c r="K126" s="113"/>
    </row>
    <row r="127" spans="1:11" ht="63.75">
      <c r="A127" s="114"/>
      <c r="B127" s="123" t="s">
        <v>310</v>
      </c>
      <c r="C127" s="112" t="s">
        <v>47</v>
      </c>
      <c r="D127" s="112" t="s">
        <v>42</v>
      </c>
      <c r="E127" s="112" t="s">
        <v>311</v>
      </c>
      <c r="F127" s="112"/>
      <c r="G127" s="140">
        <f t="shared" si="2"/>
        <v>77310.2</v>
      </c>
      <c r="H127" s="113"/>
      <c r="I127" s="113"/>
      <c r="J127" s="113">
        <f>J128</f>
        <v>77310.2</v>
      </c>
      <c r="K127" s="113"/>
    </row>
    <row r="128" spans="1:11" ht="12.75">
      <c r="A128" s="114"/>
      <c r="B128" s="133" t="s">
        <v>188</v>
      </c>
      <c r="C128" s="112" t="s">
        <v>47</v>
      </c>
      <c r="D128" s="112" t="s">
        <v>42</v>
      </c>
      <c r="E128" s="112" t="s">
        <v>311</v>
      </c>
      <c r="F128" s="112" t="s">
        <v>189</v>
      </c>
      <c r="G128" s="140">
        <f t="shared" si="2"/>
        <v>77310.2</v>
      </c>
      <c r="H128" s="113"/>
      <c r="I128" s="113"/>
      <c r="J128" s="142">
        <f>Лист2!K443</f>
        <v>77310.2</v>
      </c>
      <c r="K128" s="113"/>
    </row>
    <row r="129" spans="1:11" ht="51">
      <c r="A129" s="114"/>
      <c r="B129" s="123" t="s">
        <v>295</v>
      </c>
      <c r="C129" s="112" t="s">
        <v>47</v>
      </c>
      <c r="D129" s="112" t="s">
        <v>42</v>
      </c>
      <c r="E129" s="112" t="s">
        <v>296</v>
      </c>
      <c r="F129" s="112"/>
      <c r="G129" s="113">
        <f t="shared" si="2"/>
        <v>29647.1</v>
      </c>
      <c r="H129" s="113">
        <f>H130</f>
        <v>10100</v>
      </c>
      <c r="I129" s="113"/>
      <c r="J129" s="113">
        <f>J130</f>
        <v>19547.1</v>
      </c>
      <c r="K129" s="113"/>
    </row>
    <row r="130" spans="1:11" ht="38.25">
      <c r="A130" s="114"/>
      <c r="B130" s="123" t="s">
        <v>297</v>
      </c>
      <c r="C130" s="112" t="s">
        <v>47</v>
      </c>
      <c r="D130" s="112" t="s">
        <v>42</v>
      </c>
      <c r="E130" s="112" t="s">
        <v>298</v>
      </c>
      <c r="F130" s="112"/>
      <c r="G130" s="113">
        <f aca="true" t="shared" si="3" ref="G130:G139">H130+I130+J130+K130</f>
        <v>29647.1</v>
      </c>
      <c r="H130" s="113">
        <f>H131</f>
        <v>10100</v>
      </c>
      <c r="I130" s="113"/>
      <c r="J130" s="113">
        <f>J131</f>
        <v>19547.1</v>
      </c>
      <c r="K130" s="113"/>
    </row>
    <row r="131" spans="1:11" ht="12.75">
      <c r="A131" s="114"/>
      <c r="B131" s="133" t="s">
        <v>188</v>
      </c>
      <c r="C131" s="112" t="s">
        <v>47</v>
      </c>
      <c r="D131" s="112" t="s">
        <v>42</v>
      </c>
      <c r="E131" s="112" t="s">
        <v>298</v>
      </c>
      <c r="F131" s="112" t="s">
        <v>189</v>
      </c>
      <c r="G131" s="113">
        <f t="shared" si="3"/>
        <v>29647.1</v>
      </c>
      <c r="H131" s="113">
        <f>Лист2!I446</f>
        <v>10100</v>
      </c>
      <c r="I131" s="113"/>
      <c r="J131" s="113">
        <f>Лист2!K446</f>
        <v>19547.1</v>
      </c>
      <c r="K131" s="113"/>
    </row>
    <row r="132" spans="1:11" ht="38.25">
      <c r="A132" s="121"/>
      <c r="B132" s="123" t="s">
        <v>342</v>
      </c>
      <c r="C132" s="120" t="s">
        <v>47</v>
      </c>
      <c r="D132" s="120" t="s">
        <v>42</v>
      </c>
      <c r="E132" s="120" t="s">
        <v>343</v>
      </c>
      <c r="F132" s="120"/>
      <c r="G132" s="133">
        <f t="shared" si="3"/>
        <v>1400</v>
      </c>
      <c r="H132" s="133">
        <f>H133</f>
        <v>1400</v>
      </c>
      <c r="I132" s="133"/>
      <c r="J132" s="133"/>
      <c r="K132" s="133"/>
    </row>
    <row r="133" spans="1:11" ht="38.25">
      <c r="A133" s="121"/>
      <c r="B133" s="123" t="s">
        <v>340</v>
      </c>
      <c r="C133" s="120" t="s">
        <v>47</v>
      </c>
      <c r="D133" s="120" t="s">
        <v>42</v>
      </c>
      <c r="E133" s="120" t="s">
        <v>341</v>
      </c>
      <c r="F133" s="120"/>
      <c r="G133" s="133">
        <f t="shared" si="3"/>
        <v>1400</v>
      </c>
      <c r="H133" s="133">
        <f>H134</f>
        <v>1400</v>
      </c>
      <c r="I133" s="133"/>
      <c r="J133" s="133"/>
      <c r="K133" s="133"/>
    </row>
    <row r="134" spans="1:11" ht="12.75">
      <c r="A134" s="121"/>
      <c r="B134" s="133" t="s">
        <v>181</v>
      </c>
      <c r="C134" s="120" t="s">
        <v>47</v>
      </c>
      <c r="D134" s="120" t="s">
        <v>42</v>
      </c>
      <c r="E134" s="120" t="s">
        <v>341</v>
      </c>
      <c r="F134" s="120" t="s">
        <v>182</v>
      </c>
      <c r="G134" s="133">
        <f t="shared" si="3"/>
        <v>1400</v>
      </c>
      <c r="H134" s="133">
        <f>Лист2!I110</f>
        <v>1400</v>
      </c>
      <c r="I134" s="133"/>
      <c r="J134" s="133"/>
      <c r="K134" s="133"/>
    </row>
    <row r="135" spans="1:11" ht="12.75">
      <c r="A135" s="121"/>
      <c r="B135" s="123" t="s">
        <v>406</v>
      </c>
      <c r="C135" s="120" t="s">
        <v>47</v>
      </c>
      <c r="D135" s="120" t="s">
        <v>42</v>
      </c>
      <c r="E135" s="120" t="s">
        <v>408</v>
      </c>
      <c r="F135" s="120"/>
      <c r="G135" s="133">
        <f t="shared" si="3"/>
        <v>44180.2</v>
      </c>
      <c r="H135" s="133"/>
      <c r="I135" s="133"/>
      <c r="J135" s="133">
        <f>J136</f>
        <v>44180.2</v>
      </c>
      <c r="K135" s="133"/>
    </row>
    <row r="136" spans="1:11" ht="12.75">
      <c r="A136" s="121"/>
      <c r="B136" s="123" t="s">
        <v>181</v>
      </c>
      <c r="C136" s="120" t="s">
        <v>47</v>
      </c>
      <c r="D136" s="120" t="s">
        <v>42</v>
      </c>
      <c r="E136" s="120" t="s">
        <v>408</v>
      </c>
      <c r="F136" s="120" t="s">
        <v>182</v>
      </c>
      <c r="G136" s="133">
        <f t="shared" si="3"/>
        <v>44180.2</v>
      </c>
      <c r="H136" s="133"/>
      <c r="I136" s="133"/>
      <c r="J136" s="133">
        <f>Лист2!K112</f>
        <v>44180.2</v>
      </c>
      <c r="K136" s="133"/>
    </row>
    <row r="137" spans="1:11" ht="12.75">
      <c r="A137" s="114"/>
      <c r="B137" s="133" t="s">
        <v>186</v>
      </c>
      <c r="C137" s="112" t="s">
        <v>47</v>
      </c>
      <c r="D137" s="112" t="s">
        <v>42</v>
      </c>
      <c r="E137" s="112" t="s">
        <v>187</v>
      </c>
      <c r="F137" s="112"/>
      <c r="G137" s="113">
        <f t="shared" si="3"/>
        <v>12538</v>
      </c>
      <c r="H137" s="113">
        <f>H138</f>
        <v>9538</v>
      </c>
      <c r="I137" s="113"/>
      <c r="J137" s="113">
        <f>J138</f>
        <v>3000</v>
      </c>
      <c r="K137" s="113"/>
    </row>
    <row r="138" spans="1:11" ht="12.75">
      <c r="A138" s="198"/>
      <c r="B138" s="194" t="s">
        <v>290</v>
      </c>
      <c r="C138" s="195" t="s">
        <v>47</v>
      </c>
      <c r="D138" s="195" t="s">
        <v>42</v>
      </c>
      <c r="E138" s="195" t="s">
        <v>291</v>
      </c>
      <c r="F138" s="195"/>
      <c r="G138" s="196">
        <f t="shared" si="3"/>
        <v>12538</v>
      </c>
      <c r="H138" s="196">
        <f>H139</f>
        <v>9538</v>
      </c>
      <c r="I138" s="196"/>
      <c r="J138" s="196">
        <f>J139</f>
        <v>3000</v>
      </c>
      <c r="K138" s="196"/>
    </row>
    <row r="139" spans="1:11" ht="25.5">
      <c r="A139" s="114"/>
      <c r="B139" s="115" t="s">
        <v>117</v>
      </c>
      <c r="C139" s="112" t="s">
        <v>47</v>
      </c>
      <c r="D139" s="112" t="s">
        <v>42</v>
      </c>
      <c r="E139" s="112" t="s">
        <v>291</v>
      </c>
      <c r="F139" s="112" t="s">
        <v>32</v>
      </c>
      <c r="G139" s="113">
        <f t="shared" si="3"/>
        <v>12538</v>
      </c>
      <c r="H139" s="113">
        <f>Лист2!I449+Лист2!I116</f>
        <v>9538</v>
      </c>
      <c r="I139" s="113"/>
      <c r="J139" s="113">
        <f>Лист2!K449+Лист2!K116</f>
        <v>3000</v>
      </c>
      <c r="K139" s="113"/>
    </row>
    <row r="140" spans="1:11" ht="12.75">
      <c r="A140" s="114"/>
      <c r="B140" s="113" t="s">
        <v>175</v>
      </c>
      <c r="C140" s="112" t="s">
        <v>47</v>
      </c>
      <c r="D140" s="112" t="s">
        <v>42</v>
      </c>
      <c r="E140" s="112" t="s">
        <v>176</v>
      </c>
      <c r="F140" s="109"/>
      <c r="G140" s="140">
        <f>G141</f>
        <v>267436.1</v>
      </c>
      <c r="H140" s="113">
        <f>H141</f>
        <v>16849.2</v>
      </c>
      <c r="I140" s="113"/>
      <c r="J140" s="113">
        <f>J141</f>
        <v>250586.9</v>
      </c>
      <c r="K140" s="113"/>
    </row>
    <row r="141" spans="1:11" ht="12.75">
      <c r="A141" s="114"/>
      <c r="B141" s="113" t="s">
        <v>181</v>
      </c>
      <c r="C141" s="112" t="s">
        <v>47</v>
      </c>
      <c r="D141" s="112" t="s">
        <v>42</v>
      </c>
      <c r="E141" s="112" t="s">
        <v>176</v>
      </c>
      <c r="F141" s="112" t="s">
        <v>182</v>
      </c>
      <c r="G141" s="140">
        <f aca="true" t="shared" si="4" ref="G141:G183">H141+I141+J141+K141</f>
        <v>267436.1</v>
      </c>
      <c r="H141" s="113">
        <f>H142+H143</f>
        <v>16849.2</v>
      </c>
      <c r="I141" s="113"/>
      <c r="J141" s="113">
        <f>J142+J143+Лист2!K118</f>
        <v>250586.9</v>
      </c>
      <c r="K141" s="113"/>
    </row>
    <row r="142" spans="1:11" ht="38.25">
      <c r="A142" s="198"/>
      <c r="B142" s="194" t="s">
        <v>35</v>
      </c>
      <c r="C142" s="195" t="s">
        <v>47</v>
      </c>
      <c r="D142" s="195" t="s">
        <v>42</v>
      </c>
      <c r="E142" s="195" t="s">
        <v>271</v>
      </c>
      <c r="F142" s="195" t="s">
        <v>182</v>
      </c>
      <c r="G142" s="211">
        <f t="shared" si="4"/>
        <v>58542.2</v>
      </c>
      <c r="H142" s="196">
        <f>Лист2!I381</f>
        <v>8849.3</v>
      </c>
      <c r="I142" s="196"/>
      <c r="J142" s="196">
        <f>Лист2!K381</f>
        <v>49692.9</v>
      </c>
      <c r="K142" s="196"/>
    </row>
    <row r="143" spans="1:11" ht="51">
      <c r="A143" s="114"/>
      <c r="B143" s="115" t="s">
        <v>307</v>
      </c>
      <c r="C143" s="112" t="s">
        <v>47</v>
      </c>
      <c r="D143" s="112" t="s">
        <v>42</v>
      </c>
      <c r="E143" s="112" t="s">
        <v>270</v>
      </c>
      <c r="F143" s="112" t="s">
        <v>182</v>
      </c>
      <c r="G143" s="140">
        <f t="shared" si="4"/>
        <v>20859.600000000002</v>
      </c>
      <c r="H143" s="113">
        <f>Лист2!I382</f>
        <v>7999.900000000001</v>
      </c>
      <c r="I143" s="113"/>
      <c r="J143" s="113">
        <f>Лист2!K382</f>
        <v>12859.7</v>
      </c>
      <c r="K143" s="113"/>
    </row>
    <row r="144" spans="1:11" ht="12.75">
      <c r="A144" s="114"/>
      <c r="B144" s="123" t="s">
        <v>109</v>
      </c>
      <c r="C144" s="120" t="s">
        <v>47</v>
      </c>
      <c r="D144" s="120" t="s">
        <v>42</v>
      </c>
      <c r="E144" s="120" t="s">
        <v>110</v>
      </c>
      <c r="F144" s="120"/>
      <c r="G144" s="140">
        <f t="shared" si="4"/>
        <v>20344.1</v>
      </c>
      <c r="H144" s="113">
        <f>H145</f>
        <v>20344.1</v>
      </c>
      <c r="I144" s="113"/>
      <c r="J144" s="142"/>
      <c r="K144" s="113"/>
    </row>
    <row r="145" spans="1:11" ht="25.5">
      <c r="A145" s="114"/>
      <c r="B145" s="123" t="s">
        <v>117</v>
      </c>
      <c r="C145" s="120" t="s">
        <v>47</v>
      </c>
      <c r="D145" s="120" t="s">
        <v>42</v>
      </c>
      <c r="E145" s="120" t="s">
        <v>110</v>
      </c>
      <c r="F145" s="120" t="s">
        <v>32</v>
      </c>
      <c r="G145" s="140">
        <f t="shared" si="4"/>
        <v>20344.1</v>
      </c>
      <c r="H145" s="113">
        <f>Лист2!I451+Лист2!I121</f>
        <v>20344.1</v>
      </c>
      <c r="I145" s="113"/>
      <c r="J145" s="142"/>
      <c r="K145" s="113"/>
    </row>
    <row r="146" spans="1:11" ht="12.75">
      <c r="A146" s="107" t="s">
        <v>66</v>
      </c>
      <c r="B146" s="108" t="s">
        <v>67</v>
      </c>
      <c r="C146" s="109" t="s">
        <v>47</v>
      </c>
      <c r="D146" s="109" t="s">
        <v>44</v>
      </c>
      <c r="E146" s="109"/>
      <c r="F146" s="109"/>
      <c r="G146" s="108">
        <f t="shared" si="4"/>
        <v>118533.7</v>
      </c>
      <c r="H146" s="108">
        <f>H147+H150</f>
        <v>28610</v>
      </c>
      <c r="I146" s="108">
        <f>I147+I150</f>
        <v>0</v>
      </c>
      <c r="J146" s="108">
        <f>J147+J150</f>
        <v>89923.7</v>
      </c>
      <c r="K146" s="108">
        <f>K147+K150</f>
        <v>0</v>
      </c>
    </row>
    <row r="147" spans="1:11" ht="12.75">
      <c r="A147" s="114"/>
      <c r="B147" s="123" t="s">
        <v>190</v>
      </c>
      <c r="C147" s="112" t="s">
        <v>47</v>
      </c>
      <c r="D147" s="112" t="s">
        <v>44</v>
      </c>
      <c r="E147" s="112" t="s">
        <v>191</v>
      </c>
      <c r="F147" s="112"/>
      <c r="G147" s="113">
        <f t="shared" si="4"/>
        <v>10510</v>
      </c>
      <c r="H147" s="113">
        <f>H148</f>
        <v>10510</v>
      </c>
      <c r="I147" s="113"/>
      <c r="J147" s="113"/>
      <c r="K147" s="113"/>
    </row>
    <row r="148" spans="1:11" ht="51">
      <c r="A148" s="114"/>
      <c r="B148" s="123" t="s">
        <v>193</v>
      </c>
      <c r="C148" s="112" t="s">
        <v>47</v>
      </c>
      <c r="D148" s="112" t="s">
        <v>44</v>
      </c>
      <c r="E148" s="112" t="s">
        <v>192</v>
      </c>
      <c r="F148" s="112"/>
      <c r="G148" s="113">
        <f t="shared" si="4"/>
        <v>10510</v>
      </c>
      <c r="H148" s="113">
        <f>H149</f>
        <v>10510</v>
      </c>
      <c r="I148" s="113"/>
      <c r="J148" s="116"/>
      <c r="K148" s="116"/>
    </row>
    <row r="149" spans="1:11" ht="12.75">
      <c r="A149" s="114"/>
      <c r="B149" s="133" t="s">
        <v>188</v>
      </c>
      <c r="C149" s="112" t="s">
        <v>47</v>
      </c>
      <c r="D149" s="112" t="s">
        <v>44</v>
      </c>
      <c r="E149" s="112" t="s">
        <v>192</v>
      </c>
      <c r="F149" s="112" t="s">
        <v>189</v>
      </c>
      <c r="G149" s="113">
        <f t="shared" si="4"/>
        <v>10510</v>
      </c>
      <c r="H149" s="113">
        <f>Лист2!I455</f>
        <v>10510</v>
      </c>
      <c r="I149" s="113"/>
      <c r="J149" s="113"/>
      <c r="K149" s="113"/>
    </row>
    <row r="150" spans="1:11" ht="12.75">
      <c r="A150" s="114"/>
      <c r="B150" s="113" t="s">
        <v>175</v>
      </c>
      <c r="C150" s="112" t="s">
        <v>47</v>
      </c>
      <c r="D150" s="112" t="s">
        <v>44</v>
      </c>
      <c r="E150" s="112" t="s">
        <v>176</v>
      </c>
      <c r="F150" s="109"/>
      <c r="G150" s="140">
        <f t="shared" si="4"/>
        <v>108023.7</v>
      </c>
      <c r="H150" s="113">
        <f>H151</f>
        <v>18100</v>
      </c>
      <c r="I150" s="113"/>
      <c r="J150" s="113">
        <f>J151</f>
        <v>89923.7</v>
      </c>
      <c r="K150" s="113"/>
    </row>
    <row r="151" spans="1:11" ht="12.75">
      <c r="A151" s="114"/>
      <c r="B151" s="113" t="s">
        <v>181</v>
      </c>
      <c r="C151" s="112" t="s">
        <v>47</v>
      </c>
      <c r="D151" s="112" t="s">
        <v>44</v>
      </c>
      <c r="E151" s="112" t="s">
        <v>176</v>
      </c>
      <c r="F151" s="112" t="s">
        <v>182</v>
      </c>
      <c r="G151" s="140">
        <f t="shared" si="4"/>
        <v>108023.7</v>
      </c>
      <c r="H151" s="113">
        <f>H152+H153+H154</f>
        <v>18100</v>
      </c>
      <c r="I151" s="113"/>
      <c r="J151" s="113">
        <f>J152+J153+J154</f>
        <v>89923.7</v>
      </c>
      <c r="K151" s="113"/>
    </row>
    <row r="152" spans="1:11" ht="38.25">
      <c r="A152" s="121"/>
      <c r="B152" s="123" t="s">
        <v>416</v>
      </c>
      <c r="C152" s="120" t="s">
        <v>47</v>
      </c>
      <c r="D152" s="120" t="s">
        <v>44</v>
      </c>
      <c r="E152" s="120" t="s">
        <v>417</v>
      </c>
      <c r="F152" s="120" t="s">
        <v>182</v>
      </c>
      <c r="G152" s="133">
        <f t="shared" si="4"/>
        <v>2739.1</v>
      </c>
      <c r="H152" s="133"/>
      <c r="I152" s="133"/>
      <c r="J152" s="142">
        <f>Лист2!K386</f>
        <v>2739.1</v>
      </c>
      <c r="K152" s="133"/>
    </row>
    <row r="153" spans="1:11" ht="12.75">
      <c r="A153" s="121"/>
      <c r="B153" s="133" t="s">
        <v>188</v>
      </c>
      <c r="C153" s="120" t="s">
        <v>47</v>
      </c>
      <c r="D153" s="120" t="s">
        <v>44</v>
      </c>
      <c r="E153" s="120" t="s">
        <v>417</v>
      </c>
      <c r="F153" s="120" t="s">
        <v>189</v>
      </c>
      <c r="G153" s="133">
        <f t="shared" si="4"/>
        <v>36.8</v>
      </c>
      <c r="H153" s="133"/>
      <c r="I153" s="133"/>
      <c r="J153" s="142">
        <f>Лист2!K457</f>
        <v>36.8</v>
      </c>
      <c r="K153" s="133"/>
    </row>
    <row r="154" spans="1:11" ht="25.5">
      <c r="A154" s="114"/>
      <c r="B154" s="115" t="s">
        <v>36</v>
      </c>
      <c r="C154" s="112" t="s">
        <v>47</v>
      </c>
      <c r="D154" s="112" t="s">
        <v>44</v>
      </c>
      <c r="E154" s="112" t="s">
        <v>272</v>
      </c>
      <c r="F154" s="112" t="s">
        <v>182</v>
      </c>
      <c r="G154" s="140">
        <f t="shared" si="4"/>
        <v>105247.8</v>
      </c>
      <c r="H154" s="113">
        <f>Лист2!I387</f>
        <v>18100</v>
      </c>
      <c r="I154" s="113"/>
      <c r="J154" s="113">
        <f>Лист2!K387</f>
        <v>87147.8</v>
      </c>
      <c r="K154" s="113"/>
    </row>
    <row r="155" spans="1:11" ht="12.75">
      <c r="A155" s="107" t="s">
        <v>68</v>
      </c>
      <c r="B155" s="108" t="s">
        <v>194</v>
      </c>
      <c r="C155" s="109" t="s">
        <v>47</v>
      </c>
      <c r="D155" s="109" t="s">
        <v>45</v>
      </c>
      <c r="E155" s="109"/>
      <c r="F155" s="109"/>
      <c r="G155" s="108">
        <f t="shared" si="4"/>
        <v>136235.8</v>
      </c>
      <c r="H155" s="108">
        <f>H156+H158</f>
        <v>128696.8</v>
      </c>
      <c r="I155" s="108">
        <f>I156+I158</f>
        <v>0</v>
      </c>
      <c r="J155" s="108">
        <f>J156+J158</f>
        <v>6119</v>
      </c>
      <c r="K155" s="108">
        <f>K156+K158</f>
        <v>1420</v>
      </c>
    </row>
    <row r="156" spans="1:11" ht="38.25">
      <c r="A156" s="121"/>
      <c r="B156" s="122" t="s">
        <v>342</v>
      </c>
      <c r="C156" s="120" t="s">
        <v>47</v>
      </c>
      <c r="D156" s="120" t="s">
        <v>45</v>
      </c>
      <c r="E156" s="120" t="s">
        <v>343</v>
      </c>
      <c r="F156" s="120"/>
      <c r="G156" s="140">
        <f t="shared" si="4"/>
        <v>49281.7</v>
      </c>
      <c r="H156" s="113">
        <f>H157</f>
        <v>41842.7</v>
      </c>
      <c r="I156" s="113"/>
      <c r="J156" s="113">
        <f>J157</f>
        <v>6119</v>
      </c>
      <c r="K156" s="113">
        <f>K157</f>
        <v>1320</v>
      </c>
    </row>
    <row r="157" spans="1:11" ht="38.25">
      <c r="A157" s="135"/>
      <c r="B157" s="150" t="s">
        <v>340</v>
      </c>
      <c r="C157" s="137" t="s">
        <v>47</v>
      </c>
      <c r="D157" s="137" t="s">
        <v>45</v>
      </c>
      <c r="E157" s="137" t="s">
        <v>341</v>
      </c>
      <c r="F157" s="137" t="s">
        <v>182</v>
      </c>
      <c r="G157" s="140">
        <f t="shared" si="4"/>
        <v>49281.7</v>
      </c>
      <c r="H157" s="113">
        <f>Лист2!I390</f>
        <v>41842.7</v>
      </c>
      <c r="I157" s="113"/>
      <c r="J157" s="113">
        <f>Лист2!K390</f>
        <v>6119</v>
      </c>
      <c r="K157" s="108">
        <f>Лист2!L390</f>
        <v>1320</v>
      </c>
    </row>
    <row r="158" spans="1:11" ht="12.75">
      <c r="A158" s="107"/>
      <c r="B158" s="113" t="s">
        <v>194</v>
      </c>
      <c r="C158" s="112" t="s">
        <v>47</v>
      </c>
      <c r="D158" s="112" t="s">
        <v>45</v>
      </c>
      <c r="E158" s="112" t="s">
        <v>195</v>
      </c>
      <c r="F158" s="112"/>
      <c r="G158" s="113">
        <f t="shared" si="4"/>
        <v>86954.1</v>
      </c>
      <c r="H158" s="113">
        <f>H159+H161+H163+H165+H167</f>
        <v>86854.1</v>
      </c>
      <c r="I158" s="113">
        <f>I159+I161+I163+I165+I167</f>
        <v>0</v>
      </c>
      <c r="J158" s="113">
        <f>J159+J161+J163+J165+J167</f>
        <v>0</v>
      </c>
      <c r="K158" s="113">
        <f>K159+K161+K163+K165+K167</f>
        <v>100</v>
      </c>
    </row>
    <row r="159" spans="1:11" ht="12.75">
      <c r="A159" s="107"/>
      <c r="B159" s="113" t="s">
        <v>196</v>
      </c>
      <c r="C159" s="112" t="s">
        <v>47</v>
      </c>
      <c r="D159" s="112" t="s">
        <v>45</v>
      </c>
      <c r="E159" s="112" t="s">
        <v>197</v>
      </c>
      <c r="F159" s="112"/>
      <c r="G159" s="113">
        <f t="shared" si="4"/>
        <v>15301.1</v>
      </c>
      <c r="H159" s="113">
        <f>H160</f>
        <v>15301.1</v>
      </c>
      <c r="I159" s="113"/>
      <c r="J159" s="116"/>
      <c r="K159" s="116"/>
    </row>
    <row r="160" spans="1:11" ht="25.5">
      <c r="A160" s="107"/>
      <c r="B160" s="123" t="s">
        <v>117</v>
      </c>
      <c r="C160" s="112" t="s">
        <v>47</v>
      </c>
      <c r="D160" s="112" t="s">
        <v>45</v>
      </c>
      <c r="E160" s="112" t="s">
        <v>197</v>
      </c>
      <c r="F160" s="112" t="s">
        <v>32</v>
      </c>
      <c r="G160" s="113">
        <f t="shared" si="4"/>
        <v>15301.1</v>
      </c>
      <c r="H160" s="113">
        <f>Лист2!I462</f>
        <v>15301.1</v>
      </c>
      <c r="I160" s="113"/>
      <c r="J160" s="113"/>
      <c r="K160" s="113"/>
    </row>
    <row r="161" spans="1:11" ht="38.25">
      <c r="A161" s="193"/>
      <c r="B161" s="194" t="s">
        <v>198</v>
      </c>
      <c r="C161" s="195" t="s">
        <v>47</v>
      </c>
      <c r="D161" s="195" t="s">
        <v>45</v>
      </c>
      <c r="E161" s="195" t="s">
        <v>199</v>
      </c>
      <c r="F161" s="195"/>
      <c r="G161" s="196">
        <f t="shared" si="4"/>
        <v>45751</v>
      </c>
      <c r="H161" s="196">
        <f>H162</f>
        <v>45751</v>
      </c>
      <c r="I161" s="196"/>
      <c r="J161" s="197"/>
      <c r="K161" s="197"/>
    </row>
    <row r="162" spans="1:11" ht="25.5">
      <c r="A162" s="107"/>
      <c r="B162" s="123" t="s">
        <v>117</v>
      </c>
      <c r="C162" s="112" t="s">
        <v>47</v>
      </c>
      <c r="D162" s="112" t="s">
        <v>45</v>
      </c>
      <c r="E162" s="112" t="s">
        <v>199</v>
      </c>
      <c r="F162" s="112" t="s">
        <v>32</v>
      </c>
      <c r="G162" s="113">
        <f t="shared" si="4"/>
        <v>45751</v>
      </c>
      <c r="H162" s="113">
        <f>Лист2!I464</f>
        <v>45751</v>
      </c>
      <c r="I162" s="113"/>
      <c r="J162" s="113"/>
      <c r="K162" s="113"/>
    </row>
    <row r="163" spans="1:11" ht="12.75">
      <c r="A163" s="107"/>
      <c r="B163" s="113" t="s">
        <v>200</v>
      </c>
      <c r="C163" s="112" t="s">
        <v>47</v>
      </c>
      <c r="D163" s="112" t="s">
        <v>45</v>
      </c>
      <c r="E163" s="112" t="s">
        <v>201</v>
      </c>
      <c r="F163" s="112"/>
      <c r="G163" s="113">
        <f t="shared" si="4"/>
        <v>6788</v>
      </c>
      <c r="H163" s="113">
        <f>H164</f>
        <v>6788</v>
      </c>
      <c r="I163" s="113"/>
      <c r="J163" s="116"/>
      <c r="K163" s="116"/>
    </row>
    <row r="164" spans="1:11" ht="25.5">
      <c r="A164" s="114"/>
      <c r="B164" s="123" t="s">
        <v>117</v>
      </c>
      <c r="C164" s="112" t="s">
        <v>47</v>
      </c>
      <c r="D164" s="112" t="s">
        <v>45</v>
      </c>
      <c r="E164" s="112" t="s">
        <v>201</v>
      </c>
      <c r="F164" s="112" t="s">
        <v>32</v>
      </c>
      <c r="G164" s="113">
        <f t="shared" si="4"/>
        <v>6788</v>
      </c>
      <c r="H164" s="113">
        <f>Лист2!I466</f>
        <v>6788</v>
      </c>
      <c r="I164" s="113"/>
      <c r="J164" s="113"/>
      <c r="K164" s="113"/>
    </row>
    <row r="165" spans="1:11" ht="12.75">
      <c r="A165" s="114"/>
      <c r="B165" s="123" t="s">
        <v>299</v>
      </c>
      <c r="C165" s="112" t="s">
        <v>47</v>
      </c>
      <c r="D165" s="112" t="s">
        <v>45</v>
      </c>
      <c r="E165" s="112" t="s">
        <v>300</v>
      </c>
      <c r="F165" s="112"/>
      <c r="G165" s="113">
        <f t="shared" si="4"/>
        <v>2435</v>
      </c>
      <c r="H165" s="113">
        <f>H166</f>
        <v>2435</v>
      </c>
      <c r="I165" s="113"/>
      <c r="J165" s="113"/>
      <c r="K165" s="113"/>
    </row>
    <row r="166" spans="1:11" ht="25.5">
      <c r="A166" s="114"/>
      <c r="B166" s="123" t="s">
        <v>117</v>
      </c>
      <c r="C166" s="112" t="s">
        <v>47</v>
      </c>
      <c r="D166" s="112" t="s">
        <v>45</v>
      </c>
      <c r="E166" s="112" t="s">
        <v>300</v>
      </c>
      <c r="F166" s="112" t="s">
        <v>32</v>
      </c>
      <c r="G166" s="113">
        <f t="shared" si="4"/>
        <v>2435</v>
      </c>
      <c r="H166" s="113">
        <f>Лист2!I468</f>
        <v>2435</v>
      </c>
      <c r="I166" s="113"/>
      <c r="J166" s="113"/>
      <c r="K166" s="113"/>
    </row>
    <row r="167" spans="1:11" ht="25.5">
      <c r="A167" s="198"/>
      <c r="B167" s="194" t="s">
        <v>202</v>
      </c>
      <c r="C167" s="195" t="s">
        <v>47</v>
      </c>
      <c r="D167" s="195" t="s">
        <v>45</v>
      </c>
      <c r="E167" s="195" t="s">
        <v>203</v>
      </c>
      <c r="F167" s="195"/>
      <c r="G167" s="196">
        <f t="shared" si="4"/>
        <v>16679</v>
      </c>
      <c r="H167" s="196">
        <f>H168</f>
        <v>16579</v>
      </c>
      <c r="I167" s="196">
        <f>I168</f>
        <v>0</v>
      </c>
      <c r="J167" s="196">
        <f>J168</f>
        <v>0</v>
      </c>
      <c r="K167" s="196">
        <f>K168</f>
        <v>100</v>
      </c>
    </row>
    <row r="168" spans="1:11" ht="25.5">
      <c r="A168" s="114"/>
      <c r="B168" s="123" t="s">
        <v>117</v>
      </c>
      <c r="C168" s="112" t="s">
        <v>47</v>
      </c>
      <c r="D168" s="112" t="s">
        <v>45</v>
      </c>
      <c r="E168" s="112" t="s">
        <v>203</v>
      </c>
      <c r="F168" s="112" t="s">
        <v>32</v>
      </c>
      <c r="G168" s="113">
        <f t="shared" si="4"/>
        <v>16679</v>
      </c>
      <c r="H168" s="113">
        <f>Лист2!I470</f>
        <v>16579</v>
      </c>
      <c r="I168" s="113"/>
      <c r="J168" s="113"/>
      <c r="K168" s="113">
        <f>Лист2!L470</f>
        <v>100</v>
      </c>
    </row>
    <row r="169" spans="1:11" ht="25.5">
      <c r="A169" s="107" t="s">
        <v>262</v>
      </c>
      <c r="B169" s="124" t="s">
        <v>69</v>
      </c>
      <c r="C169" s="109" t="s">
        <v>47</v>
      </c>
      <c r="D169" s="109" t="s">
        <v>47</v>
      </c>
      <c r="E169" s="109"/>
      <c r="F169" s="109"/>
      <c r="G169" s="108">
        <f t="shared" si="4"/>
        <v>114004.8</v>
      </c>
      <c r="H169" s="108">
        <f>H170+H173+H175+H177</f>
        <v>73582.1</v>
      </c>
      <c r="I169" s="108">
        <f>I170+I173+I175+I177</f>
        <v>0</v>
      </c>
      <c r="J169" s="108">
        <f>J170+J173+J175+J177</f>
        <v>40422.7</v>
      </c>
      <c r="K169" s="108">
        <f>K170+K173+K175+K177</f>
        <v>0</v>
      </c>
    </row>
    <row r="170" spans="1:11" ht="51">
      <c r="A170" s="107"/>
      <c r="B170" s="123" t="s">
        <v>113</v>
      </c>
      <c r="C170" s="112" t="s">
        <v>47</v>
      </c>
      <c r="D170" s="112" t="s">
        <v>47</v>
      </c>
      <c r="E170" s="112" t="s">
        <v>114</v>
      </c>
      <c r="F170" s="112"/>
      <c r="G170" s="113">
        <f t="shared" si="4"/>
        <v>14314.8</v>
      </c>
      <c r="H170" s="113">
        <f>H171</f>
        <v>14314.8</v>
      </c>
      <c r="I170" s="113"/>
      <c r="J170" s="113"/>
      <c r="K170" s="113"/>
    </row>
    <row r="171" spans="1:11" ht="12.75">
      <c r="A171" s="107"/>
      <c r="B171" s="133" t="s">
        <v>115</v>
      </c>
      <c r="C171" s="112" t="s">
        <v>47</v>
      </c>
      <c r="D171" s="112" t="s">
        <v>47</v>
      </c>
      <c r="E171" s="112" t="s">
        <v>116</v>
      </c>
      <c r="F171" s="112"/>
      <c r="G171" s="113">
        <f t="shared" si="4"/>
        <v>14314.8</v>
      </c>
      <c r="H171" s="113">
        <f>H172</f>
        <v>14314.8</v>
      </c>
      <c r="I171" s="113"/>
      <c r="J171" s="116"/>
      <c r="K171" s="116"/>
    </row>
    <row r="172" spans="1:11" ht="26.25" customHeight="1">
      <c r="A172" s="114"/>
      <c r="B172" s="123" t="s">
        <v>117</v>
      </c>
      <c r="C172" s="112" t="s">
        <v>47</v>
      </c>
      <c r="D172" s="112" t="s">
        <v>47</v>
      </c>
      <c r="E172" s="112" t="s">
        <v>116</v>
      </c>
      <c r="F172" s="112" t="s">
        <v>32</v>
      </c>
      <c r="G172" s="113">
        <f t="shared" si="4"/>
        <v>14314.8</v>
      </c>
      <c r="H172" s="113">
        <f>Лист2!I474</f>
        <v>14314.8</v>
      </c>
      <c r="I172" s="113"/>
      <c r="J172" s="113"/>
      <c r="K172" s="113"/>
    </row>
    <row r="173" spans="1:11" ht="25.5">
      <c r="A173" s="121"/>
      <c r="B173" s="123" t="s">
        <v>94</v>
      </c>
      <c r="C173" s="112" t="s">
        <v>47</v>
      </c>
      <c r="D173" s="112" t="s">
        <v>47</v>
      </c>
      <c r="E173" s="112" t="s">
        <v>327</v>
      </c>
      <c r="F173" s="112"/>
      <c r="G173" s="113">
        <f t="shared" si="4"/>
        <v>10265.8</v>
      </c>
      <c r="H173" s="113">
        <f>H174</f>
        <v>10062.3</v>
      </c>
      <c r="I173" s="113"/>
      <c r="J173" s="113">
        <f>J174</f>
        <v>203.5</v>
      </c>
      <c r="K173" s="113"/>
    </row>
    <row r="174" spans="1:11" ht="15" customHeight="1">
      <c r="A174" s="121"/>
      <c r="B174" s="123" t="s">
        <v>95</v>
      </c>
      <c r="C174" s="112" t="s">
        <v>47</v>
      </c>
      <c r="D174" s="112" t="s">
        <v>47</v>
      </c>
      <c r="E174" s="112" t="s">
        <v>327</v>
      </c>
      <c r="F174" s="112" t="s">
        <v>99</v>
      </c>
      <c r="G174" s="113">
        <f t="shared" si="4"/>
        <v>10265.8</v>
      </c>
      <c r="H174" s="113">
        <f>Лист2!I476</f>
        <v>10062.3</v>
      </c>
      <c r="I174" s="113"/>
      <c r="J174" s="113">
        <f>Лист2!K476</f>
        <v>203.5</v>
      </c>
      <c r="K174" s="113"/>
    </row>
    <row r="175" spans="1:11" ht="15" customHeight="1">
      <c r="A175" s="121"/>
      <c r="B175" s="139" t="s">
        <v>175</v>
      </c>
      <c r="C175" s="120" t="s">
        <v>47</v>
      </c>
      <c r="D175" s="120" t="s">
        <v>47</v>
      </c>
      <c r="E175" s="120" t="s">
        <v>176</v>
      </c>
      <c r="F175" s="120"/>
      <c r="G175" s="133">
        <f>H175+I175+J175+K175</f>
        <v>40219.2</v>
      </c>
      <c r="H175" s="133"/>
      <c r="I175" s="133"/>
      <c r="J175" s="133">
        <f>J176</f>
        <v>40219.2</v>
      </c>
      <c r="K175" s="133"/>
    </row>
    <row r="176" spans="1:11" ht="25.5">
      <c r="A176" s="121"/>
      <c r="B176" s="123" t="s">
        <v>117</v>
      </c>
      <c r="C176" s="120" t="s">
        <v>47</v>
      </c>
      <c r="D176" s="120" t="s">
        <v>47</v>
      </c>
      <c r="E176" s="120" t="s">
        <v>176</v>
      </c>
      <c r="F176" s="120" t="s">
        <v>32</v>
      </c>
      <c r="G176" s="133">
        <f>H176+I176+J176+K176</f>
        <v>40219.2</v>
      </c>
      <c r="H176" s="133"/>
      <c r="I176" s="146"/>
      <c r="J176" s="133">
        <f>Лист2!K124</f>
        <v>40219.2</v>
      </c>
      <c r="K176" s="133"/>
    </row>
    <row r="177" spans="1:11" ht="12.75">
      <c r="A177" s="198"/>
      <c r="B177" s="191" t="s">
        <v>109</v>
      </c>
      <c r="C177" s="188" t="s">
        <v>47</v>
      </c>
      <c r="D177" s="188" t="s">
        <v>47</v>
      </c>
      <c r="E177" s="188" t="s">
        <v>110</v>
      </c>
      <c r="F177" s="188"/>
      <c r="G177" s="196">
        <f t="shared" si="4"/>
        <v>49205</v>
      </c>
      <c r="H177" s="196">
        <f>H178</f>
        <v>49205</v>
      </c>
      <c r="I177" s="196"/>
      <c r="J177" s="196"/>
      <c r="K177" s="196"/>
    </row>
    <row r="178" spans="1:11" ht="25.5">
      <c r="A178" s="114"/>
      <c r="B178" s="123" t="s">
        <v>117</v>
      </c>
      <c r="C178" s="120" t="s">
        <v>47</v>
      </c>
      <c r="D178" s="120" t="s">
        <v>47</v>
      </c>
      <c r="E178" s="120" t="s">
        <v>110</v>
      </c>
      <c r="F178" s="120" t="s">
        <v>32</v>
      </c>
      <c r="G178" s="113">
        <f t="shared" si="4"/>
        <v>49205</v>
      </c>
      <c r="H178" s="113">
        <f>Лист2!I128</f>
        <v>49205</v>
      </c>
      <c r="I178" s="113"/>
      <c r="J178" s="113"/>
      <c r="K178" s="113"/>
    </row>
    <row r="179" spans="1:11" ht="12.75">
      <c r="A179" s="107" t="s">
        <v>11</v>
      </c>
      <c r="B179" s="108" t="s">
        <v>71</v>
      </c>
      <c r="C179" s="109" t="s">
        <v>50</v>
      </c>
      <c r="D179" s="109" t="s">
        <v>43</v>
      </c>
      <c r="E179" s="109"/>
      <c r="F179" s="109"/>
      <c r="G179" s="153">
        <f t="shared" si="4"/>
        <v>989535.3</v>
      </c>
      <c r="H179" s="108">
        <f>H180+H186+H198+H211</f>
        <v>672833.6000000001</v>
      </c>
      <c r="I179" s="108">
        <f>I180+I186+I198+I211</f>
        <v>301511.1</v>
      </c>
      <c r="J179" s="108">
        <f>J180+J186+J198+J211</f>
        <v>10759.7</v>
      </c>
      <c r="K179" s="108">
        <f>K180+K186+K198+K211</f>
        <v>4430.900000000001</v>
      </c>
    </row>
    <row r="180" spans="1:11" ht="12.75">
      <c r="A180" s="107" t="s">
        <v>70</v>
      </c>
      <c r="B180" s="108" t="s">
        <v>73</v>
      </c>
      <c r="C180" s="109" t="s">
        <v>50</v>
      </c>
      <c r="D180" s="109" t="s">
        <v>42</v>
      </c>
      <c r="E180" s="109"/>
      <c r="F180" s="109"/>
      <c r="G180" s="108">
        <f t="shared" si="4"/>
        <v>419654.70000000007</v>
      </c>
      <c r="H180" s="108">
        <f>H181+H184</f>
        <v>417574.70000000007</v>
      </c>
      <c r="I180" s="108">
        <f>I181+I184</f>
        <v>2080</v>
      </c>
      <c r="J180" s="108">
        <f>J181+J184</f>
        <v>0</v>
      </c>
      <c r="K180" s="108">
        <f>K181+K184</f>
        <v>0</v>
      </c>
    </row>
    <row r="181" spans="1:11" ht="12.75">
      <c r="A181" s="107"/>
      <c r="B181" s="115" t="s">
        <v>93</v>
      </c>
      <c r="C181" s="112" t="s">
        <v>50</v>
      </c>
      <c r="D181" s="112" t="s">
        <v>42</v>
      </c>
      <c r="E181" s="112" t="s">
        <v>97</v>
      </c>
      <c r="F181" s="112"/>
      <c r="G181" s="113">
        <f t="shared" si="4"/>
        <v>254237.50000000003</v>
      </c>
      <c r="H181" s="113">
        <f>H182</f>
        <v>252157.50000000003</v>
      </c>
      <c r="I181" s="113">
        <f>I182</f>
        <v>2080</v>
      </c>
      <c r="J181" s="113"/>
      <c r="K181" s="113"/>
    </row>
    <row r="182" spans="1:11" ht="25.5">
      <c r="A182" s="107"/>
      <c r="B182" s="123" t="s">
        <v>94</v>
      </c>
      <c r="C182" s="112" t="s">
        <v>50</v>
      </c>
      <c r="D182" s="112" t="s">
        <v>42</v>
      </c>
      <c r="E182" s="112" t="s">
        <v>98</v>
      </c>
      <c r="F182" s="112"/>
      <c r="G182" s="113">
        <f t="shared" si="4"/>
        <v>254237.50000000003</v>
      </c>
      <c r="H182" s="113">
        <f>H183</f>
        <v>252157.50000000003</v>
      </c>
      <c r="I182" s="113">
        <f>I183</f>
        <v>2080</v>
      </c>
      <c r="J182" s="113"/>
      <c r="K182" s="116"/>
    </row>
    <row r="183" spans="1:11" ht="16.5" customHeight="1">
      <c r="A183" s="107"/>
      <c r="B183" s="123" t="s">
        <v>95</v>
      </c>
      <c r="C183" s="112" t="s">
        <v>50</v>
      </c>
      <c r="D183" s="112" t="s">
        <v>42</v>
      </c>
      <c r="E183" s="112" t="s">
        <v>98</v>
      </c>
      <c r="F183" s="112" t="s">
        <v>99</v>
      </c>
      <c r="G183" s="113">
        <f t="shared" si="4"/>
        <v>254237.50000000003</v>
      </c>
      <c r="H183" s="113">
        <f>Лист2!I243</f>
        <v>252157.50000000003</v>
      </c>
      <c r="I183" s="113">
        <f>Лист2!J243</f>
        <v>2080</v>
      </c>
      <c r="J183" s="113"/>
      <c r="K183" s="113"/>
    </row>
    <row r="184" spans="1:11" ht="12.75">
      <c r="A184" s="114"/>
      <c r="B184" s="133" t="s">
        <v>175</v>
      </c>
      <c r="C184" s="112" t="s">
        <v>50</v>
      </c>
      <c r="D184" s="112" t="s">
        <v>42</v>
      </c>
      <c r="E184" s="112" t="s">
        <v>176</v>
      </c>
      <c r="F184" s="109"/>
      <c r="G184" s="133">
        <f>G185</f>
        <v>165417.2</v>
      </c>
      <c r="H184" s="133">
        <f>H185</f>
        <v>165417.2</v>
      </c>
      <c r="I184" s="133"/>
      <c r="J184" s="133"/>
      <c r="K184" s="133"/>
    </row>
    <row r="185" spans="1:11" ht="12.75">
      <c r="A185" s="114"/>
      <c r="B185" s="133" t="s">
        <v>181</v>
      </c>
      <c r="C185" s="112" t="s">
        <v>50</v>
      </c>
      <c r="D185" s="112" t="s">
        <v>42</v>
      </c>
      <c r="E185" s="112" t="s">
        <v>176</v>
      </c>
      <c r="F185" s="112" t="s">
        <v>182</v>
      </c>
      <c r="G185" s="133">
        <f>H185+I185+J185+K185</f>
        <v>165417.2</v>
      </c>
      <c r="H185" s="133">
        <f>Лист2!I395</f>
        <v>165417.2</v>
      </c>
      <c r="I185" s="133"/>
      <c r="J185" s="133"/>
      <c r="K185" s="133"/>
    </row>
    <row r="186" spans="1:11" ht="12.75">
      <c r="A186" s="107" t="s">
        <v>263</v>
      </c>
      <c r="B186" s="108" t="s">
        <v>75</v>
      </c>
      <c r="C186" s="109" t="s">
        <v>50</v>
      </c>
      <c r="D186" s="109" t="s">
        <v>44</v>
      </c>
      <c r="E186" s="109"/>
      <c r="F186" s="109"/>
      <c r="G186" s="108">
        <f aca="true" t="shared" si="5" ref="G186:G223">H186+I186+J186+K186</f>
        <v>508551.5</v>
      </c>
      <c r="H186" s="108">
        <f>H187+H190+H193+H196</f>
        <v>204905.5</v>
      </c>
      <c r="I186" s="108">
        <f>I187+I190+I193+I196</f>
        <v>293999</v>
      </c>
      <c r="J186" s="108">
        <f>J187+J190+J193+J196</f>
        <v>7689.7</v>
      </c>
      <c r="K186" s="108">
        <f>K187+K190+K193+K196</f>
        <v>1957.3000000000002</v>
      </c>
    </row>
    <row r="187" spans="1:11" ht="25.5">
      <c r="A187" s="117"/>
      <c r="B187" s="123" t="s">
        <v>96</v>
      </c>
      <c r="C187" s="120" t="s">
        <v>50</v>
      </c>
      <c r="D187" s="120" t="s">
        <v>44</v>
      </c>
      <c r="E187" s="120" t="s">
        <v>100</v>
      </c>
      <c r="F187" s="120"/>
      <c r="G187" s="133">
        <f t="shared" si="5"/>
        <v>337290.2</v>
      </c>
      <c r="H187" s="133">
        <f>H188</f>
        <v>46110.2</v>
      </c>
      <c r="I187" s="113">
        <f>I188</f>
        <v>290480</v>
      </c>
      <c r="J187" s="113"/>
      <c r="K187" s="113">
        <f>K188</f>
        <v>700</v>
      </c>
    </row>
    <row r="188" spans="1:11" ht="25.5">
      <c r="A188" s="117"/>
      <c r="B188" s="123" t="s">
        <v>94</v>
      </c>
      <c r="C188" s="120" t="s">
        <v>50</v>
      </c>
      <c r="D188" s="120" t="s">
        <v>44</v>
      </c>
      <c r="E188" s="120" t="s">
        <v>101</v>
      </c>
      <c r="F188" s="120"/>
      <c r="G188" s="133">
        <f t="shared" si="5"/>
        <v>337290.2</v>
      </c>
      <c r="H188" s="133">
        <f>H189</f>
        <v>46110.2</v>
      </c>
      <c r="I188" s="113">
        <f>I189</f>
        <v>290480</v>
      </c>
      <c r="J188" s="113"/>
      <c r="K188" s="116">
        <f>K189</f>
        <v>700</v>
      </c>
    </row>
    <row r="189" spans="1:11" ht="16.5" customHeight="1">
      <c r="A189" s="121"/>
      <c r="B189" s="123" t="s">
        <v>95</v>
      </c>
      <c r="C189" s="120" t="s">
        <v>50</v>
      </c>
      <c r="D189" s="120" t="s">
        <v>44</v>
      </c>
      <c r="E189" s="120" t="s">
        <v>101</v>
      </c>
      <c r="F189" s="120" t="s">
        <v>99</v>
      </c>
      <c r="G189" s="133">
        <f t="shared" si="5"/>
        <v>337290.2</v>
      </c>
      <c r="H189" s="133">
        <f>Лист2!I247+Лист2!I399</f>
        <v>46110.2</v>
      </c>
      <c r="I189" s="133">
        <f>Лист2!J247</f>
        <v>290480</v>
      </c>
      <c r="J189" s="133"/>
      <c r="K189" s="133">
        <f>Лист2!L247</f>
        <v>700</v>
      </c>
    </row>
    <row r="190" spans="1:11" ht="12.75">
      <c r="A190" s="114"/>
      <c r="B190" s="123" t="s">
        <v>106</v>
      </c>
      <c r="C190" s="112" t="s">
        <v>50</v>
      </c>
      <c r="D190" s="112" t="s">
        <v>44</v>
      </c>
      <c r="E190" s="112" t="s">
        <v>107</v>
      </c>
      <c r="F190" s="112"/>
      <c r="G190" s="113">
        <f t="shared" si="5"/>
        <v>160040.3</v>
      </c>
      <c r="H190" s="113">
        <f>H191</f>
        <v>158768</v>
      </c>
      <c r="I190" s="113">
        <f>I191</f>
        <v>15</v>
      </c>
      <c r="J190" s="113"/>
      <c r="K190" s="113">
        <f>K191</f>
        <v>1257.3000000000002</v>
      </c>
    </row>
    <row r="191" spans="1:11" ht="25.5" customHeight="1">
      <c r="A191" s="114"/>
      <c r="B191" s="123" t="s">
        <v>94</v>
      </c>
      <c r="C191" s="112" t="s">
        <v>50</v>
      </c>
      <c r="D191" s="112" t="s">
        <v>44</v>
      </c>
      <c r="E191" s="112" t="s">
        <v>108</v>
      </c>
      <c r="F191" s="112"/>
      <c r="G191" s="113">
        <f t="shared" si="5"/>
        <v>160040.3</v>
      </c>
      <c r="H191" s="113">
        <f>H192</f>
        <v>158768</v>
      </c>
      <c r="I191" s="113">
        <f>I192</f>
        <v>15</v>
      </c>
      <c r="J191" s="113"/>
      <c r="K191" s="113">
        <f>K192</f>
        <v>1257.3000000000002</v>
      </c>
    </row>
    <row r="192" spans="1:11" ht="16.5" customHeight="1">
      <c r="A192" s="198"/>
      <c r="B192" s="191" t="s">
        <v>95</v>
      </c>
      <c r="C192" s="195" t="s">
        <v>50</v>
      </c>
      <c r="D192" s="195" t="s">
        <v>44</v>
      </c>
      <c r="E192" s="195" t="s">
        <v>108</v>
      </c>
      <c r="F192" s="195" t="s">
        <v>99</v>
      </c>
      <c r="G192" s="196">
        <f t="shared" si="5"/>
        <v>160040.3</v>
      </c>
      <c r="H192" s="196">
        <f>Лист2!I133+Лист2!I250+Лист2!I402</f>
        <v>158768</v>
      </c>
      <c r="I192" s="196">
        <f>Лист2!J250</f>
        <v>15</v>
      </c>
      <c r="J192" s="196"/>
      <c r="K192" s="196">
        <f>Лист2!L133</f>
        <v>1257.3000000000002</v>
      </c>
    </row>
    <row r="193" spans="1:11" ht="15.75" customHeight="1">
      <c r="A193" s="114"/>
      <c r="B193" s="123" t="s">
        <v>104</v>
      </c>
      <c r="C193" s="112" t="s">
        <v>50</v>
      </c>
      <c r="D193" s="112" t="s">
        <v>44</v>
      </c>
      <c r="E193" s="112" t="s">
        <v>105</v>
      </c>
      <c r="F193" s="112"/>
      <c r="G193" s="113">
        <f t="shared" si="5"/>
        <v>3504</v>
      </c>
      <c r="H193" s="113"/>
      <c r="I193" s="113">
        <f>I194</f>
        <v>3504</v>
      </c>
      <c r="J193" s="108"/>
      <c r="K193" s="108"/>
    </row>
    <row r="194" spans="1:11" ht="25.5">
      <c r="A194" s="114"/>
      <c r="B194" s="123" t="s">
        <v>102</v>
      </c>
      <c r="C194" s="112" t="s">
        <v>50</v>
      </c>
      <c r="D194" s="112" t="s">
        <v>44</v>
      </c>
      <c r="E194" s="112" t="s">
        <v>103</v>
      </c>
      <c r="F194" s="112"/>
      <c r="G194" s="113">
        <f t="shared" si="5"/>
        <v>3504</v>
      </c>
      <c r="H194" s="113"/>
      <c r="I194" s="113">
        <f>I195</f>
        <v>3504</v>
      </c>
      <c r="J194" s="116"/>
      <c r="K194" s="116"/>
    </row>
    <row r="195" spans="1:11" ht="14.25" customHeight="1">
      <c r="A195" s="114"/>
      <c r="B195" s="115" t="s">
        <v>95</v>
      </c>
      <c r="C195" s="112" t="s">
        <v>50</v>
      </c>
      <c r="D195" s="112" t="s">
        <v>44</v>
      </c>
      <c r="E195" s="112" t="s">
        <v>103</v>
      </c>
      <c r="F195" s="112" t="s">
        <v>99</v>
      </c>
      <c r="G195" s="113">
        <f t="shared" si="5"/>
        <v>3504</v>
      </c>
      <c r="H195" s="113"/>
      <c r="I195" s="113">
        <f>Лист2!J253</f>
        <v>3504</v>
      </c>
      <c r="J195" s="113"/>
      <c r="K195" s="113"/>
    </row>
    <row r="196" spans="1:11" ht="12.75">
      <c r="A196" s="114"/>
      <c r="B196" s="133" t="s">
        <v>175</v>
      </c>
      <c r="C196" s="112" t="s">
        <v>50</v>
      </c>
      <c r="D196" s="112" t="s">
        <v>44</v>
      </c>
      <c r="E196" s="112" t="s">
        <v>176</v>
      </c>
      <c r="F196" s="109"/>
      <c r="G196" s="113">
        <f t="shared" si="5"/>
        <v>7717</v>
      </c>
      <c r="H196" s="133">
        <f>H197</f>
        <v>27.3</v>
      </c>
      <c r="I196" s="133"/>
      <c r="J196" s="133">
        <f>J197</f>
        <v>7689.7</v>
      </c>
      <c r="K196" s="133"/>
    </row>
    <row r="197" spans="1:11" ht="12.75">
      <c r="A197" s="114"/>
      <c r="B197" s="133" t="s">
        <v>181</v>
      </c>
      <c r="C197" s="112" t="s">
        <v>50</v>
      </c>
      <c r="D197" s="112" t="s">
        <v>44</v>
      </c>
      <c r="E197" s="112" t="s">
        <v>176</v>
      </c>
      <c r="F197" s="112" t="s">
        <v>182</v>
      </c>
      <c r="G197" s="113">
        <f t="shared" si="5"/>
        <v>7717</v>
      </c>
      <c r="H197" s="133">
        <f>Лист2!I404</f>
        <v>27.3</v>
      </c>
      <c r="I197" s="133"/>
      <c r="J197" s="133">
        <f>Лист2!K404</f>
        <v>7689.7</v>
      </c>
      <c r="K197" s="133"/>
    </row>
    <row r="198" spans="1:11" ht="12.75">
      <c r="A198" s="107" t="s">
        <v>264</v>
      </c>
      <c r="B198" s="108" t="s">
        <v>77</v>
      </c>
      <c r="C198" s="109" t="s">
        <v>50</v>
      </c>
      <c r="D198" s="109" t="s">
        <v>50</v>
      </c>
      <c r="E198" s="109"/>
      <c r="F198" s="109"/>
      <c r="G198" s="108">
        <f t="shared" si="5"/>
        <v>27793.5</v>
      </c>
      <c r="H198" s="108">
        <f>H199+H202+H206+H208</f>
        <v>19929.399999999998</v>
      </c>
      <c r="I198" s="108">
        <f>I199+I202+I206+I208</f>
        <v>4344.1</v>
      </c>
      <c r="J198" s="108">
        <f>J199+J202+J206+J208</f>
        <v>3070</v>
      </c>
      <c r="K198" s="108">
        <f>K199+K202+K206+K208</f>
        <v>450</v>
      </c>
    </row>
    <row r="199" spans="1:11" ht="25.5">
      <c r="A199" s="193"/>
      <c r="B199" s="191" t="s">
        <v>129</v>
      </c>
      <c r="C199" s="195" t="s">
        <v>50</v>
      </c>
      <c r="D199" s="195" t="s">
        <v>50</v>
      </c>
      <c r="E199" s="195" t="s">
        <v>130</v>
      </c>
      <c r="F199" s="195"/>
      <c r="G199" s="196">
        <f t="shared" si="5"/>
        <v>10762.199999999999</v>
      </c>
      <c r="H199" s="196">
        <f>H200</f>
        <v>10762.199999999999</v>
      </c>
      <c r="I199" s="196"/>
      <c r="J199" s="196">
        <f>J200</f>
        <v>0</v>
      </c>
      <c r="K199" s="207"/>
    </row>
    <row r="200" spans="1:11" ht="25.5">
      <c r="A200" s="107"/>
      <c r="B200" s="123" t="s">
        <v>94</v>
      </c>
      <c r="C200" s="112" t="s">
        <v>50</v>
      </c>
      <c r="D200" s="112" t="s">
        <v>50</v>
      </c>
      <c r="E200" s="112" t="s">
        <v>328</v>
      </c>
      <c r="F200" s="112"/>
      <c r="G200" s="113">
        <f t="shared" si="5"/>
        <v>10762.199999999999</v>
      </c>
      <c r="H200" s="113">
        <f>H201</f>
        <v>10762.199999999999</v>
      </c>
      <c r="I200" s="113"/>
      <c r="J200" s="113">
        <f>J201</f>
        <v>0</v>
      </c>
      <c r="K200" s="113"/>
    </row>
    <row r="201" spans="1:11" ht="14.25" customHeight="1">
      <c r="A201" s="107"/>
      <c r="B201" s="123" t="s">
        <v>95</v>
      </c>
      <c r="C201" s="112" t="s">
        <v>50</v>
      </c>
      <c r="D201" s="112" t="s">
        <v>50</v>
      </c>
      <c r="E201" s="112" t="s">
        <v>328</v>
      </c>
      <c r="F201" s="112" t="s">
        <v>99</v>
      </c>
      <c r="G201" s="113">
        <f t="shared" si="5"/>
        <v>10762.199999999999</v>
      </c>
      <c r="H201" s="113">
        <f>Лист2!I137</f>
        <v>10762.199999999999</v>
      </c>
      <c r="I201" s="113">
        <f>Лист2!J137</f>
        <v>0</v>
      </c>
      <c r="J201" s="113">
        <f>Лист2!K137</f>
        <v>0</v>
      </c>
      <c r="K201" s="113"/>
    </row>
    <row r="202" spans="1:11" ht="25.5">
      <c r="A202" s="107"/>
      <c r="B202" s="123" t="s">
        <v>204</v>
      </c>
      <c r="C202" s="112" t="s">
        <v>50</v>
      </c>
      <c r="D202" s="112" t="s">
        <v>50</v>
      </c>
      <c r="E202" s="112" t="s">
        <v>205</v>
      </c>
      <c r="F202" s="109"/>
      <c r="G202" s="113">
        <f t="shared" si="5"/>
        <v>12681.3</v>
      </c>
      <c r="H202" s="113">
        <f>H203</f>
        <v>5267.2</v>
      </c>
      <c r="I202" s="113">
        <f>I203</f>
        <v>4344.1</v>
      </c>
      <c r="J202" s="113">
        <f>J203</f>
        <v>3070</v>
      </c>
      <c r="K202" s="113"/>
    </row>
    <row r="203" spans="1:11" ht="12.75">
      <c r="A203" s="107"/>
      <c r="B203" s="133" t="s">
        <v>206</v>
      </c>
      <c r="C203" s="112" t="s">
        <v>50</v>
      </c>
      <c r="D203" s="112" t="s">
        <v>50</v>
      </c>
      <c r="E203" s="112" t="s">
        <v>207</v>
      </c>
      <c r="F203" s="109"/>
      <c r="G203" s="113">
        <f t="shared" si="5"/>
        <v>12681.3</v>
      </c>
      <c r="H203" s="113">
        <f>H204+H205</f>
        <v>5267.2</v>
      </c>
      <c r="I203" s="113">
        <f>I204+I205</f>
        <v>4344.1</v>
      </c>
      <c r="J203" s="113">
        <f>J204</f>
        <v>3070</v>
      </c>
      <c r="K203" s="113"/>
    </row>
    <row r="204" spans="1:11" ht="14.25" customHeight="1">
      <c r="A204" s="107"/>
      <c r="B204" s="123" t="s">
        <v>95</v>
      </c>
      <c r="C204" s="112" t="s">
        <v>50</v>
      </c>
      <c r="D204" s="112" t="s">
        <v>50</v>
      </c>
      <c r="E204" s="112" t="s">
        <v>207</v>
      </c>
      <c r="F204" s="112" t="s">
        <v>99</v>
      </c>
      <c r="G204" s="113">
        <f t="shared" si="5"/>
        <v>3207.2</v>
      </c>
      <c r="H204" s="113">
        <f>Лист2!I259+Лист2!I139</f>
        <v>137.2</v>
      </c>
      <c r="I204" s="113"/>
      <c r="J204" s="116">
        <f>Лист2!K259</f>
        <v>3070</v>
      </c>
      <c r="K204" s="116"/>
    </row>
    <row r="205" spans="1:11" ht="25.5">
      <c r="A205" s="114"/>
      <c r="B205" s="115" t="s">
        <v>433</v>
      </c>
      <c r="C205" s="112" t="s">
        <v>50</v>
      </c>
      <c r="D205" s="112" t="s">
        <v>50</v>
      </c>
      <c r="E205" s="112" t="s">
        <v>207</v>
      </c>
      <c r="F205" s="112" t="s">
        <v>32</v>
      </c>
      <c r="G205" s="113">
        <f t="shared" si="5"/>
        <v>9474.1</v>
      </c>
      <c r="H205" s="113">
        <f>Лист2!I260</f>
        <v>5130</v>
      </c>
      <c r="I205" s="113">
        <f>Лист2!J260</f>
        <v>4344.1</v>
      </c>
      <c r="J205" s="113"/>
      <c r="K205" s="113"/>
    </row>
    <row r="206" spans="1:11" ht="12.75">
      <c r="A206" s="114"/>
      <c r="B206" s="133" t="s">
        <v>175</v>
      </c>
      <c r="C206" s="112" t="s">
        <v>50</v>
      </c>
      <c r="D206" s="112" t="s">
        <v>50</v>
      </c>
      <c r="E206" s="112" t="s">
        <v>176</v>
      </c>
      <c r="F206" s="109"/>
      <c r="G206" s="113">
        <f>H206+I206+J206+K206</f>
        <v>450</v>
      </c>
      <c r="H206" s="133">
        <f>H207</f>
        <v>0</v>
      </c>
      <c r="I206" s="133"/>
      <c r="J206" s="133"/>
      <c r="K206" s="133">
        <f>K207</f>
        <v>450</v>
      </c>
    </row>
    <row r="207" spans="1:11" ht="25.5">
      <c r="A207" s="114"/>
      <c r="B207" s="115" t="s">
        <v>111</v>
      </c>
      <c r="C207" s="112" t="s">
        <v>50</v>
      </c>
      <c r="D207" s="112" t="s">
        <v>50</v>
      </c>
      <c r="E207" s="112" t="s">
        <v>471</v>
      </c>
      <c r="F207" s="112" t="s">
        <v>112</v>
      </c>
      <c r="G207" s="113">
        <f>H207+I207+J207+K207</f>
        <v>450</v>
      </c>
      <c r="H207" s="113"/>
      <c r="I207" s="113"/>
      <c r="J207" s="113"/>
      <c r="K207" s="113">
        <f>Лист2!L142+Лист2!L263+Лист2!L315</f>
        <v>450</v>
      </c>
    </row>
    <row r="208" spans="1:11" ht="12.75">
      <c r="A208" s="107"/>
      <c r="B208" s="123" t="s">
        <v>109</v>
      </c>
      <c r="C208" s="112" t="s">
        <v>50</v>
      </c>
      <c r="D208" s="112" t="s">
        <v>50</v>
      </c>
      <c r="E208" s="112" t="s">
        <v>110</v>
      </c>
      <c r="F208" s="109"/>
      <c r="G208" s="113">
        <f t="shared" si="5"/>
        <v>3900</v>
      </c>
      <c r="H208" s="113">
        <f>H209+H210</f>
        <v>3900</v>
      </c>
      <c r="I208" s="113"/>
      <c r="J208" s="113"/>
      <c r="K208" s="113"/>
    </row>
    <row r="209" spans="1:11" ht="25.5">
      <c r="A209" s="107"/>
      <c r="B209" s="123" t="s">
        <v>111</v>
      </c>
      <c r="C209" s="112" t="s">
        <v>50</v>
      </c>
      <c r="D209" s="112" t="s">
        <v>50</v>
      </c>
      <c r="E209" s="112" t="s">
        <v>110</v>
      </c>
      <c r="F209" s="112" t="s">
        <v>112</v>
      </c>
      <c r="G209" s="113">
        <f t="shared" si="5"/>
        <v>2900</v>
      </c>
      <c r="H209" s="113">
        <f>Лист2!I144+Лист2!I265</f>
        <v>2900</v>
      </c>
      <c r="I209" s="113"/>
      <c r="J209" s="116"/>
      <c r="K209" s="116"/>
    </row>
    <row r="210" spans="1:11" ht="25.5">
      <c r="A210" s="114"/>
      <c r="B210" s="115" t="s">
        <v>117</v>
      </c>
      <c r="C210" s="112" t="s">
        <v>50</v>
      </c>
      <c r="D210" s="112" t="s">
        <v>50</v>
      </c>
      <c r="E210" s="112" t="s">
        <v>110</v>
      </c>
      <c r="F210" s="112" t="s">
        <v>32</v>
      </c>
      <c r="G210" s="113">
        <f t="shared" si="5"/>
        <v>1000</v>
      </c>
      <c r="H210" s="113">
        <f>Лист2!I145</f>
        <v>1000</v>
      </c>
      <c r="I210" s="113"/>
      <c r="J210" s="113"/>
      <c r="K210" s="113"/>
    </row>
    <row r="211" spans="1:11" ht="12.75">
      <c r="A211" s="107" t="s">
        <v>265</v>
      </c>
      <c r="B211" s="108" t="s">
        <v>78</v>
      </c>
      <c r="C211" s="109" t="s">
        <v>50</v>
      </c>
      <c r="D211" s="109" t="s">
        <v>54</v>
      </c>
      <c r="E211" s="109"/>
      <c r="F211" s="109"/>
      <c r="G211" s="108">
        <f t="shared" si="5"/>
        <v>33535.6</v>
      </c>
      <c r="H211" s="108">
        <f>H212+H215+H217+H223</f>
        <v>30424</v>
      </c>
      <c r="I211" s="108">
        <f>I212+I215+I217+I223</f>
        <v>1088</v>
      </c>
      <c r="J211" s="108">
        <f>J212+J215+J217+J223</f>
        <v>0</v>
      </c>
      <c r="K211" s="108">
        <f>K212+K215+K217+K223</f>
        <v>2023.6000000000001</v>
      </c>
    </row>
    <row r="212" spans="1:11" ht="51">
      <c r="A212" s="107"/>
      <c r="B212" s="115" t="s">
        <v>113</v>
      </c>
      <c r="C212" s="112" t="s">
        <v>50</v>
      </c>
      <c r="D212" s="112" t="s">
        <v>54</v>
      </c>
      <c r="E212" s="112" t="s">
        <v>114</v>
      </c>
      <c r="F212" s="109"/>
      <c r="G212" s="113">
        <f t="shared" si="5"/>
        <v>22309</v>
      </c>
      <c r="H212" s="113">
        <f>H213</f>
        <v>21221</v>
      </c>
      <c r="I212" s="113">
        <f>I213</f>
        <v>1088</v>
      </c>
      <c r="J212" s="113"/>
      <c r="K212" s="113"/>
    </row>
    <row r="213" spans="1:11" ht="12.75">
      <c r="A213" s="107"/>
      <c r="B213" s="113" t="s">
        <v>115</v>
      </c>
      <c r="C213" s="112" t="s">
        <v>50</v>
      </c>
      <c r="D213" s="112" t="s">
        <v>54</v>
      </c>
      <c r="E213" s="112" t="s">
        <v>116</v>
      </c>
      <c r="F213" s="109"/>
      <c r="G213" s="113">
        <f t="shared" si="5"/>
        <v>22309</v>
      </c>
      <c r="H213" s="113">
        <f>H214</f>
        <v>21221</v>
      </c>
      <c r="I213" s="113">
        <f>I214</f>
        <v>1088</v>
      </c>
      <c r="J213" s="113"/>
      <c r="K213" s="113"/>
    </row>
    <row r="214" spans="1:11" ht="25.5">
      <c r="A214" s="107"/>
      <c r="B214" s="115" t="s">
        <v>117</v>
      </c>
      <c r="C214" s="112" t="s">
        <v>50</v>
      </c>
      <c r="D214" s="112" t="s">
        <v>54</v>
      </c>
      <c r="E214" s="112" t="s">
        <v>116</v>
      </c>
      <c r="F214" s="112" t="s">
        <v>32</v>
      </c>
      <c r="G214" s="113">
        <f t="shared" si="5"/>
        <v>22309</v>
      </c>
      <c r="H214" s="113">
        <f>Лист2!I269</f>
        <v>21221</v>
      </c>
      <c r="I214" s="113">
        <f>Лист2!J269</f>
        <v>1088</v>
      </c>
      <c r="J214" s="154"/>
      <c r="K214" s="154"/>
    </row>
    <row r="215" spans="1:11" ht="66" customHeight="1">
      <c r="A215" s="121"/>
      <c r="B215" s="139" t="s">
        <v>160</v>
      </c>
      <c r="C215" s="155" t="s">
        <v>50</v>
      </c>
      <c r="D215" s="155" t="s">
        <v>54</v>
      </c>
      <c r="E215" s="155" t="s">
        <v>162</v>
      </c>
      <c r="F215" s="155"/>
      <c r="G215" s="113">
        <f t="shared" si="5"/>
        <v>6000</v>
      </c>
      <c r="H215" s="113">
        <f>H216</f>
        <v>6000</v>
      </c>
      <c r="I215" s="113"/>
      <c r="J215" s="154"/>
      <c r="K215" s="154"/>
    </row>
    <row r="216" spans="1:11" ht="12.75">
      <c r="A216" s="121"/>
      <c r="B216" s="123" t="s">
        <v>329</v>
      </c>
      <c r="C216" s="155" t="s">
        <v>50</v>
      </c>
      <c r="D216" s="155" t="s">
        <v>54</v>
      </c>
      <c r="E216" s="155" t="s">
        <v>162</v>
      </c>
      <c r="F216" s="155" t="s">
        <v>330</v>
      </c>
      <c r="G216" s="113">
        <f t="shared" si="5"/>
        <v>6000</v>
      </c>
      <c r="H216" s="113">
        <f>Лист2!I148</f>
        <v>6000</v>
      </c>
      <c r="I216" s="113"/>
      <c r="J216" s="154"/>
      <c r="K216" s="154"/>
    </row>
    <row r="217" spans="1:11" ht="12.75">
      <c r="A217" s="121"/>
      <c r="B217" s="133" t="s">
        <v>175</v>
      </c>
      <c r="C217" s="155" t="s">
        <v>50</v>
      </c>
      <c r="D217" s="155" t="s">
        <v>54</v>
      </c>
      <c r="E217" s="155" t="s">
        <v>176</v>
      </c>
      <c r="F217" s="155"/>
      <c r="G217" s="113">
        <f>K217</f>
        <v>2023.6000000000001</v>
      </c>
      <c r="H217" s="140"/>
      <c r="I217" s="140"/>
      <c r="J217" s="140"/>
      <c r="K217" s="140">
        <f>K218+K220</f>
        <v>2023.6000000000001</v>
      </c>
    </row>
    <row r="218" spans="1:11" ht="38.25">
      <c r="A218" s="121"/>
      <c r="B218" s="127" t="s">
        <v>455</v>
      </c>
      <c r="C218" s="155" t="s">
        <v>50</v>
      </c>
      <c r="D218" s="155" t="s">
        <v>54</v>
      </c>
      <c r="E218" s="155" t="s">
        <v>457</v>
      </c>
      <c r="F218" s="155"/>
      <c r="G218" s="113">
        <f>K218</f>
        <v>216.5</v>
      </c>
      <c r="H218" s="140"/>
      <c r="I218" s="140"/>
      <c r="J218" s="140"/>
      <c r="K218" s="140">
        <f>K219</f>
        <v>216.5</v>
      </c>
    </row>
    <row r="219" spans="1:11" ht="51">
      <c r="A219" s="121"/>
      <c r="B219" s="123" t="s">
        <v>456</v>
      </c>
      <c r="C219" s="155" t="s">
        <v>50</v>
      </c>
      <c r="D219" s="155" t="s">
        <v>54</v>
      </c>
      <c r="E219" s="155" t="s">
        <v>458</v>
      </c>
      <c r="F219" s="155"/>
      <c r="G219" s="113">
        <f>K219</f>
        <v>216.5</v>
      </c>
      <c r="H219" s="140"/>
      <c r="I219" s="140"/>
      <c r="J219" s="140"/>
      <c r="K219" s="140">
        <f>Лист2!L272</f>
        <v>216.5</v>
      </c>
    </row>
    <row r="220" spans="1:11" ht="51">
      <c r="A220" s="114"/>
      <c r="B220" s="123" t="s">
        <v>454</v>
      </c>
      <c r="C220" s="112" t="s">
        <v>50</v>
      </c>
      <c r="D220" s="112" t="s">
        <v>54</v>
      </c>
      <c r="E220" s="112" t="s">
        <v>450</v>
      </c>
      <c r="F220" s="112"/>
      <c r="G220" s="113">
        <f>K220</f>
        <v>1807.1000000000001</v>
      </c>
      <c r="H220" s="113">
        <f>H221+H222</f>
        <v>0</v>
      </c>
      <c r="I220" s="113">
        <f>I221+I222</f>
        <v>0</v>
      </c>
      <c r="J220" s="113">
        <f>J221+J222</f>
        <v>0</v>
      </c>
      <c r="K220" s="113">
        <f>K221+K222</f>
        <v>1807.1000000000001</v>
      </c>
    </row>
    <row r="221" spans="1:11" ht="12.75">
      <c r="A221" s="114"/>
      <c r="B221" s="123" t="s">
        <v>474</v>
      </c>
      <c r="C221" s="112" t="s">
        <v>50</v>
      </c>
      <c r="D221" s="112" t="s">
        <v>54</v>
      </c>
      <c r="E221" s="112" t="s">
        <v>475</v>
      </c>
      <c r="F221" s="112"/>
      <c r="G221" s="133">
        <f>H221+I221+J221+K221</f>
        <v>1727.9</v>
      </c>
      <c r="H221" s="133">
        <f>H222</f>
        <v>0</v>
      </c>
      <c r="I221" s="133"/>
      <c r="J221" s="133"/>
      <c r="K221" s="133">
        <f>Лист2!L152</f>
        <v>1727.9</v>
      </c>
    </row>
    <row r="222" spans="1:11" ht="25.5">
      <c r="A222" s="114"/>
      <c r="B222" s="123" t="s">
        <v>451</v>
      </c>
      <c r="C222" s="112" t="s">
        <v>50</v>
      </c>
      <c r="D222" s="112" t="s">
        <v>54</v>
      </c>
      <c r="E222" s="112" t="s">
        <v>452</v>
      </c>
      <c r="F222" s="112" t="s">
        <v>119</v>
      </c>
      <c r="G222" s="113">
        <f>K222</f>
        <v>79.2</v>
      </c>
      <c r="H222" s="140"/>
      <c r="I222" s="140"/>
      <c r="J222" s="133"/>
      <c r="K222" s="133">
        <f>Лист2!L275</f>
        <v>79.2</v>
      </c>
    </row>
    <row r="223" spans="1:11" ht="12.75">
      <c r="A223" s="107"/>
      <c r="B223" s="123" t="s">
        <v>109</v>
      </c>
      <c r="C223" s="112" t="s">
        <v>50</v>
      </c>
      <c r="D223" s="112" t="s">
        <v>54</v>
      </c>
      <c r="E223" s="112" t="s">
        <v>110</v>
      </c>
      <c r="F223" s="109"/>
      <c r="G223" s="113">
        <f t="shared" si="5"/>
        <v>3203</v>
      </c>
      <c r="H223" s="113">
        <f>H224</f>
        <v>3203</v>
      </c>
      <c r="I223" s="113"/>
      <c r="J223" s="113"/>
      <c r="K223" s="113"/>
    </row>
    <row r="224" spans="1:11" ht="12.75">
      <c r="A224" s="107"/>
      <c r="B224" s="133" t="s">
        <v>118</v>
      </c>
      <c r="C224" s="112" t="s">
        <v>50</v>
      </c>
      <c r="D224" s="112" t="s">
        <v>54</v>
      </c>
      <c r="E224" s="112" t="s">
        <v>110</v>
      </c>
      <c r="F224" s="112" t="s">
        <v>119</v>
      </c>
      <c r="G224" s="113">
        <f aca="true" t="shared" si="6" ref="G224:G257">H224+I224+J224+K224</f>
        <v>3203</v>
      </c>
      <c r="H224" s="113">
        <f>Лист2!I277</f>
        <v>3203</v>
      </c>
      <c r="I224" s="113"/>
      <c r="J224" s="113"/>
      <c r="K224" s="113"/>
    </row>
    <row r="225" spans="1:11" ht="25.5">
      <c r="A225" s="107" t="s">
        <v>12</v>
      </c>
      <c r="B225" s="110" t="s">
        <v>79</v>
      </c>
      <c r="C225" s="109" t="s">
        <v>61</v>
      </c>
      <c r="D225" s="109" t="s">
        <v>43</v>
      </c>
      <c r="E225" s="109"/>
      <c r="F225" s="109"/>
      <c r="G225" s="108">
        <f t="shared" si="6"/>
        <v>76938.8</v>
      </c>
      <c r="H225" s="108">
        <f>H226+H241+H245+H249</f>
        <v>73303.8</v>
      </c>
      <c r="I225" s="108">
        <f>I226+I245+I249</f>
        <v>0</v>
      </c>
      <c r="J225" s="108">
        <f>J226+J245+J249</f>
        <v>0</v>
      </c>
      <c r="K225" s="108">
        <f>K226+K245+K249</f>
        <v>3635</v>
      </c>
    </row>
    <row r="226" spans="1:11" ht="12.75">
      <c r="A226" s="107" t="s">
        <v>72</v>
      </c>
      <c r="B226" s="108" t="s">
        <v>81</v>
      </c>
      <c r="C226" s="109" t="s">
        <v>61</v>
      </c>
      <c r="D226" s="109" t="s">
        <v>42</v>
      </c>
      <c r="E226" s="109"/>
      <c r="F226" s="109"/>
      <c r="G226" s="108">
        <f t="shared" si="6"/>
        <v>67879.5</v>
      </c>
      <c r="H226" s="108">
        <f>H227+H231+H234+H238</f>
        <v>64244.5</v>
      </c>
      <c r="I226" s="108">
        <f>I227+I231+I234+I238</f>
        <v>0</v>
      </c>
      <c r="J226" s="108">
        <f>J227+J231+J234+J238</f>
        <v>0</v>
      </c>
      <c r="K226" s="108">
        <f>K227+K231+K234+K238</f>
        <v>3635</v>
      </c>
    </row>
    <row r="227" spans="1:11" ht="25.5">
      <c r="A227" s="107"/>
      <c r="B227" s="123" t="s">
        <v>131</v>
      </c>
      <c r="C227" s="112" t="s">
        <v>61</v>
      </c>
      <c r="D227" s="112" t="s">
        <v>42</v>
      </c>
      <c r="E227" s="112" t="s">
        <v>132</v>
      </c>
      <c r="F227" s="112"/>
      <c r="G227" s="113">
        <f t="shared" si="6"/>
        <v>47466.5</v>
      </c>
      <c r="H227" s="113">
        <f>H228</f>
        <v>43886.5</v>
      </c>
      <c r="I227" s="113">
        <f>I228</f>
        <v>0</v>
      </c>
      <c r="J227" s="113">
        <f>J228</f>
        <v>0</v>
      </c>
      <c r="K227" s="113">
        <f>K228</f>
        <v>3580</v>
      </c>
    </row>
    <row r="228" spans="1:11" ht="25.5">
      <c r="A228" s="107"/>
      <c r="B228" s="123" t="s">
        <v>94</v>
      </c>
      <c r="C228" s="112" t="s">
        <v>61</v>
      </c>
      <c r="D228" s="112" t="s">
        <v>42</v>
      </c>
      <c r="E228" s="112" t="s">
        <v>133</v>
      </c>
      <c r="F228" s="112"/>
      <c r="G228" s="113">
        <f t="shared" si="6"/>
        <v>47466.5</v>
      </c>
      <c r="H228" s="113">
        <f>H229+H230</f>
        <v>43886.5</v>
      </c>
      <c r="I228" s="113">
        <f>I229+I230</f>
        <v>0</v>
      </c>
      <c r="J228" s="113">
        <f>J229+J230</f>
        <v>0</v>
      </c>
      <c r="K228" s="113">
        <f>K229+K230</f>
        <v>3580</v>
      </c>
    </row>
    <row r="229" spans="1:11" ht="16.5" customHeight="1">
      <c r="A229" s="107"/>
      <c r="B229" s="115" t="s">
        <v>95</v>
      </c>
      <c r="C229" s="112" t="s">
        <v>61</v>
      </c>
      <c r="D229" s="112" t="s">
        <v>42</v>
      </c>
      <c r="E229" s="112" t="s">
        <v>133</v>
      </c>
      <c r="F229" s="112" t="s">
        <v>99</v>
      </c>
      <c r="G229" s="113">
        <f t="shared" si="6"/>
        <v>0</v>
      </c>
      <c r="H229" s="113">
        <f>Лист2!I157</f>
        <v>0</v>
      </c>
      <c r="I229" s="113"/>
      <c r="J229" s="113"/>
      <c r="K229" s="116"/>
    </row>
    <row r="230" spans="1:11" ht="16.5" customHeight="1">
      <c r="A230" s="190"/>
      <c r="B230" s="191" t="s">
        <v>329</v>
      </c>
      <c r="C230" s="188" t="s">
        <v>61</v>
      </c>
      <c r="D230" s="188" t="s">
        <v>42</v>
      </c>
      <c r="E230" s="188" t="s">
        <v>133</v>
      </c>
      <c r="F230" s="188" t="s">
        <v>330</v>
      </c>
      <c r="G230" s="196">
        <f t="shared" si="6"/>
        <v>47466.5</v>
      </c>
      <c r="H230" s="196">
        <f>Лист2!I158</f>
        <v>43886.5</v>
      </c>
      <c r="I230" s="196"/>
      <c r="J230" s="196"/>
      <c r="K230" s="196">
        <f>Лист2!L156</f>
        <v>3580</v>
      </c>
    </row>
    <row r="231" spans="1:11" ht="12.75">
      <c r="A231" s="107"/>
      <c r="B231" s="133" t="s">
        <v>134</v>
      </c>
      <c r="C231" s="112" t="s">
        <v>61</v>
      </c>
      <c r="D231" s="112" t="s">
        <v>42</v>
      </c>
      <c r="E231" s="112" t="s">
        <v>135</v>
      </c>
      <c r="F231" s="112"/>
      <c r="G231" s="113">
        <f t="shared" si="6"/>
        <v>4789.8</v>
      </c>
      <c r="H231" s="113">
        <f>H232</f>
        <v>4789.8</v>
      </c>
      <c r="I231" s="113"/>
      <c r="J231" s="113"/>
      <c r="K231" s="113"/>
    </row>
    <row r="232" spans="1:11" ht="25.5">
      <c r="A232" s="107"/>
      <c r="B232" s="123" t="s">
        <v>94</v>
      </c>
      <c r="C232" s="112" t="s">
        <v>61</v>
      </c>
      <c r="D232" s="112" t="s">
        <v>42</v>
      </c>
      <c r="E232" s="112" t="s">
        <v>136</v>
      </c>
      <c r="F232" s="112"/>
      <c r="G232" s="113">
        <f t="shared" si="6"/>
        <v>4789.8</v>
      </c>
      <c r="H232" s="113">
        <f>H233</f>
        <v>4789.8</v>
      </c>
      <c r="I232" s="113"/>
      <c r="J232" s="113"/>
      <c r="K232" s="113"/>
    </row>
    <row r="233" spans="1:11" ht="15.75" customHeight="1">
      <c r="A233" s="107"/>
      <c r="B233" s="115" t="s">
        <v>95</v>
      </c>
      <c r="C233" s="112" t="s">
        <v>61</v>
      </c>
      <c r="D233" s="112" t="s">
        <v>42</v>
      </c>
      <c r="E233" s="112" t="s">
        <v>136</v>
      </c>
      <c r="F233" s="112" t="s">
        <v>99</v>
      </c>
      <c r="G233" s="113">
        <f t="shared" si="6"/>
        <v>4789.8</v>
      </c>
      <c r="H233" s="113">
        <f>Лист2!I161</f>
        <v>4789.8</v>
      </c>
      <c r="I233" s="113"/>
      <c r="J233" s="113"/>
      <c r="K233" s="116"/>
    </row>
    <row r="234" spans="1:11" ht="12.75">
      <c r="A234" s="107"/>
      <c r="B234" s="133" t="s">
        <v>137</v>
      </c>
      <c r="C234" s="112" t="s">
        <v>61</v>
      </c>
      <c r="D234" s="112" t="s">
        <v>42</v>
      </c>
      <c r="E234" s="112" t="s">
        <v>138</v>
      </c>
      <c r="F234" s="112"/>
      <c r="G234" s="113">
        <f t="shared" si="6"/>
        <v>15568.2</v>
      </c>
      <c r="H234" s="113">
        <f>H235+H237</f>
        <v>15568.2</v>
      </c>
      <c r="I234" s="113"/>
      <c r="J234" s="113"/>
      <c r="K234" s="113"/>
    </row>
    <row r="235" spans="1:11" ht="25.5">
      <c r="A235" s="107"/>
      <c r="B235" s="123" t="s">
        <v>94</v>
      </c>
      <c r="C235" s="112" t="s">
        <v>61</v>
      </c>
      <c r="D235" s="112" t="s">
        <v>42</v>
      </c>
      <c r="E235" s="112" t="s">
        <v>139</v>
      </c>
      <c r="F235" s="112"/>
      <c r="G235" s="113">
        <f t="shared" si="6"/>
        <v>0</v>
      </c>
      <c r="H235" s="113">
        <f>H236</f>
        <v>0</v>
      </c>
      <c r="I235" s="113"/>
      <c r="J235" s="113"/>
      <c r="K235" s="113"/>
    </row>
    <row r="236" spans="1:11" ht="14.25" customHeight="1">
      <c r="A236" s="107"/>
      <c r="B236" s="115" t="s">
        <v>95</v>
      </c>
      <c r="C236" s="112" t="s">
        <v>61</v>
      </c>
      <c r="D236" s="112" t="s">
        <v>42</v>
      </c>
      <c r="E236" s="112" t="s">
        <v>139</v>
      </c>
      <c r="F236" s="112" t="s">
        <v>99</v>
      </c>
      <c r="G236" s="113">
        <f t="shared" si="6"/>
        <v>0</v>
      </c>
      <c r="H236" s="113">
        <f>Лист2!I164</f>
        <v>0</v>
      </c>
      <c r="I236" s="113"/>
      <c r="J236" s="113"/>
      <c r="K236" s="113"/>
    </row>
    <row r="237" spans="1:11" ht="14.25" customHeight="1">
      <c r="A237" s="121"/>
      <c r="B237" s="123" t="s">
        <v>329</v>
      </c>
      <c r="C237" s="120" t="s">
        <v>61</v>
      </c>
      <c r="D237" s="120" t="s">
        <v>42</v>
      </c>
      <c r="E237" s="120" t="s">
        <v>139</v>
      </c>
      <c r="F237" s="120" t="s">
        <v>330</v>
      </c>
      <c r="G237" s="113">
        <f t="shared" si="6"/>
        <v>15568.2</v>
      </c>
      <c r="H237" s="113">
        <f>Лист2!I165</f>
        <v>15568.2</v>
      </c>
      <c r="I237" s="113"/>
      <c r="J237" s="113"/>
      <c r="K237" s="116"/>
    </row>
    <row r="238" spans="1:11" ht="25.5">
      <c r="A238" s="107"/>
      <c r="B238" s="123" t="s">
        <v>140</v>
      </c>
      <c r="C238" s="112" t="s">
        <v>61</v>
      </c>
      <c r="D238" s="112" t="s">
        <v>42</v>
      </c>
      <c r="E238" s="112" t="s">
        <v>141</v>
      </c>
      <c r="F238" s="112"/>
      <c r="G238" s="113">
        <f t="shared" si="6"/>
        <v>55</v>
      </c>
      <c r="H238" s="113"/>
      <c r="I238" s="113"/>
      <c r="J238" s="113">
        <f>J239</f>
        <v>0</v>
      </c>
      <c r="K238" s="113">
        <f>K239</f>
        <v>55</v>
      </c>
    </row>
    <row r="239" spans="1:11" ht="25.5">
      <c r="A239" s="107"/>
      <c r="B239" s="123" t="s">
        <v>142</v>
      </c>
      <c r="C239" s="112" t="s">
        <v>61</v>
      </c>
      <c r="D239" s="112" t="s">
        <v>42</v>
      </c>
      <c r="E239" s="112" t="s">
        <v>143</v>
      </c>
      <c r="F239" s="112"/>
      <c r="G239" s="113">
        <f t="shared" si="6"/>
        <v>55</v>
      </c>
      <c r="H239" s="113"/>
      <c r="I239" s="113"/>
      <c r="J239" s="113">
        <f>J240</f>
        <v>0</v>
      </c>
      <c r="K239" s="113">
        <f>K240</f>
        <v>55</v>
      </c>
    </row>
    <row r="240" spans="1:11" ht="14.25" customHeight="1">
      <c r="A240" s="107"/>
      <c r="B240" s="115" t="s">
        <v>95</v>
      </c>
      <c r="C240" s="112" t="s">
        <v>61</v>
      </c>
      <c r="D240" s="112" t="s">
        <v>42</v>
      </c>
      <c r="E240" s="112" t="s">
        <v>143</v>
      </c>
      <c r="F240" s="112" t="s">
        <v>99</v>
      </c>
      <c r="G240" s="113">
        <f t="shared" si="6"/>
        <v>55</v>
      </c>
      <c r="H240" s="113"/>
      <c r="I240" s="113"/>
      <c r="J240" s="116">
        <f>Лист2!K168</f>
        <v>0</v>
      </c>
      <c r="K240" s="116">
        <f>Лист2!L168</f>
        <v>55</v>
      </c>
    </row>
    <row r="241" spans="1:11" ht="14.25" customHeight="1">
      <c r="A241" s="117" t="s">
        <v>74</v>
      </c>
      <c r="B241" s="146" t="s">
        <v>464</v>
      </c>
      <c r="C241" s="119" t="s">
        <v>61</v>
      </c>
      <c r="D241" s="119" t="s">
        <v>45</v>
      </c>
      <c r="E241" s="119"/>
      <c r="F241" s="119"/>
      <c r="G241" s="146">
        <f t="shared" si="6"/>
        <v>0.8</v>
      </c>
      <c r="H241" s="133">
        <f>H242</f>
        <v>0.8</v>
      </c>
      <c r="I241" s="133"/>
      <c r="J241" s="133"/>
      <c r="K241" s="133"/>
    </row>
    <row r="242" spans="1:11" ht="14.25" customHeight="1">
      <c r="A242" s="121"/>
      <c r="B242" s="123" t="s">
        <v>465</v>
      </c>
      <c r="C242" s="120" t="s">
        <v>61</v>
      </c>
      <c r="D242" s="120" t="s">
        <v>45</v>
      </c>
      <c r="E242" s="120" t="s">
        <v>466</v>
      </c>
      <c r="F242" s="119"/>
      <c r="G242" s="133">
        <f t="shared" si="6"/>
        <v>0.8</v>
      </c>
      <c r="H242" s="133">
        <f>H243</f>
        <v>0.8</v>
      </c>
      <c r="I242" s="133"/>
      <c r="J242" s="133"/>
      <c r="K242" s="133"/>
    </row>
    <row r="243" spans="1:11" ht="14.25" customHeight="1">
      <c r="A243" s="121"/>
      <c r="B243" s="123" t="s">
        <v>94</v>
      </c>
      <c r="C243" s="120" t="s">
        <v>61</v>
      </c>
      <c r="D243" s="120" t="s">
        <v>45</v>
      </c>
      <c r="E243" s="120" t="s">
        <v>467</v>
      </c>
      <c r="F243" s="119"/>
      <c r="G243" s="133">
        <f t="shared" si="6"/>
        <v>0.8</v>
      </c>
      <c r="H243" s="133">
        <f>H244</f>
        <v>0.8</v>
      </c>
      <c r="I243" s="133"/>
      <c r="J243" s="133"/>
      <c r="K243" s="133"/>
    </row>
    <row r="244" spans="1:11" ht="14.25" customHeight="1">
      <c r="A244" s="121"/>
      <c r="B244" s="123" t="s">
        <v>95</v>
      </c>
      <c r="C244" s="120" t="s">
        <v>61</v>
      </c>
      <c r="D244" s="120" t="s">
        <v>45</v>
      </c>
      <c r="E244" s="120" t="s">
        <v>467</v>
      </c>
      <c r="F244" s="120" t="s">
        <v>99</v>
      </c>
      <c r="G244" s="133">
        <f t="shared" si="6"/>
        <v>0.8</v>
      </c>
      <c r="H244" s="133">
        <f>Лист2!I172</f>
        <v>0.8</v>
      </c>
      <c r="I244" s="133"/>
      <c r="J244" s="133"/>
      <c r="K244" s="133"/>
    </row>
    <row r="245" spans="1:11" ht="12.75">
      <c r="A245" s="107" t="s">
        <v>76</v>
      </c>
      <c r="B245" s="108" t="s">
        <v>84</v>
      </c>
      <c r="C245" s="109" t="s">
        <v>61</v>
      </c>
      <c r="D245" s="109" t="s">
        <v>46</v>
      </c>
      <c r="E245" s="109"/>
      <c r="F245" s="109"/>
      <c r="G245" s="108">
        <f t="shared" si="6"/>
        <v>8958.500000000002</v>
      </c>
      <c r="H245" s="108">
        <f>H246</f>
        <v>8958.500000000002</v>
      </c>
      <c r="I245" s="108">
        <f>I246</f>
        <v>0</v>
      </c>
      <c r="J245" s="108">
        <f>J246</f>
        <v>0</v>
      </c>
      <c r="K245" s="108">
        <f>K246</f>
        <v>0</v>
      </c>
    </row>
    <row r="246" spans="1:11" ht="25.5">
      <c r="A246" s="107"/>
      <c r="B246" s="123" t="s">
        <v>145</v>
      </c>
      <c r="C246" s="112" t="s">
        <v>61</v>
      </c>
      <c r="D246" s="112" t="s">
        <v>46</v>
      </c>
      <c r="E246" s="112" t="s">
        <v>146</v>
      </c>
      <c r="F246" s="109"/>
      <c r="G246" s="113">
        <f t="shared" si="6"/>
        <v>8958.500000000002</v>
      </c>
      <c r="H246" s="113">
        <f>H247</f>
        <v>8958.500000000002</v>
      </c>
      <c r="I246" s="113"/>
      <c r="J246" s="113">
        <f>J247</f>
        <v>0</v>
      </c>
      <c r="K246" s="113"/>
    </row>
    <row r="247" spans="1:11" ht="25.5">
      <c r="A247" s="107"/>
      <c r="B247" s="123" t="s">
        <v>94</v>
      </c>
      <c r="C247" s="112" t="s">
        <v>61</v>
      </c>
      <c r="D247" s="112" t="s">
        <v>46</v>
      </c>
      <c r="E247" s="112" t="s">
        <v>147</v>
      </c>
      <c r="F247" s="109"/>
      <c r="G247" s="113">
        <f t="shared" si="6"/>
        <v>8958.500000000002</v>
      </c>
      <c r="H247" s="113">
        <f>H248</f>
        <v>8958.500000000002</v>
      </c>
      <c r="I247" s="113"/>
      <c r="J247" s="113">
        <f>J248</f>
        <v>0</v>
      </c>
      <c r="K247" s="113"/>
    </row>
    <row r="248" spans="1:11" ht="17.25" customHeight="1">
      <c r="A248" s="114"/>
      <c r="B248" s="115" t="s">
        <v>95</v>
      </c>
      <c r="C248" s="112" t="s">
        <v>61</v>
      </c>
      <c r="D248" s="112" t="s">
        <v>46</v>
      </c>
      <c r="E248" s="112" t="s">
        <v>147</v>
      </c>
      <c r="F248" s="112" t="s">
        <v>99</v>
      </c>
      <c r="G248" s="113">
        <f t="shared" si="6"/>
        <v>8958.500000000002</v>
      </c>
      <c r="H248" s="113">
        <f>Лист2!I176</f>
        <v>8958.500000000002</v>
      </c>
      <c r="I248" s="113">
        <v>0</v>
      </c>
      <c r="J248" s="113">
        <v>0</v>
      </c>
      <c r="K248" s="113"/>
    </row>
    <row r="249" spans="1:11" ht="25.5">
      <c r="A249" s="107" t="s">
        <v>459</v>
      </c>
      <c r="B249" s="110" t="s">
        <v>303</v>
      </c>
      <c r="C249" s="109" t="s">
        <v>61</v>
      </c>
      <c r="D249" s="109" t="s">
        <v>48</v>
      </c>
      <c r="E249" s="112"/>
      <c r="F249" s="112"/>
      <c r="G249" s="108">
        <f t="shared" si="6"/>
        <v>100</v>
      </c>
      <c r="H249" s="108">
        <f>H250</f>
        <v>100</v>
      </c>
      <c r="I249" s="108">
        <f>I250</f>
        <v>0</v>
      </c>
      <c r="J249" s="108">
        <f>J250</f>
        <v>0</v>
      </c>
      <c r="K249" s="108">
        <f>K250</f>
        <v>0</v>
      </c>
    </row>
    <row r="250" spans="1:11" ht="12.75">
      <c r="A250" s="114"/>
      <c r="B250" s="115" t="s">
        <v>109</v>
      </c>
      <c r="C250" s="112" t="s">
        <v>61</v>
      </c>
      <c r="D250" s="112" t="s">
        <v>48</v>
      </c>
      <c r="E250" s="112" t="s">
        <v>110</v>
      </c>
      <c r="F250" s="112"/>
      <c r="G250" s="113">
        <f t="shared" si="6"/>
        <v>100</v>
      </c>
      <c r="H250" s="113">
        <f>H251</f>
        <v>100</v>
      </c>
      <c r="I250" s="113"/>
      <c r="J250" s="113"/>
      <c r="K250" s="113"/>
    </row>
    <row r="251" spans="1:11" ht="38.25">
      <c r="A251" s="114"/>
      <c r="B251" s="115" t="s">
        <v>304</v>
      </c>
      <c r="C251" s="112" t="s">
        <v>61</v>
      </c>
      <c r="D251" s="112" t="s">
        <v>48</v>
      </c>
      <c r="E251" s="112" t="s">
        <v>110</v>
      </c>
      <c r="F251" s="112" t="s">
        <v>305</v>
      </c>
      <c r="G251" s="113">
        <f t="shared" si="6"/>
        <v>100</v>
      </c>
      <c r="H251" s="113">
        <f>Лист2!I179</f>
        <v>100</v>
      </c>
      <c r="I251" s="113"/>
      <c r="J251" s="113"/>
      <c r="K251" s="113"/>
    </row>
    <row r="252" spans="1:11" ht="12.75">
      <c r="A252" s="107" t="s">
        <v>13</v>
      </c>
      <c r="B252" s="124" t="s">
        <v>30</v>
      </c>
      <c r="C252" s="109" t="s">
        <v>54</v>
      </c>
      <c r="D252" s="109" t="s">
        <v>43</v>
      </c>
      <c r="E252" s="109"/>
      <c r="F252" s="109"/>
      <c r="G252" s="108">
        <f t="shared" si="6"/>
        <v>695396.0999999999</v>
      </c>
      <c r="H252" s="108">
        <f>H253+H257+H261+H265+H269+H274</f>
        <v>563788.7999999999</v>
      </c>
      <c r="I252" s="108">
        <f>I253+I257+I261+I265+I269+I274</f>
        <v>27317.6</v>
      </c>
      <c r="J252" s="108">
        <f>J253+J257+J261+J265+J269+J274</f>
        <v>104289.7</v>
      </c>
      <c r="K252" s="108">
        <f>K253+K257+K261+K265+K269+K274</f>
        <v>0</v>
      </c>
    </row>
    <row r="253" spans="1:11" ht="12.75">
      <c r="A253" s="107" t="s">
        <v>80</v>
      </c>
      <c r="B253" s="146" t="s">
        <v>148</v>
      </c>
      <c r="C253" s="109" t="s">
        <v>54</v>
      </c>
      <c r="D253" s="109" t="s">
        <v>42</v>
      </c>
      <c r="E253" s="109"/>
      <c r="F253" s="109"/>
      <c r="G253" s="108">
        <f t="shared" si="6"/>
        <v>495668.99999999994</v>
      </c>
      <c r="H253" s="108">
        <f>H254</f>
        <v>481571.0999999999</v>
      </c>
      <c r="I253" s="108">
        <f>I254</f>
        <v>14097.9</v>
      </c>
      <c r="J253" s="108">
        <f>J254</f>
        <v>0</v>
      </c>
      <c r="K253" s="108">
        <f>K254</f>
        <v>0</v>
      </c>
    </row>
    <row r="254" spans="1:11" ht="25.5">
      <c r="A254" s="193"/>
      <c r="B254" s="191" t="s">
        <v>149</v>
      </c>
      <c r="C254" s="195" t="s">
        <v>54</v>
      </c>
      <c r="D254" s="195" t="s">
        <v>42</v>
      </c>
      <c r="E254" s="195" t="s">
        <v>150</v>
      </c>
      <c r="F254" s="195"/>
      <c r="G254" s="196">
        <f t="shared" si="6"/>
        <v>495668.99999999994</v>
      </c>
      <c r="H254" s="196">
        <f>H255</f>
        <v>481571.0999999999</v>
      </c>
      <c r="I254" s="196">
        <f>I255</f>
        <v>14097.9</v>
      </c>
      <c r="J254" s="196"/>
      <c r="K254" s="196"/>
    </row>
    <row r="255" spans="1:11" ht="25.5">
      <c r="A255" s="107"/>
      <c r="B255" s="123" t="s">
        <v>94</v>
      </c>
      <c r="C255" s="112" t="s">
        <v>54</v>
      </c>
      <c r="D255" s="112" t="s">
        <v>42</v>
      </c>
      <c r="E255" s="112" t="s">
        <v>151</v>
      </c>
      <c r="F255" s="112"/>
      <c r="G255" s="113">
        <f t="shared" si="6"/>
        <v>495668.99999999994</v>
      </c>
      <c r="H255" s="113">
        <f>H256</f>
        <v>481571.0999999999</v>
      </c>
      <c r="I255" s="113">
        <f>I256</f>
        <v>14097.9</v>
      </c>
      <c r="J255" s="113"/>
      <c r="K255" s="113"/>
    </row>
    <row r="256" spans="1:11" ht="13.5" customHeight="1">
      <c r="A256" s="107"/>
      <c r="B256" s="115" t="s">
        <v>95</v>
      </c>
      <c r="C256" s="112" t="s">
        <v>54</v>
      </c>
      <c r="D256" s="112" t="s">
        <v>42</v>
      </c>
      <c r="E256" s="112" t="s">
        <v>151</v>
      </c>
      <c r="F256" s="112" t="s">
        <v>99</v>
      </c>
      <c r="G256" s="113">
        <f t="shared" si="6"/>
        <v>495668.99999999994</v>
      </c>
      <c r="H256" s="113">
        <f>Лист2!I320+Лист2!I184+Лист2!I411</f>
        <v>481571.0999999999</v>
      </c>
      <c r="I256" s="113">
        <f>Лист2!J320</f>
        <v>14097.9</v>
      </c>
      <c r="J256" s="113"/>
      <c r="K256" s="113"/>
    </row>
    <row r="257" spans="1:11" ht="12.75">
      <c r="A257" s="107" t="s">
        <v>82</v>
      </c>
      <c r="B257" s="146" t="s">
        <v>163</v>
      </c>
      <c r="C257" s="109" t="s">
        <v>54</v>
      </c>
      <c r="D257" s="109" t="s">
        <v>44</v>
      </c>
      <c r="E257" s="109"/>
      <c r="F257" s="109"/>
      <c r="G257" s="108">
        <f t="shared" si="6"/>
        <v>51906.3</v>
      </c>
      <c r="H257" s="108">
        <f>H258</f>
        <v>43426.6</v>
      </c>
      <c r="I257" s="108">
        <f>I258</f>
        <v>8479.7</v>
      </c>
      <c r="J257" s="108">
        <f>J258</f>
        <v>0</v>
      </c>
      <c r="K257" s="108">
        <f>K258</f>
        <v>0</v>
      </c>
    </row>
    <row r="258" spans="1:11" ht="25.5">
      <c r="A258" s="107"/>
      <c r="B258" s="123" t="s">
        <v>164</v>
      </c>
      <c r="C258" s="112" t="s">
        <v>54</v>
      </c>
      <c r="D258" s="112" t="s">
        <v>44</v>
      </c>
      <c r="E258" s="112" t="s">
        <v>165</v>
      </c>
      <c r="F258" s="112"/>
      <c r="G258" s="113">
        <f aca="true" t="shared" si="7" ref="G258:G285">H258+I258+J258+K258</f>
        <v>51906.3</v>
      </c>
      <c r="H258" s="113">
        <f>H259</f>
        <v>43426.6</v>
      </c>
      <c r="I258" s="113">
        <f>I259</f>
        <v>8479.7</v>
      </c>
      <c r="J258" s="113"/>
      <c r="K258" s="113"/>
    </row>
    <row r="259" spans="1:11" ht="23.25" customHeight="1">
      <c r="A259" s="107"/>
      <c r="B259" s="123" t="s">
        <v>94</v>
      </c>
      <c r="C259" s="112" t="s">
        <v>54</v>
      </c>
      <c r="D259" s="112" t="s">
        <v>44</v>
      </c>
      <c r="E259" s="112" t="s">
        <v>166</v>
      </c>
      <c r="F259" s="112"/>
      <c r="G259" s="113">
        <f t="shared" si="7"/>
        <v>51906.3</v>
      </c>
      <c r="H259" s="113">
        <f>H260</f>
        <v>43426.6</v>
      </c>
      <c r="I259" s="113">
        <f>I260</f>
        <v>8479.7</v>
      </c>
      <c r="J259" s="113"/>
      <c r="K259" s="113"/>
    </row>
    <row r="260" spans="1:11" ht="14.25" customHeight="1">
      <c r="A260" s="107"/>
      <c r="B260" s="115" t="s">
        <v>95</v>
      </c>
      <c r="C260" s="112" t="s">
        <v>54</v>
      </c>
      <c r="D260" s="112" t="s">
        <v>44</v>
      </c>
      <c r="E260" s="112" t="s">
        <v>166</v>
      </c>
      <c r="F260" s="112" t="s">
        <v>99</v>
      </c>
      <c r="G260" s="113">
        <f t="shared" si="7"/>
        <v>51906.3</v>
      </c>
      <c r="H260" s="113">
        <f>Лист2!I324</f>
        <v>43426.6</v>
      </c>
      <c r="I260" s="113">
        <f>Лист2!J324</f>
        <v>8479.7</v>
      </c>
      <c r="J260" s="113"/>
      <c r="K260" s="113"/>
    </row>
    <row r="261" spans="1:11" ht="12.75">
      <c r="A261" s="107" t="s">
        <v>83</v>
      </c>
      <c r="B261" s="108" t="s">
        <v>152</v>
      </c>
      <c r="C261" s="109" t="s">
        <v>54</v>
      </c>
      <c r="D261" s="109" t="s">
        <v>46</v>
      </c>
      <c r="E261" s="109"/>
      <c r="F261" s="109"/>
      <c r="G261" s="108">
        <f t="shared" si="7"/>
        <v>4740</v>
      </c>
      <c r="H261" s="108">
        <f>H262</f>
        <v>0</v>
      </c>
      <c r="I261" s="108">
        <f>I262</f>
        <v>4740</v>
      </c>
      <c r="J261" s="108">
        <f>J262</f>
        <v>0</v>
      </c>
      <c r="K261" s="108">
        <f>K262</f>
        <v>0</v>
      </c>
    </row>
    <row r="262" spans="1:11" ht="15.75" customHeight="1">
      <c r="A262" s="107"/>
      <c r="B262" s="123" t="s">
        <v>104</v>
      </c>
      <c r="C262" s="112" t="s">
        <v>54</v>
      </c>
      <c r="D262" s="112" t="s">
        <v>46</v>
      </c>
      <c r="E262" s="112" t="s">
        <v>105</v>
      </c>
      <c r="F262" s="112"/>
      <c r="G262" s="113">
        <f t="shared" si="7"/>
        <v>4740</v>
      </c>
      <c r="H262" s="113"/>
      <c r="I262" s="113">
        <f>I263</f>
        <v>4740</v>
      </c>
      <c r="J262" s="113"/>
      <c r="K262" s="113"/>
    </row>
    <row r="263" spans="1:11" ht="51">
      <c r="A263" s="107"/>
      <c r="B263" s="123" t="s">
        <v>153</v>
      </c>
      <c r="C263" s="112" t="s">
        <v>54</v>
      </c>
      <c r="D263" s="112" t="s">
        <v>46</v>
      </c>
      <c r="E263" s="112" t="s">
        <v>154</v>
      </c>
      <c r="F263" s="112"/>
      <c r="G263" s="113">
        <f t="shared" si="7"/>
        <v>4740</v>
      </c>
      <c r="H263" s="113"/>
      <c r="I263" s="113">
        <f>I264</f>
        <v>4740</v>
      </c>
      <c r="J263" s="113"/>
      <c r="K263" s="113"/>
    </row>
    <row r="264" spans="1:11" ht="13.5" customHeight="1">
      <c r="A264" s="114"/>
      <c r="B264" s="115" t="s">
        <v>95</v>
      </c>
      <c r="C264" s="112" t="s">
        <v>54</v>
      </c>
      <c r="D264" s="112" t="s">
        <v>46</v>
      </c>
      <c r="E264" s="112" t="s">
        <v>154</v>
      </c>
      <c r="F264" s="112" t="s">
        <v>99</v>
      </c>
      <c r="G264" s="113">
        <f t="shared" si="7"/>
        <v>4740</v>
      </c>
      <c r="H264" s="113"/>
      <c r="I264" s="113">
        <f>Лист2!J328</f>
        <v>4740</v>
      </c>
      <c r="J264" s="113"/>
      <c r="K264" s="113"/>
    </row>
    <row r="265" spans="1:11" ht="25.5">
      <c r="A265" s="107" t="s">
        <v>212</v>
      </c>
      <c r="B265" s="124" t="s">
        <v>155</v>
      </c>
      <c r="C265" s="109" t="s">
        <v>54</v>
      </c>
      <c r="D265" s="109" t="s">
        <v>48</v>
      </c>
      <c r="E265" s="112"/>
      <c r="F265" s="112"/>
      <c r="G265" s="108">
        <f t="shared" si="7"/>
        <v>6311</v>
      </c>
      <c r="H265" s="108">
        <f>H266</f>
        <v>6311</v>
      </c>
      <c r="I265" s="108">
        <f>I266</f>
        <v>0</v>
      </c>
      <c r="J265" s="108">
        <f>J266</f>
        <v>0</v>
      </c>
      <c r="K265" s="108">
        <f>K266</f>
        <v>0</v>
      </c>
    </row>
    <row r="266" spans="1:11" ht="12.75">
      <c r="A266" s="114"/>
      <c r="B266" s="123" t="s">
        <v>156</v>
      </c>
      <c r="C266" s="112" t="s">
        <v>54</v>
      </c>
      <c r="D266" s="112" t="s">
        <v>48</v>
      </c>
      <c r="E266" s="112" t="s">
        <v>157</v>
      </c>
      <c r="F266" s="112"/>
      <c r="G266" s="113">
        <f t="shared" si="7"/>
        <v>6311</v>
      </c>
      <c r="H266" s="113">
        <f>H267</f>
        <v>6311</v>
      </c>
      <c r="I266" s="113"/>
      <c r="J266" s="113"/>
      <c r="K266" s="113"/>
    </row>
    <row r="267" spans="1:11" ht="24.75" customHeight="1">
      <c r="A267" s="114"/>
      <c r="B267" s="123" t="s">
        <v>94</v>
      </c>
      <c r="C267" s="112" t="s">
        <v>54</v>
      </c>
      <c r="D267" s="112" t="s">
        <v>48</v>
      </c>
      <c r="E267" s="112" t="s">
        <v>158</v>
      </c>
      <c r="F267" s="112"/>
      <c r="G267" s="113">
        <f t="shared" si="7"/>
        <v>6311</v>
      </c>
      <c r="H267" s="113">
        <f>H268</f>
        <v>6311</v>
      </c>
      <c r="I267" s="113"/>
      <c r="J267" s="113"/>
      <c r="K267" s="113"/>
    </row>
    <row r="268" spans="1:11" ht="14.25" customHeight="1">
      <c r="A268" s="114"/>
      <c r="B268" s="115" t="s">
        <v>95</v>
      </c>
      <c r="C268" s="112" t="s">
        <v>54</v>
      </c>
      <c r="D268" s="112" t="s">
        <v>48</v>
      </c>
      <c r="E268" s="112" t="s">
        <v>158</v>
      </c>
      <c r="F268" s="112" t="s">
        <v>99</v>
      </c>
      <c r="G268" s="113">
        <f t="shared" si="7"/>
        <v>6311</v>
      </c>
      <c r="H268" s="113">
        <f>Лист2!I334</f>
        <v>6311</v>
      </c>
      <c r="I268" s="113"/>
      <c r="J268" s="113"/>
      <c r="K268" s="116"/>
    </row>
    <row r="269" spans="1:11" ht="12.75">
      <c r="A269" s="156" t="s">
        <v>267</v>
      </c>
      <c r="B269" s="146" t="s">
        <v>184</v>
      </c>
      <c r="C269" s="109" t="s">
        <v>54</v>
      </c>
      <c r="D269" s="109" t="s">
        <v>61</v>
      </c>
      <c r="E269" s="109"/>
      <c r="F269" s="109"/>
      <c r="G269" s="108">
        <f t="shared" si="7"/>
        <v>10451.7</v>
      </c>
      <c r="H269" s="108">
        <f>H270+H272</f>
        <v>1639.7</v>
      </c>
      <c r="I269" s="108">
        <f>I270+I272</f>
        <v>0</v>
      </c>
      <c r="J269" s="108">
        <f>J270+J272</f>
        <v>8812</v>
      </c>
      <c r="K269" s="108">
        <f>K270+K272</f>
        <v>0</v>
      </c>
    </row>
    <row r="270" spans="1:11" ht="12.75">
      <c r="A270" s="121"/>
      <c r="B270" s="133" t="s">
        <v>175</v>
      </c>
      <c r="C270" s="120" t="s">
        <v>54</v>
      </c>
      <c r="D270" s="120" t="s">
        <v>61</v>
      </c>
      <c r="E270" s="120" t="s">
        <v>176</v>
      </c>
      <c r="F270" s="120"/>
      <c r="G270" s="133">
        <f t="shared" si="7"/>
        <v>9251.7</v>
      </c>
      <c r="H270" s="133">
        <f>H271</f>
        <v>439.70000000000005</v>
      </c>
      <c r="I270" s="133"/>
      <c r="J270" s="133">
        <f>J271</f>
        <v>8812</v>
      </c>
      <c r="K270" s="133"/>
    </row>
    <row r="271" spans="1:11" ht="12.75">
      <c r="A271" s="190"/>
      <c r="B271" s="192" t="s">
        <v>181</v>
      </c>
      <c r="C271" s="188" t="s">
        <v>54</v>
      </c>
      <c r="D271" s="188" t="s">
        <v>61</v>
      </c>
      <c r="E271" s="188" t="s">
        <v>176</v>
      </c>
      <c r="F271" s="188" t="s">
        <v>182</v>
      </c>
      <c r="G271" s="192">
        <f t="shared" si="7"/>
        <v>9251.7</v>
      </c>
      <c r="H271" s="192">
        <f>Лист2!I415</f>
        <v>439.70000000000005</v>
      </c>
      <c r="I271" s="192"/>
      <c r="J271" s="192">
        <f>Лист2!K414</f>
        <v>8812</v>
      </c>
      <c r="K271" s="192"/>
    </row>
    <row r="272" spans="1:11" ht="12.75">
      <c r="A272" s="114"/>
      <c r="B272" s="123" t="s">
        <v>109</v>
      </c>
      <c r="C272" s="112" t="s">
        <v>54</v>
      </c>
      <c r="D272" s="112" t="s">
        <v>61</v>
      </c>
      <c r="E272" s="112" t="s">
        <v>110</v>
      </c>
      <c r="F272" s="112"/>
      <c r="G272" s="113">
        <f t="shared" si="7"/>
        <v>1200</v>
      </c>
      <c r="H272" s="113">
        <f>H273</f>
        <v>1200</v>
      </c>
      <c r="I272" s="113"/>
      <c r="J272" s="113"/>
      <c r="K272" s="113"/>
    </row>
    <row r="273" spans="1:11" ht="25.5">
      <c r="A273" s="114"/>
      <c r="B273" s="123" t="s">
        <v>301</v>
      </c>
      <c r="C273" s="112" t="s">
        <v>54</v>
      </c>
      <c r="D273" s="112" t="s">
        <v>61</v>
      </c>
      <c r="E273" s="112" t="s">
        <v>110</v>
      </c>
      <c r="F273" s="112" t="s">
        <v>302</v>
      </c>
      <c r="G273" s="113">
        <f t="shared" si="7"/>
        <v>1200</v>
      </c>
      <c r="H273" s="113">
        <f>Лист2!I187</f>
        <v>1200</v>
      </c>
      <c r="I273" s="113"/>
      <c r="J273" s="113"/>
      <c r="K273" s="113"/>
    </row>
    <row r="274" spans="1:11" ht="25.5">
      <c r="A274" s="156" t="s">
        <v>268</v>
      </c>
      <c r="B274" s="124" t="s">
        <v>159</v>
      </c>
      <c r="C274" s="109" t="s">
        <v>54</v>
      </c>
      <c r="D274" s="109" t="s">
        <v>89</v>
      </c>
      <c r="E274" s="109"/>
      <c r="F274" s="109"/>
      <c r="G274" s="108">
        <f t="shared" si="7"/>
        <v>126318.1</v>
      </c>
      <c r="H274" s="108">
        <f>H275+H278+H281+H284</f>
        <v>30840.4</v>
      </c>
      <c r="I274" s="108">
        <f>I275+I278+I281+I284</f>
        <v>0</v>
      </c>
      <c r="J274" s="108">
        <f>J275+J278+J281+J284</f>
        <v>95477.7</v>
      </c>
      <c r="K274" s="108">
        <f>K275+K278+K281+K284</f>
        <v>0</v>
      </c>
    </row>
    <row r="275" spans="1:11" ht="51">
      <c r="A275" s="114"/>
      <c r="B275" s="123" t="s">
        <v>113</v>
      </c>
      <c r="C275" s="112" t="s">
        <v>54</v>
      </c>
      <c r="D275" s="112" t="s">
        <v>89</v>
      </c>
      <c r="E275" s="112" t="s">
        <v>114</v>
      </c>
      <c r="F275" s="109"/>
      <c r="G275" s="113">
        <f t="shared" si="7"/>
        <v>6692</v>
      </c>
      <c r="H275" s="113">
        <f>H276</f>
        <v>6692</v>
      </c>
      <c r="I275" s="113"/>
      <c r="J275" s="113"/>
      <c r="K275" s="113"/>
    </row>
    <row r="276" spans="1:11" ht="12.75">
      <c r="A276" s="114"/>
      <c r="B276" s="133" t="s">
        <v>115</v>
      </c>
      <c r="C276" s="112" t="s">
        <v>54</v>
      </c>
      <c r="D276" s="112" t="s">
        <v>89</v>
      </c>
      <c r="E276" s="112" t="s">
        <v>116</v>
      </c>
      <c r="F276" s="109"/>
      <c r="G276" s="113">
        <f t="shared" si="7"/>
        <v>6692</v>
      </c>
      <c r="H276" s="113">
        <f>H277</f>
        <v>6692</v>
      </c>
      <c r="I276" s="113"/>
      <c r="J276" s="113"/>
      <c r="K276" s="113"/>
    </row>
    <row r="277" spans="1:11" ht="25.5">
      <c r="A277" s="114"/>
      <c r="B277" s="123" t="s">
        <v>117</v>
      </c>
      <c r="C277" s="112" t="s">
        <v>54</v>
      </c>
      <c r="D277" s="112" t="s">
        <v>89</v>
      </c>
      <c r="E277" s="112" t="s">
        <v>116</v>
      </c>
      <c r="F277" s="112" t="s">
        <v>32</v>
      </c>
      <c r="G277" s="113">
        <f t="shared" si="7"/>
        <v>6692</v>
      </c>
      <c r="H277" s="113">
        <f>Лист2!I338</f>
        <v>6692</v>
      </c>
      <c r="I277" s="113"/>
      <c r="J277" s="113"/>
      <c r="K277" s="113"/>
    </row>
    <row r="278" spans="1:11" ht="67.5" customHeight="1">
      <c r="A278" s="156"/>
      <c r="B278" s="123" t="s">
        <v>160</v>
      </c>
      <c r="C278" s="112" t="s">
        <v>54</v>
      </c>
      <c r="D278" s="112" t="s">
        <v>89</v>
      </c>
      <c r="E278" s="112" t="s">
        <v>161</v>
      </c>
      <c r="F278" s="112"/>
      <c r="G278" s="113">
        <f t="shared" si="7"/>
        <v>6200</v>
      </c>
      <c r="H278" s="113">
        <f>H279</f>
        <v>6200</v>
      </c>
      <c r="I278" s="113"/>
      <c r="J278" s="113"/>
      <c r="K278" s="113"/>
    </row>
    <row r="279" spans="1:11" ht="25.5">
      <c r="A279" s="156"/>
      <c r="B279" s="123" t="s">
        <v>94</v>
      </c>
      <c r="C279" s="112" t="s">
        <v>54</v>
      </c>
      <c r="D279" s="112" t="s">
        <v>89</v>
      </c>
      <c r="E279" s="112" t="s">
        <v>162</v>
      </c>
      <c r="F279" s="112"/>
      <c r="G279" s="113">
        <f t="shared" si="7"/>
        <v>6200</v>
      </c>
      <c r="H279" s="113">
        <f>H280</f>
        <v>6200</v>
      </c>
      <c r="I279" s="113"/>
      <c r="J279" s="113"/>
      <c r="K279" s="113"/>
    </row>
    <row r="280" spans="1:11" ht="16.5" customHeight="1">
      <c r="A280" s="156"/>
      <c r="B280" s="115" t="s">
        <v>95</v>
      </c>
      <c r="C280" s="112" t="s">
        <v>54</v>
      </c>
      <c r="D280" s="112" t="s">
        <v>89</v>
      </c>
      <c r="E280" s="112" t="s">
        <v>162</v>
      </c>
      <c r="F280" s="112" t="s">
        <v>99</v>
      </c>
      <c r="G280" s="113">
        <f t="shared" si="7"/>
        <v>6200</v>
      </c>
      <c r="H280" s="113">
        <f>Лист2!I341</f>
        <v>6200</v>
      </c>
      <c r="I280" s="113"/>
      <c r="J280" s="113"/>
      <c r="K280" s="113"/>
    </row>
    <row r="281" spans="1:11" ht="12.75">
      <c r="A281" s="107"/>
      <c r="B281" s="113" t="s">
        <v>175</v>
      </c>
      <c r="C281" s="112" t="s">
        <v>54</v>
      </c>
      <c r="D281" s="112" t="s">
        <v>89</v>
      </c>
      <c r="E281" s="112" t="s">
        <v>176</v>
      </c>
      <c r="F281" s="112"/>
      <c r="G281" s="113">
        <f t="shared" si="7"/>
        <v>112926.1</v>
      </c>
      <c r="H281" s="113">
        <f>H282</f>
        <v>17448.4</v>
      </c>
      <c r="I281" s="113"/>
      <c r="J281" s="113">
        <f>J282</f>
        <v>95477.7</v>
      </c>
      <c r="K281" s="113"/>
    </row>
    <row r="282" spans="1:11" ht="12.75">
      <c r="A282" s="107"/>
      <c r="B282" s="113" t="s">
        <v>181</v>
      </c>
      <c r="C282" s="112" t="s">
        <v>54</v>
      </c>
      <c r="D282" s="112" t="s">
        <v>89</v>
      </c>
      <c r="E282" s="112" t="s">
        <v>176</v>
      </c>
      <c r="F282" s="112" t="s">
        <v>182</v>
      </c>
      <c r="G282" s="113">
        <f t="shared" si="7"/>
        <v>112926.1</v>
      </c>
      <c r="H282" s="113">
        <f>H283</f>
        <v>17448.4</v>
      </c>
      <c r="I282" s="113"/>
      <c r="J282" s="116">
        <f>J283</f>
        <v>95477.7</v>
      </c>
      <c r="K282" s="116"/>
    </row>
    <row r="283" spans="1:11" ht="38.25">
      <c r="A283" s="107"/>
      <c r="B283" s="115" t="s">
        <v>266</v>
      </c>
      <c r="C283" s="112" t="s">
        <v>54</v>
      </c>
      <c r="D283" s="112" t="s">
        <v>89</v>
      </c>
      <c r="E283" s="112" t="s">
        <v>183</v>
      </c>
      <c r="F283" s="112" t="s">
        <v>182</v>
      </c>
      <c r="G283" s="113">
        <f t="shared" si="7"/>
        <v>112926.1</v>
      </c>
      <c r="H283" s="113">
        <f>Лист2!I419</f>
        <v>17448.4</v>
      </c>
      <c r="I283" s="113"/>
      <c r="J283" s="113">
        <f>Лист2!K419</f>
        <v>95477.7</v>
      </c>
      <c r="K283" s="113"/>
    </row>
    <row r="284" spans="1:11" ht="12.75">
      <c r="A284" s="114"/>
      <c r="B284" s="123" t="s">
        <v>109</v>
      </c>
      <c r="C284" s="112" t="s">
        <v>54</v>
      </c>
      <c r="D284" s="112" t="s">
        <v>89</v>
      </c>
      <c r="E284" s="112" t="s">
        <v>110</v>
      </c>
      <c r="F284" s="112"/>
      <c r="G284" s="113">
        <f t="shared" si="7"/>
        <v>500</v>
      </c>
      <c r="H284" s="113">
        <f>H285</f>
        <v>500</v>
      </c>
      <c r="I284" s="113"/>
      <c r="J284" s="113"/>
      <c r="K284" s="113"/>
    </row>
    <row r="285" spans="1:11" ht="25.5">
      <c r="A285" s="114"/>
      <c r="B285" s="115" t="s">
        <v>301</v>
      </c>
      <c r="C285" s="112" t="s">
        <v>54</v>
      </c>
      <c r="D285" s="112" t="s">
        <v>89</v>
      </c>
      <c r="E285" s="112" t="s">
        <v>110</v>
      </c>
      <c r="F285" s="112" t="s">
        <v>302</v>
      </c>
      <c r="G285" s="113">
        <f t="shared" si="7"/>
        <v>500</v>
      </c>
      <c r="H285" s="113">
        <f>Лист2!I343</f>
        <v>500</v>
      </c>
      <c r="I285" s="113"/>
      <c r="J285" s="113"/>
      <c r="K285" s="113"/>
    </row>
    <row r="286" spans="1:11" ht="12.75">
      <c r="A286" s="107" t="s">
        <v>14</v>
      </c>
      <c r="B286" s="108" t="s">
        <v>88</v>
      </c>
      <c r="C286" s="109" t="s">
        <v>89</v>
      </c>
      <c r="D286" s="109" t="s">
        <v>43</v>
      </c>
      <c r="E286" s="109"/>
      <c r="F286" s="109"/>
      <c r="G286" s="108">
        <f aca="true" t="shared" si="8" ref="G286:G314">H286+I286+J286+K286</f>
        <v>116771.20000000001</v>
      </c>
      <c r="H286" s="157">
        <f>H287+H292+H305+H318</f>
        <v>7000</v>
      </c>
      <c r="I286" s="157">
        <f>I287+I292+I305+I318</f>
        <v>107757.50000000001</v>
      </c>
      <c r="J286" s="157">
        <f>J287+J292+J305+J318</f>
        <v>2013.7</v>
      </c>
      <c r="K286" s="157">
        <f>K287+K292+K305+K318</f>
        <v>0</v>
      </c>
    </row>
    <row r="287" spans="1:11" ht="12.75">
      <c r="A287" s="107" t="s">
        <v>85</v>
      </c>
      <c r="B287" s="108" t="s">
        <v>90</v>
      </c>
      <c r="C287" s="109" t="s">
        <v>89</v>
      </c>
      <c r="D287" s="109" t="s">
        <v>42</v>
      </c>
      <c r="E287" s="109"/>
      <c r="F287" s="109"/>
      <c r="G287" s="108">
        <f t="shared" si="8"/>
        <v>1200</v>
      </c>
      <c r="H287" s="108">
        <f>H288</f>
        <v>1200</v>
      </c>
      <c r="I287" s="108">
        <f>I288</f>
        <v>0</v>
      </c>
      <c r="J287" s="108">
        <f>J288</f>
        <v>0</v>
      </c>
      <c r="K287" s="108">
        <f>K288</f>
        <v>0</v>
      </c>
    </row>
    <row r="288" spans="1:11" ht="12.75">
      <c r="A288" s="107"/>
      <c r="B288" s="133" t="s">
        <v>254</v>
      </c>
      <c r="C288" s="112" t="s">
        <v>89</v>
      </c>
      <c r="D288" s="112" t="s">
        <v>42</v>
      </c>
      <c r="E288" s="112" t="s">
        <v>214</v>
      </c>
      <c r="F288" s="109"/>
      <c r="G288" s="113">
        <f t="shared" si="8"/>
        <v>1200</v>
      </c>
      <c r="H288" s="113">
        <f>H289</f>
        <v>1200</v>
      </c>
      <c r="I288" s="108"/>
      <c r="J288" s="113"/>
      <c r="K288" s="113"/>
    </row>
    <row r="289" spans="1:11" ht="25.5">
      <c r="A289" s="107"/>
      <c r="B289" s="123" t="s">
        <v>255</v>
      </c>
      <c r="C289" s="112" t="s">
        <v>89</v>
      </c>
      <c r="D289" s="112" t="s">
        <v>42</v>
      </c>
      <c r="E289" s="112" t="s">
        <v>256</v>
      </c>
      <c r="F289" s="109"/>
      <c r="G289" s="113">
        <f t="shared" si="8"/>
        <v>1200</v>
      </c>
      <c r="H289" s="113">
        <f>H290</f>
        <v>1200</v>
      </c>
      <c r="I289" s="113"/>
      <c r="J289" s="113"/>
      <c r="K289" s="113"/>
    </row>
    <row r="290" spans="1:11" ht="38.25">
      <c r="A290" s="107"/>
      <c r="B290" s="123" t="s">
        <v>213</v>
      </c>
      <c r="C290" s="112" t="s">
        <v>89</v>
      </c>
      <c r="D290" s="112" t="s">
        <v>42</v>
      </c>
      <c r="E290" s="112" t="s">
        <v>257</v>
      </c>
      <c r="F290" s="109"/>
      <c r="G290" s="113">
        <f t="shared" si="8"/>
        <v>1200</v>
      </c>
      <c r="H290" s="113">
        <f>H291</f>
        <v>1200</v>
      </c>
      <c r="I290" s="113"/>
      <c r="J290" s="113"/>
      <c r="K290" s="113"/>
    </row>
    <row r="291" spans="1:11" ht="12.75">
      <c r="A291" s="107"/>
      <c r="B291" s="133" t="s">
        <v>125</v>
      </c>
      <c r="C291" s="112" t="s">
        <v>89</v>
      </c>
      <c r="D291" s="112" t="s">
        <v>42</v>
      </c>
      <c r="E291" s="112" t="s">
        <v>257</v>
      </c>
      <c r="F291" s="112" t="s">
        <v>126</v>
      </c>
      <c r="G291" s="113">
        <f t="shared" si="8"/>
        <v>1200</v>
      </c>
      <c r="H291" s="113">
        <f>Лист2!I193</f>
        <v>1200</v>
      </c>
      <c r="I291" s="113"/>
      <c r="J291" s="113"/>
      <c r="K291" s="113"/>
    </row>
    <row r="292" spans="1:11" ht="12.75">
      <c r="A292" s="107" t="s">
        <v>86</v>
      </c>
      <c r="B292" s="108" t="s">
        <v>91</v>
      </c>
      <c r="C292" s="109" t="s">
        <v>89</v>
      </c>
      <c r="D292" s="109" t="s">
        <v>45</v>
      </c>
      <c r="E292" s="109"/>
      <c r="F292" s="109"/>
      <c r="G292" s="108">
        <f t="shared" si="8"/>
        <v>30450.4</v>
      </c>
      <c r="H292" s="157">
        <f>H293+H295</f>
        <v>5800</v>
      </c>
      <c r="I292" s="157">
        <f>I293+I295</f>
        <v>22636.7</v>
      </c>
      <c r="J292" s="157">
        <f>J293+J295</f>
        <v>2013.7</v>
      </c>
      <c r="K292" s="157">
        <f>K293+K295</f>
        <v>0</v>
      </c>
    </row>
    <row r="293" spans="1:11" ht="38.25">
      <c r="A293" s="121"/>
      <c r="B293" s="150" t="s">
        <v>468</v>
      </c>
      <c r="C293" s="120" t="s">
        <v>89</v>
      </c>
      <c r="D293" s="120" t="s">
        <v>45</v>
      </c>
      <c r="E293" s="120" t="s">
        <v>469</v>
      </c>
      <c r="F293" s="119"/>
      <c r="G293" s="146">
        <f t="shared" si="8"/>
        <v>30.4</v>
      </c>
      <c r="H293" s="133"/>
      <c r="I293" s="133"/>
      <c r="J293" s="133">
        <f>J294</f>
        <v>30.4</v>
      </c>
      <c r="K293" s="133"/>
    </row>
    <row r="294" spans="1:11" ht="12.75">
      <c r="A294" s="121"/>
      <c r="B294" s="133" t="s">
        <v>125</v>
      </c>
      <c r="C294" s="120" t="s">
        <v>89</v>
      </c>
      <c r="D294" s="120" t="s">
        <v>45</v>
      </c>
      <c r="E294" s="120" t="s">
        <v>469</v>
      </c>
      <c r="F294" s="120" t="s">
        <v>126</v>
      </c>
      <c r="G294" s="146">
        <f t="shared" si="8"/>
        <v>30.4</v>
      </c>
      <c r="H294" s="133"/>
      <c r="I294" s="133"/>
      <c r="J294" s="133">
        <f>Лист2!K196</f>
        <v>30.4</v>
      </c>
      <c r="K294" s="133"/>
    </row>
    <row r="295" spans="1:11" ht="12.75">
      <c r="A295" s="107"/>
      <c r="B295" s="133" t="s">
        <v>121</v>
      </c>
      <c r="C295" s="112" t="s">
        <v>89</v>
      </c>
      <c r="D295" s="112" t="s">
        <v>45</v>
      </c>
      <c r="E295" s="112" t="s">
        <v>122</v>
      </c>
      <c r="F295" s="109"/>
      <c r="G295" s="113">
        <f t="shared" si="8"/>
        <v>30420</v>
      </c>
      <c r="H295" s="113">
        <f>H298+H300+H302</f>
        <v>5800</v>
      </c>
      <c r="I295" s="113">
        <f>I296+I298+I300+I302</f>
        <v>22636.7</v>
      </c>
      <c r="J295" s="113">
        <f>J298+J300+J302</f>
        <v>1983.3</v>
      </c>
      <c r="K295" s="113">
        <f>K298+K300+K302</f>
        <v>0</v>
      </c>
    </row>
    <row r="296" spans="1:11" ht="76.5">
      <c r="A296" s="121"/>
      <c r="B296" s="123" t="s">
        <v>435</v>
      </c>
      <c r="C296" s="120" t="s">
        <v>89</v>
      </c>
      <c r="D296" s="120" t="s">
        <v>45</v>
      </c>
      <c r="E296" s="120" t="s">
        <v>434</v>
      </c>
      <c r="F296" s="120"/>
      <c r="G296" s="133">
        <f t="shared" si="8"/>
        <v>8577.5</v>
      </c>
      <c r="H296" s="133"/>
      <c r="I296" s="133">
        <f>I297</f>
        <v>8577.5</v>
      </c>
      <c r="J296" s="133"/>
      <c r="K296" s="133"/>
    </row>
    <row r="297" spans="1:11" ht="12.75">
      <c r="A297" s="121"/>
      <c r="B297" s="133" t="s">
        <v>125</v>
      </c>
      <c r="C297" s="120" t="s">
        <v>89</v>
      </c>
      <c r="D297" s="120" t="s">
        <v>45</v>
      </c>
      <c r="E297" s="120" t="s">
        <v>434</v>
      </c>
      <c r="F297" s="120" t="s">
        <v>126</v>
      </c>
      <c r="G297" s="133">
        <f t="shared" si="8"/>
        <v>8577.5</v>
      </c>
      <c r="H297" s="133"/>
      <c r="I297" s="133">
        <f>Лист2!J199</f>
        <v>8577.5</v>
      </c>
      <c r="J297" s="133"/>
      <c r="K297" s="133"/>
    </row>
    <row r="298" spans="1:11" ht="63.75">
      <c r="A298" s="107"/>
      <c r="B298" s="123" t="s">
        <v>404</v>
      </c>
      <c r="C298" s="112" t="s">
        <v>89</v>
      </c>
      <c r="D298" s="112" t="s">
        <v>45</v>
      </c>
      <c r="E298" s="112" t="s">
        <v>405</v>
      </c>
      <c r="F298" s="109"/>
      <c r="G298" s="113">
        <f t="shared" si="8"/>
        <v>6457</v>
      </c>
      <c r="H298" s="113"/>
      <c r="I298" s="113">
        <f>I299</f>
        <v>6457</v>
      </c>
      <c r="J298" s="113"/>
      <c r="K298" s="113"/>
    </row>
    <row r="299" spans="1:11" ht="12.75">
      <c r="A299" s="107"/>
      <c r="B299" s="133" t="s">
        <v>125</v>
      </c>
      <c r="C299" s="112" t="s">
        <v>89</v>
      </c>
      <c r="D299" s="112" t="s">
        <v>45</v>
      </c>
      <c r="E299" s="112" t="s">
        <v>405</v>
      </c>
      <c r="F299" s="112" t="s">
        <v>126</v>
      </c>
      <c r="G299" s="113">
        <f t="shared" si="8"/>
        <v>6457</v>
      </c>
      <c r="H299" s="113"/>
      <c r="I299" s="113">
        <f>Лист2!J201</f>
        <v>6457</v>
      </c>
      <c r="J299" s="113"/>
      <c r="K299" s="113"/>
    </row>
    <row r="300" spans="1:11" ht="56.25" customHeight="1">
      <c r="A300" s="107"/>
      <c r="B300" s="115" t="s">
        <v>258</v>
      </c>
      <c r="C300" s="112" t="s">
        <v>89</v>
      </c>
      <c r="D300" s="112" t="s">
        <v>45</v>
      </c>
      <c r="E300" s="112" t="s">
        <v>259</v>
      </c>
      <c r="F300" s="109"/>
      <c r="G300" s="113">
        <f t="shared" si="8"/>
        <v>7602.2</v>
      </c>
      <c r="H300" s="113"/>
      <c r="I300" s="113">
        <f>I301</f>
        <v>7602.2</v>
      </c>
      <c r="J300" s="116"/>
      <c r="K300" s="116"/>
    </row>
    <row r="301" spans="1:11" ht="12.75">
      <c r="A301" s="107"/>
      <c r="B301" s="133" t="s">
        <v>125</v>
      </c>
      <c r="C301" s="112" t="s">
        <v>89</v>
      </c>
      <c r="D301" s="112" t="s">
        <v>45</v>
      </c>
      <c r="E301" s="112" t="s">
        <v>259</v>
      </c>
      <c r="F301" s="112" t="s">
        <v>126</v>
      </c>
      <c r="G301" s="113">
        <f t="shared" si="8"/>
        <v>7602.2</v>
      </c>
      <c r="H301" s="113">
        <f>Лист2!I424</f>
        <v>0</v>
      </c>
      <c r="I301" s="113">
        <f>Лист2!J424</f>
        <v>7602.2</v>
      </c>
      <c r="J301" s="113">
        <f>Лист2!K424</f>
        <v>0</v>
      </c>
      <c r="K301" s="113">
        <f>Лист2!L424</f>
        <v>0</v>
      </c>
    </row>
    <row r="302" spans="1:11" ht="12.75">
      <c r="A302" s="114"/>
      <c r="B302" s="133" t="s">
        <v>175</v>
      </c>
      <c r="C302" s="112" t="s">
        <v>89</v>
      </c>
      <c r="D302" s="112" t="s">
        <v>45</v>
      </c>
      <c r="E302" s="112" t="s">
        <v>176</v>
      </c>
      <c r="F302" s="109"/>
      <c r="G302" s="113">
        <f t="shared" si="8"/>
        <v>7783.3</v>
      </c>
      <c r="H302" s="113">
        <f>H303</f>
        <v>5800</v>
      </c>
      <c r="I302" s="113"/>
      <c r="J302" s="113">
        <f>J303</f>
        <v>1983.3</v>
      </c>
      <c r="K302" s="113"/>
    </row>
    <row r="303" spans="1:11" ht="12.75">
      <c r="A303" s="114"/>
      <c r="B303" s="115" t="s">
        <v>127</v>
      </c>
      <c r="C303" s="112" t="s">
        <v>89</v>
      </c>
      <c r="D303" s="112" t="s">
        <v>45</v>
      </c>
      <c r="E303" s="112" t="s">
        <v>176</v>
      </c>
      <c r="F303" s="112" t="s">
        <v>128</v>
      </c>
      <c r="G303" s="113">
        <f t="shared" si="8"/>
        <v>7783.3</v>
      </c>
      <c r="H303" s="113">
        <f>H304</f>
        <v>5800</v>
      </c>
      <c r="I303" s="113"/>
      <c r="J303" s="113">
        <f>J304</f>
        <v>1983.3</v>
      </c>
      <c r="K303" s="113"/>
    </row>
    <row r="304" spans="1:11" ht="38.25">
      <c r="A304" s="121"/>
      <c r="B304" s="123" t="s">
        <v>35</v>
      </c>
      <c r="C304" s="112" t="s">
        <v>89</v>
      </c>
      <c r="D304" s="112" t="s">
        <v>45</v>
      </c>
      <c r="E304" s="120" t="s">
        <v>271</v>
      </c>
      <c r="F304" s="120" t="s">
        <v>128</v>
      </c>
      <c r="G304" s="113">
        <f t="shared" si="8"/>
        <v>7783.3</v>
      </c>
      <c r="H304" s="113">
        <f>Лист2!I204</f>
        <v>5800</v>
      </c>
      <c r="I304" s="113"/>
      <c r="J304" s="133">
        <f>Лист2!K204</f>
        <v>1983.3</v>
      </c>
      <c r="K304" s="113"/>
    </row>
    <row r="305" spans="1:11" ht="12.75">
      <c r="A305" s="107" t="s">
        <v>87</v>
      </c>
      <c r="B305" s="146" t="s">
        <v>120</v>
      </c>
      <c r="C305" s="109" t="s">
        <v>89</v>
      </c>
      <c r="D305" s="109" t="s">
        <v>46</v>
      </c>
      <c r="E305" s="109"/>
      <c r="F305" s="109"/>
      <c r="G305" s="108">
        <f t="shared" si="8"/>
        <v>77897.70000000001</v>
      </c>
      <c r="H305" s="157">
        <f>H306+H312</f>
        <v>0</v>
      </c>
      <c r="I305" s="157">
        <f>I306+I309+I312</f>
        <v>77897.70000000001</v>
      </c>
      <c r="J305" s="157">
        <f>J306+J312</f>
        <v>0</v>
      </c>
      <c r="K305" s="157">
        <f>K306+K312</f>
        <v>0</v>
      </c>
    </row>
    <row r="306" spans="1:11" ht="12.75">
      <c r="A306" s="107"/>
      <c r="B306" s="133" t="s">
        <v>121</v>
      </c>
      <c r="C306" s="112" t="s">
        <v>89</v>
      </c>
      <c r="D306" s="112" t="s">
        <v>46</v>
      </c>
      <c r="E306" s="112" t="s">
        <v>122</v>
      </c>
      <c r="F306" s="109"/>
      <c r="G306" s="113">
        <f t="shared" si="8"/>
        <v>494.5</v>
      </c>
      <c r="H306" s="113"/>
      <c r="I306" s="113">
        <f>I307</f>
        <v>494.5</v>
      </c>
      <c r="J306" s="113"/>
      <c r="K306" s="113"/>
    </row>
    <row r="307" spans="1:11" ht="38.25">
      <c r="A307" s="107"/>
      <c r="B307" s="115" t="s">
        <v>123</v>
      </c>
      <c r="C307" s="112" t="s">
        <v>89</v>
      </c>
      <c r="D307" s="112" t="s">
        <v>46</v>
      </c>
      <c r="E307" s="112" t="s">
        <v>124</v>
      </c>
      <c r="F307" s="109"/>
      <c r="G307" s="113">
        <f t="shared" si="8"/>
        <v>494.5</v>
      </c>
      <c r="H307" s="113"/>
      <c r="I307" s="113">
        <f>I308</f>
        <v>494.5</v>
      </c>
      <c r="J307" s="113"/>
      <c r="K307" s="113"/>
    </row>
    <row r="308" spans="1:11" ht="12.75">
      <c r="A308" s="107"/>
      <c r="B308" s="133" t="s">
        <v>125</v>
      </c>
      <c r="C308" s="112" t="s">
        <v>89</v>
      </c>
      <c r="D308" s="112" t="s">
        <v>46</v>
      </c>
      <c r="E308" s="112" t="s">
        <v>124</v>
      </c>
      <c r="F308" s="112" t="s">
        <v>126</v>
      </c>
      <c r="G308" s="113">
        <f t="shared" si="8"/>
        <v>494.5</v>
      </c>
      <c r="H308" s="113"/>
      <c r="I308" s="113">
        <f>Лист2!J282</f>
        <v>494.5</v>
      </c>
      <c r="J308" s="113"/>
      <c r="K308" s="113"/>
    </row>
    <row r="309" spans="1:11" ht="25.5">
      <c r="A309" s="107"/>
      <c r="B309" s="158" t="s">
        <v>351</v>
      </c>
      <c r="C309" s="155" t="s">
        <v>89</v>
      </c>
      <c r="D309" s="155" t="s">
        <v>46</v>
      </c>
      <c r="E309" s="155" t="s">
        <v>352</v>
      </c>
      <c r="F309" s="155"/>
      <c r="G309" s="159">
        <f>G310</f>
        <v>4951.6</v>
      </c>
      <c r="H309" s="113"/>
      <c r="I309" s="113">
        <f>I310</f>
        <v>4951.6</v>
      </c>
      <c r="J309" s="113"/>
      <c r="K309" s="113"/>
    </row>
    <row r="310" spans="1:11" ht="12.75">
      <c r="A310" s="107"/>
      <c r="B310" s="158" t="s">
        <v>127</v>
      </c>
      <c r="C310" s="155" t="s">
        <v>89</v>
      </c>
      <c r="D310" s="155" t="s">
        <v>46</v>
      </c>
      <c r="E310" s="155" t="s">
        <v>353</v>
      </c>
      <c r="F310" s="155"/>
      <c r="G310" s="159">
        <f>G311</f>
        <v>4951.6</v>
      </c>
      <c r="H310" s="113"/>
      <c r="I310" s="113">
        <f>I311</f>
        <v>4951.6</v>
      </c>
      <c r="J310" s="113"/>
      <c r="K310" s="113"/>
    </row>
    <row r="311" spans="1:11" ht="12.75">
      <c r="A311" s="107"/>
      <c r="B311" s="140" t="s">
        <v>125</v>
      </c>
      <c r="C311" s="155" t="s">
        <v>89</v>
      </c>
      <c r="D311" s="155" t="s">
        <v>46</v>
      </c>
      <c r="E311" s="155" t="s">
        <v>353</v>
      </c>
      <c r="F311" s="155" t="s">
        <v>126</v>
      </c>
      <c r="G311" s="113">
        <f t="shared" si="8"/>
        <v>4951.6</v>
      </c>
      <c r="H311" s="113"/>
      <c r="I311" s="113">
        <f>Лист2!J285</f>
        <v>4951.6</v>
      </c>
      <c r="J311" s="113"/>
      <c r="K311" s="113"/>
    </row>
    <row r="312" spans="1:11" ht="15" customHeight="1">
      <c r="A312" s="107"/>
      <c r="B312" s="123" t="s">
        <v>104</v>
      </c>
      <c r="C312" s="112" t="s">
        <v>89</v>
      </c>
      <c r="D312" s="112" t="s">
        <v>46</v>
      </c>
      <c r="E312" s="112" t="s">
        <v>105</v>
      </c>
      <c r="F312" s="109"/>
      <c r="G312" s="113">
        <f t="shared" si="8"/>
        <v>72451.6</v>
      </c>
      <c r="H312" s="113"/>
      <c r="I312" s="113">
        <f>I313+I315</f>
        <v>72451.6</v>
      </c>
      <c r="J312" s="113"/>
      <c r="K312" s="113"/>
    </row>
    <row r="313" spans="1:11" ht="63.75">
      <c r="A313" s="107"/>
      <c r="B313" s="139" t="s">
        <v>332</v>
      </c>
      <c r="C313" s="155" t="s">
        <v>89</v>
      </c>
      <c r="D313" s="155" t="s">
        <v>46</v>
      </c>
      <c r="E313" s="155" t="s">
        <v>333</v>
      </c>
      <c r="F313" s="160"/>
      <c r="G313" s="113">
        <f t="shared" si="8"/>
        <v>19054</v>
      </c>
      <c r="H313" s="140"/>
      <c r="I313" s="140">
        <f>I314</f>
        <v>19054</v>
      </c>
      <c r="J313" s="133"/>
      <c r="K313" s="133"/>
    </row>
    <row r="314" spans="1:11" ht="15" customHeight="1">
      <c r="A314" s="107"/>
      <c r="B314" s="158" t="s">
        <v>125</v>
      </c>
      <c r="C314" s="155" t="s">
        <v>89</v>
      </c>
      <c r="D314" s="155" t="s">
        <v>46</v>
      </c>
      <c r="E314" s="155" t="s">
        <v>333</v>
      </c>
      <c r="F314" s="155" t="s">
        <v>126</v>
      </c>
      <c r="G314" s="140">
        <f t="shared" si="8"/>
        <v>19054</v>
      </c>
      <c r="H314" s="140"/>
      <c r="I314" s="140">
        <f>Лист2!J288</f>
        <v>19054</v>
      </c>
      <c r="J314" s="140"/>
      <c r="K314" s="140"/>
    </row>
    <row r="315" spans="1:11" ht="40.5" customHeight="1">
      <c r="A315" s="107"/>
      <c r="B315" s="158" t="s">
        <v>354</v>
      </c>
      <c r="C315" s="155" t="s">
        <v>89</v>
      </c>
      <c r="D315" s="155" t="s">
        <v>46</v>
      </c>
      <c r="E315" s="155" t="s">
        <v>344</v>
      </c>
      <c r="F315" s="155"/>
      <c r="G315" s="140">
        <f>SUM(H315:K315)</f>
        <v>53397.6</v>
      </c>
      <c r="H315" s="140"/>
      <c r="I315" s="140">
        <f>I316+I317</f>
        <v>53397.6</v>
      </c>
      <c r="J315" s="140"/>
      <c r="K315" s="140"/>
    </row>
    <row r="316" spans="1:11" ht="15" customHeight="1">
      <c r="A316" s="107"/>
      <c r="B316" s="158" t="s">
        <v>125</v>
      </c>
      <c r="C316" s="155" t="s">
        <v>89</v>
      </c>
      <c r="D316" s="155" t="s">
        <v>46</v>
      </c>
      <c r="E316" s="155" t="s">
        <v>344</v>
      </c>
      <c r="F316" s="155" t="s">
        <v>126</v>
      </c>
      <c r="G316" s="140">
        <f>SUM(H316:K316)</f>
        <v>46390.6</v>
      </c>
      <c r="H316" s="140"/>
      <c r="I316" s="140">
        <f>Лист2!J292</f>
        <v>46390.6</v>
      </c>
      <c r="J316" s="140"/>
      <c r="K316" s="140"/>
    </row>
    <row r="317" spans="1:11" ht="26.25" customHeight="1">
      <c r="A317" s="107"/>
      <c r="B317" s="158" t="s">
        <v>117</v>
      </c>
      <c r="C317" s="155" t="s">
        <v>89</v>
      </c>
      <c r="D317" s="155" t="s">
        <v>46</v>
      </c>
      <c r="E317" s="155" t="s">
        <v>344</v>
      </c>
      <c r="F317" s="155" t="s">
        <v>32</v>
      </c>
      <c r="G317" s="140">
        <f>SUM(H317:K317)</f>
        <v>7007</v>
      </c>
      <c r="H317" s="140"/>
      <c r="I317" s="140">
        <f>Лист2!J293</f>
        <v>7007</v>
      </c>
      <c r="J317" s="140"/>
      <c r="K317" s="140"/>
    </row>
    <row r="318" spans="1:11" ht="12.75">
      <c r="A318" s="161" t="s">
        <v>269</v>
      </c>
      <c r="B318" s="162" t="s">
        <v>92</v>
      </c>
      <c r="C318" s="160" t="s">
        <v>89</v>
      </c>
      <c r="D318" s="160" t="s">
        <v>48</v>
      </c>
      <c r="E318" s="160"/>
      <c r="F318" s="160"/>
      <c r="G318" s="163">
        <f>H318+I318+J318+K318</f>
        <v>7223.1</v>
      </c>
      <c r="H318" s="163">
        <f>H320</f>
        <v>0</v>
      </c>
      <c r="I318" s="163">
        <f>I320</f>
        <v>7223.1</v>
      </c>
      <c r="J318" s="163">
        <f>J320</f>
        <v>0</v>
      </c>
      <c r="K318" s="163">
        <f>K320</f>
        <v>0</v>
      </c>
    </row>
    <row r="319" spans="1:11" ht="51">
      <c r="A319" s="164"/>
      <c r="B319" s="158" t="s">
        <v>113</v>
      </c>
      <c r="C319" s="155" t="s">
        <v>89</v>
      </c>
      <c r="D319" s="155" t="s">
        <v>48</v>
      </c>
      <c r="E319" s="155" t="s">
        <v>114</v>
      </c>
      <c r="F319" s="160"/>
      <c r="G319" s="140">
        <f>H319+I319+J319+K319</f>
        <v>7223.1</v>
      </c>
      <c r="H319" s="163"/>
      <c r="I319" s="140">
        <f>I320</f>
        <v>7223.1</v>
      </c>
      <c r="J319" s="163"/>
      <c r="K319" s="163"/>
    </row>
    <row r="320" spans="1:11" ht="12.75">
      <c r="A320" s="164"/>
      <c r="B320" s="140" t="s">
        <v>115</v>
      </c>
      <c r="C320" s="155" t="s">
        <v>89</v>
      </c>
      <c r="D320" s="155" t="s">
        <v>48</v>
      </c>
      <c r="E320" s="155" t="s">
        <v>116</v>
      </c>
      <c r="F320" s="160"/>
      <c r="G320" s="140">
        <f>H320+I320+J320+K320</f>
        <v>7223.1</v>
      </c>
      <c r="H320" s="140"/>
      <c r="I320" s="140">
        <f>I321</f>
        <v>7223.1</v>
      </c>
      <c r="J320" s="140"/>
      <c r="K320" s="140"/>
    </row>
    <row r="321" spans="1:11" ht="25.5">
      <c r="A321" s="164"/>
      <c r="B321" s="158" t="s">
        <v>117</v>
      </c>
      <c r="C321" s="155" t="s">
        <v>89</v>
      </c>
      <c r="D321" s="155" t="s">
        <v>48</v>
      </c>
      <c r="E321" s="155" t="s">
        <v>116</v>
      </c>
      <c r="F321" s="155" t="s">
        <v>32</v>
      </c>
      <c r="G321" s="140">
        <f>H321+I321+J321+K321</f>
        <v>7223.1</v>
      </c>
      <c r="H321" s="140"/>
      <c r="I321" s="140">
        <f>Лист2!J297</f>
        <v>7223.1</v>
      </c>
      <c r="J321" s="140"/>
      <c r="K321" s="140"/>
    </row>
    <row r="322" spans="1:11" ht="14.25" customHeight="1">
      <c r="A322" s="41"/>
      <c r="B322" s="42" t="s">
        <v>0</v>
      </c>
      <c r="C322" s="43"/>
      <c r="D322" s="43"/>
      <c r="E322" s="43"/>
      <c r="F322" s="43"/>
      <c r="G322" s="44">
        <f>G10+G63+G83+G123+G179+G225+G252+G286</f>
        <v>3092046.8</v>
      </c>
      <c r="H322" s="45">
        <f>H10+H63+H83+H123+H179+H225+H252+H286</f>
        <v>1971328.2000000002</v>
      </c>
      <c r="I322" s="45">
        <f>I10+I63+I83+I123+I179+I225+I252+I286</f>
        <v>447759.69999999995</v>
      </c>
      <c r="J322" s="45">
        <f>J10+J63+J83+J123+J179+J225+J252+J286</f>
        <v>648152.8999999999</v>
      </c>
      <c r="K322" s="45">
        <f>K10+K63+K83+K123+K179+K225+K252+K286</f>
        <v>24806</v>
      </c>
    </row>
  </sheetData>
  <sheetProtection/>
  <mergeCells count="2">
    <mergeCell ref="A5:K5"/>
    <mergeCell ref="A6:K6"/>
  </mergeCells>
  <printOptions/>
  <pageMargins left="1.1811023622047245" right="0.5905511811023623" top="0.7874015748031497" bottom="0.7874015748031497" header="0.5118110236220472" footer="0.5118110236220472"/>
  <pageSetup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18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8" sqref="C8"/>
    </sheetView>
  </sheetViews>
  <sheetFormatPr defaultColWidth="9.140625" defaultRowHeight="12.75"/>
  <cols>
    <col min="1" max="1" width="3.57421875" style="0" customWidth="1"/>
    <col min="2" max="2" width="29.7109375" style="0" customWidth="1"/>
    <col min="3" max="3" width="4.421875" style="0" customWidth="1"/>
    <col min="4" max="4" width="4.8515625" style="0" customWidth="1"/>
    <col min="5" max="5" width="4.28125" style="0" customWidth="1"/>
    <col min="6" max="6" width="9.421875" style="0" customWidth="1"/>
    <col min="7" max="7" width="5.7109375" style="0" customWidth="1"/>
    <col min="8" max="8" width="10.8515625" style="0" customWidth="1"/>
    <col min="9" max="9" width="11.28125" style="0" customWidth="1"/>
    <col min="10" max="10" width="11.7109375" style="0" customWidth="1"/>
    <col min="11" max="11" width="11.140625" style="0" customWidth="1"/>
    <col min="12" max="12" width="11.421875" style="0" customWidth="1"/>
  </cols>
  <sheetData>
    <row r="1" spans="1:13" ht="12.75">
      <c r="A1" s="7"/>
      <c r="B1" s="7"/>
      <c r="C1" s="7"/>
      <c r="D1" s="7"/>
      <c r="E1" s="7"/>
      <c r="F1" s="7"/>
      <c r="G1" s="7"/>
      <c r="H1" s="25"/>
      <c r="I1" s="7"/>
      <c r="J1" s="227" t="s">
        <v>432</v>
      </c>
      <c r="K1" s="227"/>
      <c r="L1" s="227"/>
      <c r="M1" s="1"/>
    </row>
    <row r="2" spans="1:13" ht="12.75">
      <c r="A2" s="7"/>
      <c r="B2" s="7"/>
      <c r="C2" s="7"/>
      <c r="D2" s="7"/>
      <c r="E2" s="7"/>
      <c r="F2" s="7"/>
      <c r="G2" s="7"/>
      <c r="H2" s="7"/>
      <c r="I2" s="7"/>
      <c r="J2" s="227" t="s">
        <v>27</v>
      </c>
      <c r="K2" s="227"/>
      <c r="L2" s="227"/>
      <c r="M2" s="1"/>
    </row>
    <row r="3" spans="1:13" ht="12.75">
      <c r="A3" s="7"/>
      <c r="B3" s="7"/>
      <c r="C3" s="7"/>
      <c r="D3" s="7"/>
      <c r="E3" s="7"/>
      <c r="F3" s="7"/>
      <c r="G3" s="7"/>
      <c r="H3" s="7"/>
      <c r="I3" s="7"/>
      <c r="J3" s="227" t="s">
        <v>483</v>
      </c>
      <c r="K3" s="227"/>
      <c r="L3" s="227"/>
      <c r="M3" s="1"/>
    </row>
    <row r="4" spans="1:12" ht="9.75" customHeight="1">
      <c r="A4" s="7"/>
      <c r="B4" s="7"/>
      <c r="C4" s="7"/>
      <c r="D4" s="7"/>
      <c r="E4" s="7"/>
      <c r="F4" s="7"/>
      <c r="G4" s="7"/>
      <c r="H4" s="7"/>
      <c r="I4" s="26"/>
      <c r="J4" s="26"/>
      <c r="K4" s="26"/>
      <c r="L4" s="26"/>
    </row>
    <row r="5" spans="1:12" ht="15.75">
      <c r="A5" s="231" t="s">
        <v>324</v>
      </c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</row>
    <row r="6" spans="1:12" ht="15.75">
      <c r="A6" s="231" t="s">
        <v>26</v>
      </c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</row>
    <row r="7" spans="1:12" ht="12.75" customHeight="1">
      <c r="A7" s="27" t="s">
        <v>25</v>
      </c>
      <c r="B7" s="28"/>
      <c r="C7" s="28"/>
      <c r="D7" s="29"/>
      <c r="E7" s="29"/>
      <c r="F7" s="29"/>
      <c r="G7" s="29"/>
      <c r="H7" s="29"/>
      <c r="I7" s="30"/>
      <c r="J7" s="31"/>
      <c r="K7" s="30"/>
      <c r="L7" s="32" t="s">
        <v>24</v>
      </c>
    </row>
    <row r="8" spans="1:12" ht="114" customHeight="1">
      <c r="A8" s="33" t="s">
        <v>1</v>
      </c>
      <c r="B8" s="34" t="s">
        <v>15</v>
      </c>
      <c r="C8" s="35" t="s">
        <v>23</v>
      </c>
      <c r="D8" s="35" t="s">
        <v>19</v>
      </c>
      <c r="E8" s="35" t="s">
        <v>20</v>
      </c>
      <c r="F8" s="35" t="s">
        <v>21</v>
      </c>
      <c r="G8" s="35" t="s">
        <v>22</v>
      </c>
      <c r="H8" s="36" t="s">
        <v>16</v>
      </c>
      <c r="I8" s="36" t="s">
        <v>17</v>
      </c>
      <c r="J8" s="36" t="s">
        <v>18</v>
      </c>
      <c r="K8" s="36" t="s">
        <v>40</v>
      </c>
      <c r="L8" s="36" t="s">
        <v>34</v>
      </c>
    </row>
    <row r="9" spans="1:12" ht="12.75">
      <c r="A9" s="37">
        <v>1</v>
      </c>
      <c r="B9" s="37">
        <v>2</v>
      </c>
      <c r="C9" s="37">
        <v>3</v>
      </c>
      <c r="D9" s="37">
        <v>4</v>
      </c>
      <c r="E9" s="37">
        <v>5</v>
      </c>
      <c r="F9" s="37">
        <v>6</v>
      </c>
      <c r="G9" s="37">
        <v>7</v>
      </c>
      <c r="H9" s="37">
        <v>8</v>
      </c>
      <c r="I9" s="37">
        <v>9</v>
      </c>
      <c r="J9" s="37">
        <v>10</v>
      </c>
      <c r="K9" s="37">
        <v>11</v>
      </c>
      <c r="L9" s="37">
        <v>12</v>
      </c>
    </row>
    <row r="10" spans="1:12" ht="12.75">
      <c r="A10" s="117" t="s">
        <v>2</v>
      </c>
      <c r="B10" s="124" t="s">
        <v>28</v>
      </c>
      <c r="C10" s="165" t="s">
        <v>283</v>
      </c>
      <c r="D10" s="120"/>
      <c r="E10" s="120"/>
      <c r="F10" s="120"/>
      <c r="G10" s="120"/>
      <c r="H10" s="146">
        <f aca="true" t="shared" si="0" ref="H10:H64">I10+J10+K10+L10</f>
        <v>12176.6</v>
      </c>
      <c r="I10" s="133">
        <f>I11+I26</f>
        <v>12163</v>
      </c>
      <c r="J10" s="133">
        <f>J11+J26</f>
        <v>0</v>
      </c>
      <c r="K10" s="133">
        <f>K11+K26</f>
        <v>0</v>
      </c>
      <c r="L10" s="133">
        <f>L11+L26</f>
        <v>13.6</v>
      </c>
    </row>
    <row r="11" spans="1:12" ht="12.75">
      <c r="A11" s="121"/>
      <c r="B11" s="133" t="s">
        <v>41</v>
      </c>
      <c r="C11" s="123"/>
      <c r="D11" s="119" t="s">
        <v>42</v>
      </c>
      <c r="E11" s="119" t="s">
        <v>43</v>
      </c>
      <c r="F11" s="120"/>
      <c r="G11" s="120"/>
      <c r="H11" s="146">
        <f t="shared" si="0"/>
        <v>12154</v>
      </c>
      <c r="I11" s="133">
        <f>I12+I20</f>
        <v>12154</v>
      </c>
      <c r="J11" s="133">
        <f>J12+J20</f>
        <v>0</v>
      </c>
      <c r="K11" s="133">
        <f>K12+K20</f>
        <v>0</v>
      </c>
      <c r="L11" s="133">
        <f>L12+L20</f>
        <v>0</v>
      </c>
    </row>
    <row r="12" spans="1:12" ht="76.5">
      <c r="A12" s="121"/>
      <c r="B12" s="123" t="s">
        <v>220</v>
      </c>
      <c r="C12" s="123"/>
      <c r="D12" s="119" t="s">
        <v>42</v>
      </c>
      <c r="E12" s="119" t="s">
        <v>45</v>
      </c>
      <c r="F12" s="120"/>
      <c r="G12" s="120"/>
      <c r="H12" s="146">
        <f t="shared" si="0"/>
        <v>11538</v>
      </c>
      <c r="I12" s="133">
        <f>I13</f>
        <v>11538</v>
      </c>
      <c r="J12" s="133"/>
      <c r="K12" s="133"/>
      <c r="L12" s="133"/>
    </row>
    <row r="13" spans="1:12" ht="63.75">
      <c r="A13" s="121"/>
      <c r="B13" s="123" t="s">
        <v>113</v>
      </c>
      <c r="C13" s="123"/>
      <c r="D13" s="120" t="s">
        <v>42</v>
      </c>
      <c r="E13" s="120" t="s">
        <v>45</v>
      </c>
      <c r="F13" s="120" t="s">
        <v>114</v>
      </c>
      <c r="G13" s="120"/>
      <c r="H13" s="146">
        <f t="shared" si="0"/>
        <v>11538</v>
      </c>
      <c r="I13" s="133">
        <f>I15+I17+I19</f>
        <v>11538</v>
      </c>
      <c r="J13" s="133"/>
      <c r="K13" s="133"/>
      <c r="L13" s="133"/>
    </row>
    <row r="14" spans="1:12" ht="12.75">
      <c r="A14" s="121"/>
      <c r="B14" s="133" t="s">
        <v>115</v>
      </c>
      <c r="C14" s="123"/>
      <c r="D14" s="120" t="s">
        <v>42</v>
      </c>
      <c r="E14" s="120" t="s">
        <v>45</v>
      </c>
      <c r="F14" s="120" t="s">
        <v>116</v>
      </c>
      <c r="G14" s="120"/>
      <c r="H14" s="146">
        <f t="shared" si="0"/>
        <v>7320</v>
      </c>
      <c r="I14" s="133">
        <f>I15</f>
        <v>7320</v>
      </c>
      <c r="J14" s="133"/>
      <c r="K14" s="133"/>
      <c r="L14" s="133"/>
    </row>
    <row r="15" spans="1:12" ht="25.5">
      <c r="A15" s="121"/>
      <c r="B15" s="123" t="s">
        <v>117</v>
      </c>
      <c r="C15" s="123"/>
      <c r="D15" s="120" t="s">
        <v>42</v>
      </c>
      <c r="E15" s="120" t="s">
        <v>45</v>
      </c>
      <c r="F15" s="120" t="s">
        <v>116</v>
      </c>
      <c r="G15" s="120" t="s">
        <v>32</v>
      </c>
      <c r="H15" s="146">
        <f t="shared" si="0"/>
        <v>7320</v>
      </c>
      <c r="I15" s="133">
        <f>7695-7-368</f>
        <v>7320</v>
      </c>
      <c r="J15" s="133"/>
      <c r="K15" s="133"/>
      <c r="L15" s="133"/>
    </row>
    <row r="16" spans="1:12" ht="38.25">
      <c r="A16" s="121"/>
      <c r="B16" s="123" t="s">
        <v>221</v>
      </c>
      <c r="C16" s="123"/>
      <c r="D16" s="120" t="s">
        <v>42</v>
      </c>
      <c r="E16" s="120" t="s">
        <v>45</v>
      </c>
      <c r="F16" s="120" t="s">
        <v>222</v>
      </c>
      <c r="G16" s="120"/>
      <c r="H16" s="146">
        <f t="shared" si="0"/>
        <v>2395</v>
      </c>
      <c r="I16" s="133">
        <f>I17</f>
        <v>2395</v>
      </c>
      <c r="J16" s="133"/>
      <c r="K16" s="133"/>
      <c r="L16" s="133"/>
    </row>
    <row r="17" spans="1:12" ht="25.5">
      <c r="A17" s="121"/>
      <c r="B17" s="123" t="s">
        <v>117</v>
      </c>
      <c r="C17" s="123"/>
      <c r="D17" s="120" t="s">
        <v>42</v>
      </c>
      <c r="E17" s="120" t="s">
        <v>45</v>
      </c>
      <c r="F17" s="120" t="s">
        <v>222</v>
      </c>
      <c r="G17" s="120" t="s">
        <v>32</v>
      </c>
      <c r="H17" s="146">
        <f t="shared" si="0"/>
        <v>2395</v>
      </c>
      <c r="I17" s="133">
        <f>2464-69</f>
        <v>2395</v>
      </c>
      <c r="J17" s="133"/>
      <c r="K17" s="133"/>
      <c r="L17" s="133"/>
    </row>
    <row r="18" spans="1:12" ht="25.5" customHeight="1">
      <c r="A18" s="121"/>
      <c r="B18" s="123" t="s">
        <v>223</v>
      </c>
      <c r="C18" s="123"/>
      <c r="D18" s="120" t="s">
        <v>42</v>
      </c>
      <c r="E18" s="120" t="s">
        <v>45</v>
      </c>
      <c r="F18" s="120" t="s">
        <v>224</v>
      </c>
      <c r="G18" s="120"/>
      <c r="H18" s="146">
        <f t="shared" si="0"/>
        <v>1823</v>
      </c>
      <c r="I18" s="133">
        <f>I19</f>
        <v>1823</v>
      </c>
      <c r="J18" s="133"/>
      <c r="K18" s="133"/>
      <c r="L18" s="133"/>
    </row>
    <row r="19" spans="1:12" ht="25.5">
      <c r="A19" s="121"/>
      <c r="B19" s="123" t="s">
        <v>117</v>
      </c>
      <c r="C19" s="123"/>
      <c r="D19" s="120" t="s">
        <v>42</v>
      </c>
      <c r="E19" s="120" t="s">
        <v>45</v>
      </c>
      <c r="F19" s="120" t="s">
        <v>224</v>
      </c>
      <c r="G19" s="120" t="s">
        <v>32</v>
      </c>
      <c r="H19" s="146">
        <f t="shared" si="0"/>
        <v>1823</v>
      </c>
      <c r="I19" s="133">
        <f>1931-108</f>
        <v>1823</v>
      </c>
      <c r="J19" s="133"/>
      <c r="K19" s="133"/>
      <c r="L19" s="133"/>
    </row>
    <row r="20" spans="1:12" ht="25.5">
      <c r="A20" s="121"/>
      <c r="B20" s="123" t="s">
        <v>52</v>
      </c>
      <c r="C20" s="123"/>
      <c r="D20" s="119" t="s">
        <v>42</v>
      </c>
      <c r="E20" s="119" t="s">
        <v>232</v>
      </c>
      <c r="F20" s="120"/>
      <c r="G20" s="120"/>
      <c r="H20" s="146">
        <f aca="true" t="shared" si="1" ref="H20:H32">I20+J20+K20+L20</f>
        <v>616</v>
      </c>
      <c r="I20" s="133">
        <f>I21+I24</f>
        <v>616</v>
      </c>
      <c r="J20" s="133"/>
      <c r="K20" s="133"/>
      <c r="L20" s="133"/>
    </row>
    <row r="21" spans="1:12" ht="51">
      <c r="A21" s="121"/>
      <c r="B21" s="166" t="s">
        <v>325</v>
      </c>
      <c r="C21" s="123"/>
      <c r="D21" s="120" t="s">
        <v>42</v>
      </c>
      <c r="E21" s="120" t="s">
        <v>232</v>
      </c>
      <c r="F21" s="167" t="s">
        <v>461</v>
      </c>
      <c r="G21" s="120"/>
      <c r="H21" s="146">
        <f t="shared" si="0"/>
        <v>536</v>
      </c>
      <c r="I21" s="133">
        <f>I22</f>
        <v>536</v>
      </c>
      <c r="J21" s="133"/>
      <c r="K21" s="133"/>
      <c r="L21" s="133"/>
    </row>
    <row r="22" spans="1:12" ht="25.5">
      <c r="A22" s="121"/>
      <c r="B22" s="150" t="s">
        <v>462</v>
      </c>
      <c r="C22" s="123"/>
      <c r="D22" s="120" t="s">
        <v>42</v>
      </c>
      <c r="E22" s="120" t="s">
        <v>232</v>
      </c>
      <c r="F22" s="167" t="s">
        <v>463</v>
      </c>
      <c r="G22" s="120"/>
      <c r="H22" s="146">
        <f t="shared" si="0"/>
        <v>536</v>
      </c>
      <c r="I22" s="133">
        <f>I23</f>
        <v>536</v>
      </c>
      <c r="J22" s="133"/>
      <c r="K22" s="133"/>
      <c r="L22" s="133"/>
    </row>
    <row r="23" spans="1:12" ht="25.5">
      <c r="A23" s="121"/>
      <c r="B23" s="123" t="s">
        <v>117</v>
      </c>
      <c r="C23" s="123"/>
      <c r="D23" s="120" t="s">
        <v>42</v>
      </c>
      <c r="E23" s="120" t="s">
        <v>232</v>
      </c>
      <c r="F23" s="120" t="s">
        <v>463</v>
      </c>
      <c r="G23" s="120" t="s">
        <v>32</v>
      </c>
      <c r="H23" s="146">
        <f t="shared" si="0"/>
        <v>536</v>
      </c>
      <c r="I23" s="133">
        <f>536</f>
        <v>536</v>
      </c>
      <c r="J23" s="133"/>
      <c r="K23" s="133"/>
      <c r="L23" s="133"/>
    </row>
    <row r="24" spans="1:12" ht="25.5">
      <c r="A24" s="121"/>
      <c r="B24" s="123" t="s">
        <v>109</v>
      </c>
      <c r="C24" s="165"/>
      <c r="D24" s="120" t="s">
        <v>42</v>
      </c>
      <c r="E24" s="120" t="s">
        <v>232</v>
      </c>
      <c r="F24" s="120" t="s">
        <v>110</v>
      </c>
      <c r="G24" s="120"/>
      <c r="H24" s="146">
        <f t="shared" si="1"/>
        <v>80</v>
      </c>
      <c r="I24" s="133">
        <f>I25</f>
        <v>80</v>
      </c>
      <c r="J24" s="142"/>
      <c r="K24" s="133"/>
      <c r="L24" s="133"/>
    </row>
    <row r="25" spans="1:12" ht="25.5">
      <c r="A25" s="121"/>
      <c r="B25" s="136" t="s">
        <v>117</v>
      </c>
      <c r="C25" s="165"/>
      <c r="D25" s="120" t="s">
        <v>42</v>
      </c>
      <c r="E25" s="120" t="s">
        <v>232</v>
      </c>
      <c r="F25" s="120" t="s">
        <v>110</v>
      </c>
      <c r="G25" s="120" t="s">
        <v>32</v>
      </c>
      <c r="H25" s="146">
        <f t="shared" si="1"/>
        <v>80</v>
      </c>
      <c r="I25" s="133">
        <v>80</v>
      </c>
      <c r="J25" s="142"/>
      <c r="K25" s="133"/>
      <c r="L25" s="133"/>
    </row>
    <row r="26" spans="1:12" ht="12.75">
      <c r="A26" s="121"/>
      <c r="B26" s="133" t="s">
        <v>245</v>
      </c>
      <c r="C26" s="165"/>
      <c r="D26" s="119" t="s">
        <v>46</v>
      </c>
      <c r="E26" s="119" t="s">
        <v>43</v>
      </c>
      <c r="F26" s="119"/>
      <c r="G26" s="119"/>
      <c r="H26" s="146">
        <f t="shared" si="1"/>
        <v>22.6</v>
      </c>
      <c r="I26" s="146">
        <f>I27+I31</f>
        <v>9</v>
      </c>
      <c r="J26" s="146">
        <f>J27+J31</f>
        <v>0</v>
      </c>
      <c r="K26" s="146">
        <f>K27+K31</f>
        <v>0</v>
      </c>
      <c r="L26" s="146">
        <f>L27+L31</f>
        <v>13.6</v>
      </c>
    </row>
    <row r="27" spans="1:12" ht="12.75">
      <c r="A27" s="121"/>
      <c r="B27" s="168" t="s">
        <v>445</v>
      </c>
      <c r="C27" s="165"/>
      <c r="D27" s="119" t="s">
        <v>46</v>
      </c>
      <c r="E27" s="119" t="s">
        <v>42</v>
      </c>
      <c r="F27" s="119"/>
      <c r="G27" s="119"/>
      <c r="H27" s="146">
        <f t="shared" si="1"/>
        <v>13.6</v>
      </c>
      <c r="I27" s="133">
        <v>0</v>
      </c>
      <c r="J27" s="133">
        <v>0</v>
      </c>
      <c r="K27" s="133">
        <f>K28+K36</f>
        <v>0</v>
      </c>
      <c r="L27" s="133">
        <f>L28+L36</f>
        <v>13.6</v>
      </c>
    </row>
    <row r="28" spans="1:12" ht="17.25" customHeight="1">
      <c r="A28" s="121"/>
      <c r="B28" s="115" t="s">
        <v>175</v>
      </c>
      <c r="C28" s="169"/>
      <c r="D28" s="120" t="s">
        <v>46</v>
      </c>
      <c r="E28" s="120" t="s">
        <v>42</v>
      </c>
      <c r="F28" s="120" t="s">
        <v>176</v>
      </c>
      <c r="G28" s="120"/>
      <c r="H28" s="146">
        <f t="shared" si="1"/>
        <v>13.6</v>
      </c>
      <c r="I28" s="133"/>
      <c r="J28" s="133"/>
      <c r="K28" s="133"/>
      <c r="L28" s="133">
        <f>L29</f>
        <v>13.6</v>
      </c>
    </row>
    <row r="29" spans="1:12" ht="25.5">
      <c r="A29" s="121"/>
      <c r="B29" s="127" t="s">
        <v>443</v>
      </c>
      <c r="C29" s="169"/>
      <c r="D29" s="120" t="s">
        <v>46</v>
      </c>
      <c r="E29" s="120" t="s">
        <v>42</v>
      </c>
      <c r="F29" s="120" t="s">
        <v>444</v>
      </c>
      <c r="G29" s="120"/>
      <c r="H29" s="146">
        <f t="shared" si="1"/>
        <v>13.6</v>
      </c>
      <c r="I29" s="133"/>
      <c r="J29" s="133"/>
      <c r="K29" s="133"/>
      <c r="L29" s="133">
        <f>L30</f>
        <v>13.6</v>
      </c>
    </row>
    <row r="30" spans="1:12" ht="25.5">
      <c r="A30" s="121"/>
      <c r="B30" s="123" t="s">
        <v>117</v>
      </c>
      <c r="C30" s="169"/>
      <c r="D30" s="120" t="s">
        <v>46</v>
      </c>
      <c r="E30" s="120" t="s">
        <v>42</v>
      </c>
      <c r="F30" s="120" t="s">
        <v>444</v>
      </c>
      <c r="G30" s="120" t="s">
        <v>32</v>
      </c>
      <c r="H30" s="146">
        <f t="shared" si="1"/>
        <v>13.6</v>
      </c>
      <c r="I30" s="133"/>
      <c r="J30" s="133"/>
      <c r="K30" s="133"/>
      <c r="L30" s="133">
        <f>3.5+2.3+5.8+2</f>
        <v>13.6</v>
      </c>
    </row>
    <row r="31" spans="1:12" ht="12.75">
      <c r="A31" s="121"/>
      <c r="B31" s="115" t="s">
        <v>336</v>
      </c>
      <c r="C31" s="169"/>
      <c r="D31" s="119" t="s">
        <v>46</v>
      </c>
      <c r="E31" s="119" t="s">
        <v>89</v>
      </c>
      <c r="F31" s="120"/>
      <c r="G31" s="120"/>
      <c r="H31" s="146">
        <f t="shared" si="1"/>
        <v>9</v>
      </c>
      <c r="I31" s="133">
        <f>I32</f>
        <v>9</v>
      </c>
      <c r="J31" s="133"/>
      <c r="K31" s="133"/>
      <c r="L31" s="133"/>
    </row>
    <row r="32" spans="1:12" ht="25.5">
      <c r="A32" s="121"/>
      <c r="B32" s="170" t="s">
        <v>436</v>
      </c>
      <c r="C32" s="169"/>
      <c r="D32" s="120" t="s">
        <v>46</v>
      </c>
      <c r="E32" s="120" t="s">
        <v>89</v>
      </c>
      <c r="F32" s="151" t="s">
        <v>437</v>
      </c>
      <c r="G32" s="120"/>
      <c r="H32" s="146">
        <f t="shared" si="1"/>
        <v>9</v>
      </c>
      <c r="I32" s="133">
        <f>I33</f>
        <v>9</v>
      </c>
      <c r="J32" s="133"/>
      <c r="K32" s="133"/>
      <c r="L32" s="133"/>
    </row>
    <row r="33" spans="1:12" ht="51">
      <c r="A33" s="135"/>
      <c r="B33" s="150" t="s">
        <v>479</v>
      </c>
      <c r="C33" s="169"/>
      <c r="D33" s="120" t="s">
        <v>46</v>
      </c>
      <c r="E33" s="120" t="s">
        <v>89</v>
      </c>
      <c r="F33" s="151" t="s">
        <v>480</v>
      </c>
      <c r="G33" s="120"/>
      <c r="H33" s="146">
        <f>I33+J33+K33+L33</f>
        <v>9</v>
      </c>
      <c r="I33" s="133">
        <f>I34</f>
        <v>9</v>
      </c>
      <c r="J33" s="133"/>
      <c r="K33" s="133"/>
      <c r="L33" s="133"/>
    </row>
    <row r="34" spans="1:12" ht="25.5">
      <c r="A34" s="121"/>
      <c r="B34" s="136" t="s">
        <v>117</v>
      </c>
      <c r="C34" s="169"/>
      <c r="D34" s="120" t="s">
        <v>46</v>
      </c>
      <c r="E34" s="120" t="s">
        <v>89</v>
      </c>
      <c r="F34" s="151" t="s">
        <v>480</v>
      </c>
      <c r="G34" s="120" t="s">
        <v>32</v>
      </c>
      <c r="H34" s="146">
        <f>I34+J34+K34+L34</f>
        <v>9</v>
      </c>
      <c r="I34" s="133">
        <v>9</v>
      </c>
      <c r="J34" s="133"/>
      <c r="K34" s="133"/>
      <c r="L34" s="133"/>
    </row>
    <row r="35" spans="1:12" ht="12.75">
      <c r="A35" s="185" t="s">
        <v>5</v>
      </c>
      <c r="B35" s="186" t="s">
        <v>33</v>
      </c>
      <c r="C35" s="200" t="s">
        <v>284</v>
      </c>
      <c r="D35" s="187"/>
      <c r="E35" s="187"/>
      <c r="F35" s="187"/>
      <c r="G35" s="187"/>
      <c r="H35" s="189">
        <f t="shared" si="0"/>
        <v>773227.5000000001</v>
      </c>
      <c r="I35" s="189">
        <f>I36+I70+I75+I106+I129+I153+I180+I188</f>
        <v>464691.2</v>
      </c>
      <c r="J35" s="189">
        <f>J36+J70+J75+J106+J129+J153+J180+J188</f>
        <v>26208</v>
      </c>
      <c r="K35" s="189">
        <f>K36+K70+K75+K106+K129+K153+K180+K188</f>
        <v>274447.4</v>
      </c>
      <c r="L35" s="189">
        <f>L36+L70+L75+L106+L129+L153+L180+L188</f>
        <v>7880.9</v>
      </c>
    </row>
    <row r="36" spans="1:12" ht="12.75">
      <c r="A36" s="121"/>
      <c r="B36" s="133" t="s">
        <v>41</v>
      </c>
      <c r="C36" s="123"/>
      <c r="D36" s="119" t="s">
        <v>42</v>
      </c>
      <c r="E36" s="119" t="s">
        <v>43</v>
      </c>
      <c r="F36" s="119"/>
      <c r="G36" s="119"/>
      <c r="H36" s="146">
        <f t="shared" si="0"/>
        <v>167373</v>
      </c>
      <c r="I36" s="146">
        <f>I37+I41+I45+I49</f>
        <v>157017.9</v>
      </c>
      <c r="J36" s="146">
        <f>J37+J41+J45+J49</f>
        <v>10355.099999999999</v>
      </c>
      <c r="K36" s="146">
        <f>K37+K41+K45+K49</f>
        <v>0</v>
      </c>
      <c r="L36" s="146">
        <f>L37+L41+L45+L49</f>
        <v>0</v>
      </c>
    </row>
    <row r="37" spans="1:12" ht="51">
      <c r="A37" s="121"/>
      <c r="B37" s="123" t="s">
        <v>241</v>
      </c>
      <c r="C37" s="165"/>
      <c r="D37" s="119" t="s">
        <v>42</v>
      </c>
      <c r="E37" s="119" t="s">
        <v>44</v>
      </c>
      <c r="F37" s="119"/>
      <c r="G37" s="119"/>
      <c r="H37" s="146">
        <f t="shared" si="0"/>
        <v>2466.5</v>
      </c>
      <c r="I37" s="146">
        <f>I38</f>
        <v>2466.5</v>
      </c>
      <c r="J37" s="146">
        <f>J38</f>
        <v>0</v>
      </c>
      <c r="K37" s="146">
        <f>K38</f>
        <v>0</v>
      </c>
      <c r="L37" s="146">
        <f>L38</f>
        <v>0</v>
      </c>
    </row>
    <row r="38" spans="1:12" ht="63.75">
      <c r="A38" s="121"/>
      <c r="B38" s="123" t="s">
        <v>113</v>
      </c>
      <c r="C38" s="165"/>
      <c r="D38" s="120" t="s">
        <v>42</v>
      </c>
      <c r="E38" s="120" t="s">
        <v>44</v>
      </c>
      <c r="F38" s="120" t="s">
        <v>114</v>
      </c>
      <c r="G38" s="119"/>
      <c r="H38" s="146">
        <f t="shared" si="0"/>
        <v>2466.5</v>
      </c>
      <c r="I38" s="133">
        <f>I39</f>
        <v>2466.5</v>
      </c>
      <c r="J38" s="133"/>
      <c r="K38" s="133"/>
      <c r="L38" s="133"/>
    </row>
    <row r="39" spans="1:12" ht="12.75">
      <c r="A39" s="121"/>
      <c r="B39" s="133" t="s">
        <v>216</v>
      </c>
      <c r="C39" s="165"/>
      <c r="D39" s="120" t="s">
        <v>42</v>
      </c>
      <c r="E39" s="120" t="s">
        <v>44</v>
      </c>
      <c r="F39" s="120" t="s">
        <v>217</v>
      </c>
      <c r="G39" s="119"/>
      <c r="H39" s="146">
        <f t="shared" si="0"/>
        <v>2466.5</v>
      </c>
      <c r="I39" s="133">
        <f>I40</f>
        <v>2466.5</v>
      </c>
      <c r="J39" s="133"/>
      <c r="K39" s="133"/>
      <c r="L39" s="133"/>
    </row>
    <row r="40" spans="1:12" ht="25.5">
      <c r="A40" s="121"/>
      <c r="B40" s="123" t="s">
        <v>117</v>
      </c>
      <c r="C40" s="165"/>
      <c r="D40" s="120" t="s">
        <v>42</v>
      </c>
      <c r="E40" s="120" t="s">
        <v>44</v>
      </c>
      <c r="F40" s="120" t="s">
        <v>217</v>
      </c>
      <c r="G40" s="120" t="s">
        <v>32</v>
      </c>
      <c r="H40" s="146">
        <f t="shared" si="0"/>
        <v>2466.5</v>
      </c>
      <c r="I40" s="133">
        <f>2546-79.5</f>
        <v>2466.5</v>
      </c>
      <c r="J40" s="133"/>
      <c r="K40" s="133"/>
      <c r="L40" s="133"/>
    </row>
    <row r="41" spans="1:12" ht="76.5">
      <c r="A41" s="121"/>
      <c r="B41" s="123" t="s">
        <v>242</v>
      </c>
      <c r="C41" s="165"/>
      <c r="D41" s="119" t="s">
        <v>42</v>
      </c>
      <c r="E41" s="119" t="s">
        <v>46</v>
      </c>
      <c r="F41" s="120"/>
      <c r="G41" s="120"/>
      <c r="H41" s="146">
        <f t="shared" si="0"/>
        <v>132912.1</v>
      </c>
      <c r="I41" s="146">
        <f>I42</f>
        <v>132912.1</v>
      </c>
      <c r="J41" s="146">
        <f>J42</f>
        <v>0</v>
      </c>
      <c r="K41" s="146">
        <f>K42</f>
        <v>0</v>
      </c>
      <c r="L41" s="146">
        <f>L42</f>
        <v>0</v>
      </c>
    </row>
    <row r="42" spans="1:12" ht="63.75">
      <c r="A42" s="190"/>
      <c r="B42" s="191" t="s">
        <v>113</v>
      </c>
      <c r="C42" s="200"/>
      <c r="D42" s="188" t="s">
        <v>42</v>
      </c>
      <c r="E42" s="188" t="s">
        <v>46</v>
      </c>
      <c r="F42" s="188" t="s">
        <v>114</v>
      </c>
      <c r="G42" s="188"/>
      <c r="H42" s="189">
        <f t="shared" si="0"/>
        <v>132912.1</v>
      </c>
      <c r="I42" s="192">
        <f>I43</f>
        <v>132912.1</v>
      </c>
      <c r="J42" s="192"/>
      <c r="K42" s="192"/>
      <c r="L42" s="192"/>
    </row>
    <row r="43" spans="1:12" ht="12.75">
      <c r="A43" s="121"/>
      <c r="B43" s="133" t="s">
        <v>115</v>
      </c>
      <c r="C43" s="165"/>
      <c r="D43" s="120" t="s">
        <v>42</v>
      </c>
      <c r="E43" s="120" t="s">
        <v>46</v>
      </c>
      <c r="F43" s="120" t="s">
        <v>116</v>
      </c>
      <c r="G43" s="120"/>
      <c r="H43" s="146">
        <f t="shared" si="0"/>
        <v>132912.1</v>
      </c>
      <c r="I43" s="133">
        <f>I44</f>
        <v>132912.1</v>
      </c>
      <c r="J43" s="133"/>
      <c r="K43" s="133"/>
      <c r="L43" s="133"/>
    </row>
    <row r="44" spans="1:12" ht="24.75" customHeight="1">
      <c r="A44" s="121"/>
      <c r="B44" s="123" t="s">
        <v>117</v>
      </c>
      <c r="C44" s="165"/>
      <c r="D44" s="120" t="s">
        <v>42</v>
      </c>
      <c r="E44" s="120" t="s">
        <v>46</v>
      </c>
      <c r="F44" s="120" t="s">
        <v>116</v>
      </c>
      <c r="G44" s="120" t="s">
        <v>32</v>
      </c>
      <c r="H44" s="146">
        <f t="shared" si="0"/>
        <v>132912.1</v>
      </c>
      <c r="I44" s="133">
        <f>133532+500-477+2892-91-0.8-5902.7+1506+953.6</f>
        <v>132912.1</v>
      </c>
      <c r="J44" s="133"/>
      <c r="K44" s="133"/>
      <c r="L44" s="133"/>
    </row>
    <row r="45" spans="1:12" ht="24.75" customHeight="1">
      <c r="A45" s="121"/>
      <c r="B45" s="122" t="s">
        <v>345</v>
      </c>
      <c r="C45" s="165"/>
      <c r="D45" s="119" t="s">
        <v>42</v>
      </c>
      <c r="E45" s="119" t="s">
        <v>50</v>
      </c>
      <c r="F45" s="120"/>
      <c r="G45" s="120"/>
      <c r="H45" s="146">
        <f t="shared" si="0"/>
        <v>395</v>
      </c>
      <c r="I45" s="133">
        <f>I46</f>
        <v>395</v>
      </c>
      <c r="J45" s="133"/>
      <c r="K45" s="133"/>
      <c r="L45" s="133"/>
    </row>
    <row r="46" spans="1:12" ht="24.75" customHeight="1">
      <c r="A46" s="121"/>
      <c r="B46" s="122" t="s">
        <v>346</v>
      </c>
      <c r="C46" s="165"/>
      <c r="D46" s="120" t="s">
        <v>42</v>
      </c>
      <c r="E46" s="120" t="s">
        <v>50</v>
      </c>
      <c r="F46" s="120" t="s">
        <v>348</v>
      </c>
      <c r="G46" s="120"/>
      <c r="H46" s="146">
        <f t="shared" si="0"/>
        <v>395</v>
      </c>
      <c r="I46" s="133">
        <f>I47</f>
        <v>395</v>
      </c>
      <c r="J46" s="133"/>
      <c r="K46" s="133"/>
      <c r="L46" s="133"/>
    </row>
    <row r="47" spans="1:12" ht="24.75" customHeight="1">
      <c r="A47" s="121"/>
      <c r="B47" s="122" t="s">
        <v>347</v>
      </c>
      <c r="C47" s="165"/>
      <c r="D47" s="120" t="s">
        <v>42</v>
      </c>
      <c r="E47" s="120" t="s">
        <v>50</v>
      </c>
      <c r="F47" s="120" t="s">
        <v>349</v>
      </c>
      <c r="G47" s="120"/>
      <c r="H47" s="146">
        <f t="shared" si="0"/>
        <v>395</v>
      </c>
      <c r="I47" s="133">
        <f>I48</f>
        <v>395</v>
      </c>
      <c r="J47" s="133"/>
      <c r="K47" s="133"/>
      <c r="L47" s="133"/>
    </row>
    <row r="48" spans="1:12" ht="24.75" customHeight="1">
      <c r="A48" s="121"/>
      <c r="B48" s="123" t="s">
        <v>117</v>
      </c>
      <c r="C48" s="165"/>
      <c r="D48" s="120" t="s">
        <v>42</v>
      </c>
      <c r="E48" s="120" t="s">
        <v>50</v>
      </c>
      <c r="F48" s="120" t="s">
        <v>349</v>
      </c>
      <c r="G48" s="120" t="s">
        <v>32</v>
      </c>
      <c r="H48" s="146">
        <f t="shared" si="0"/>
        <v>395</v>
      </c>
      <c r="I48" s="133">
        <v>395</v>
      </c>
      <c r="J48" s="133"/>
      <c r="K48" s="133"/>
      <c r="L48" s="133"/>
    </row>
    <row r="49" spans="1:12" ht="25.5">
      <c r="A49" s="121"/>
      <c r="B49" s="123" t="s">
        <v>52</v>
      </c>
      <c r="C49" s="165"/>
      <c r="D49" s="119" t="s">
        <v>42</v>
      </c>
      <c r="E49" s="119" t="s">
        <v>232</v>
      </c>
      <c r="F49" s="119"/>
      <c r="G49" s="119"/>
      <c r="H49" s="146">
        <f t="shared" si="0"/>
        <v>31599.399999999998</v>
      </c>
      <c r="I49" s="146">
        <f>I50+I55+I58+I65+I68</f>
        <v>21244.3</v>
      </c>
      <c r="J49" s="146">
        <f>J50+J55+J58+J65+J68</f>
        <v>10355.099999999999</v>
      </c>
      <c r="K49" s="146">
        <f>K50+K55+K58+K65+K68</f>
        <v>0</v>
      </c>
      <c r="L49" s="146">
        <f>L50+L55+L58+L65+L68</f>
        <v>0</v>
      </c>
    </row>
    <row r="50" spans="1:12" ht="25.5">
      <c r="A50" s="121"/>
      <c r="B50" s="123" t="s">
        <v>243</v>
      </c>
      <c r="C50" s="165"/>
      <c r="D50" s="120" t="s">
        <v>42</v>
      </c>
      <c r="E50" s="120" t="s">
        <v>232</v>
      </c>
      <c r="F50" s="120" t="s">
        <v>208</v>
      </c>
      <c r="G50" s="119"/>
      <c r="H50" s="146">
        <f t="shared" si="0"/>
        <v>5031.7</v>
      </c>
      <c r="I50" s="133"/>
      <c r="J50" s="133">
        <f>J51</f>
        <v>5031.7</v>
      </c>
      <c r="K50" s="133"/>
      <c r="L50" s="133"/>
    </row>
    <row r="51" spans="1:12" ht="25.5">
      <c r="A51" s="121"/>
      <c r="B51" s="123" t="s">
        <v>233</v>
      </c>
      <c r="C51" s="165"/>
      <c r="D51" s="120" t="s">
        <v>42</v>
      </c>
      <c r="E51" s="120" t="s">
        <v>232</v>
      </c>
      <c r="F51" s="120" t="s">
        <v>234</v>
      </c>
      <c r="G51" s="119"/>
      <c r="H51" s="146">
        <f t="shared" si="0"/>
        <v>5031.7</v>
      </c>
      <c r="I51" s="133"/>
      <c r="J51" s="133">
        <f>J52</f>
        <v>5031.7</v>
      </c>
      <c r="K51" s="133"/>
      <c r="L51" s="133"/>
    </row>
    <row r="52" spans="1:12" ht="25.5">
      <c r="A52" s="121"/>
      <c r="B52" s="171" t="s">
        <v>117</v>
      </c>
      <c r="C52" s="165"/>
      <c r="D52" s="120" t="s">
        <v>42</v>
      </c>
      <c r="E52" s="120" t="s">
        <v>232</v>
      </c>
      <c r="F52" s="120" t="s">
        <v>234</v>
      </c>
      <c r="G52" s="120" t="s">
        <v>32</v>
      </c>
      <c r="H52" s="146">
        <f t="shared" si="0"/>
        <v>5031.7</v>
      </c>
      <c r="I52" s="133"/>
      <c r="J52" s="142">
        <f>J53+J54</f>
        <v>5031.7</v>
      </c>
      <c r="K52" s="133"/>
      <c r="L52" s="133"/>
    </row>
    <row r="53" spans="1:12" ht="12.75">
      <c r="A53" s="121"/>
      <c r="B53" s="171" t="s">
        <v>273</v>
      </c>
      <c r="C53" s="165"/>
      <c r="D53" s="120" t="s">
        <v>42</v>
      </c>
      <c r="E53" s="120" t="s">
        <v>232</v>
      </c>
      <c r="F53" s="120" t="s">
        <v>312</v>
      </c>
      <c r="G53" s="120" t="s">
        <v>32</v>
      </c>
      <c r="H53" s="146">
        <f t="shared" si="0"/>
        <v>4219</v>
      </c>
      <c r="I53" s="133"/>
      <c r="J53" s="142">
        <f>3919+300</f>
        <v>4219</v>
      </c>
      <c r="K53" s="133"/>
      <c r="L53" s="133"/>
    </row>
    <row r="54" spans="1:12" ht="12.75">
      <c r="A54" s="121"/>
      <c r="B54" s="171" t="s">
        <v>275</v>
      </c>
      <c r="C54" s="165"/>
      <c r="D54" s="120" t="s">
        <v>42</v>
      </c>
      <c r="E54" s="120" t="s">
        <v>232</v>
      </c>
      <c r="F54" s="120" t="s">
        <v>313</v>
      </c>
      <c r="G54" s="120" t="s">
        <v>32</v>
      </c>
      <c r="H54" s="146">
        <f t="shared" si="0"/>
        <v>812.7</v>
      </c>
      <c r="I54" s="133"/>
      <c r="J54" s="142">
        <v>812.7</v>
      </c>
      <c r="K54" s="133"/>
      <c r="L54" s="133"/>
    </row>
    <row r="55" spans="1:12" ht="36" customHeight="1">
      <c r="A55" s="121"/>
      <c r="B55" s="123" t="s">
        <v>113</v>
      </c>
      <c r="C55" s="165"/>
      <c r="D55" s="120" t="s">
        <v>42</v>
      </c>
      <c r="E55" s="120" t="s">
        <v>232</v>
      </c>
      <c r="F55" s="120" t="s">
        <v>114</v>
      </c>
      <c r="G55" s="119"/>
      <c r="H55" s="146">
        <f t="shared" si="0"/>
        <v>5194.4</v>
      </c>
      <c r="I55" s="133"/>
      <c r="J55" s="133">
        <f>J56</f>
        <v>5194.4</v>
      </c>
      <c r="K55" s="133"/>
      <c r="L55" s="133"/>
    </row>
    <row r="56" spans="1:12" ht="12.75">
      <c r="A56" s="121"/>
      <c r="B56" s="133" t="s">
        <v>115</v>
      </c>
      <c r="C56" s="165"/>
      <c r="D56" s="120" t="s">
        <v>42</v>
      </c>
      <c r="E56" s="120" t="s">
        <v>232</v>
      </c>
      <c r="F56" s="120" t="s">
        <v>116</v>
      </c>
      <c r="G56" s="119"/>
      <c r="H56" s="146">
        <f t="shared" si="0"/>
        <v>5194.4</v>
      </c>
      <c r="I56" s="133"/>
      <c r="J56" s="133">
        <f>J57</f>
        <v>5194.4</v>
      </c>
      <c r="K56" s="133"/>
      <c r="L56" s="133"/>
    </row>
    <row r="57" spans="1:12" ht="25.5">
      <c r="A57" s="121"/>
      <c r="B57" s="123" t="s">
        <v>117</v>
      </c>
      <c r="C57" s="165"/>
      <c r="D57" s="120" t="s">
        <v>42</v>
      </c>
      <c r="E57" s="120" t="s">
        <v>232</v>
      </c>
      <c r="F57" s="120" t="s">
        <v>116</v>
      </c>
      <c r="G57" s="120" t="s">
        <v>32</v>
      </c>
      <c r="H57" s="146">
        <f t="shared" si="0"/>
        <v>5194.4</v>
      </c>
      <c r="I57" s="133"/>
      <c r="J57" s="142">
        <v>5194.4</v>
      </c>
      <c r="K57" s="133"/>
      <c r="L57" s="133"/>
    </row>
    <row r="58" spans="1:12" ht="38.25">
      <c r="A58" s="121"/>
      <c r="B58" s="123" t="s">
        <v>244</v>
      </c>
      <c r="C58" s="165"/>
      <c r="D58" s="120" t="s">
        <v>42</v>
      </c>
      <c r="E58" s="120" t="s">
        <v>232</v>
      </c>
      <c r="F58" s="120" t="s">
        <v>210</v>
      </c>
      <c r="G58" s="119"/>
      <c r="H58" s="146">
        <f t="shared" si="0"/>
        <v>20944.3</v>
      </c>
      <c r="I58" s="133">
        <f>I59+I61+I64</f>
        <v>20944.3</v>
      </c>
      <c r="J58" s="133"/>
      <c r="K58" s="133"/>
      <c r="L58" s="133"/>
    </row>
    <row r="59" spans="1:12" ht="51">
      <c r="A59" s="121"/>
      <c r="B59" s="123" t="s">
        <v>209</v>
      </c>
      <c r="C59" s="165"/>
      <c r="D59" s="120" t="s">
        <v>42</v>
      </c>
      <c r="E59" s="120" t="s">
        <v>232</v>
      </c>
      <c r="F59" s="120" t="s">
        <v>236</v>
      </c>
      <c r="G59" s="120"/>
      <c r="H59" s="146">
        <f t="shared" si="0"/>
        <v>11388</v>
      </c>
      <c r="I59" s="133">
        <f>I60</f>
        <v>11388</v>
      </c>
      <c r="J59" s="133"/>
      <c r="K59" s="133"/>
      <c r="L59" s="133"/>
    </row>
    <row r="60" spans="1:12" ht="25.5">
      <c r="A60" s="121"/>
      <c r="B60" s="123" t="s">
        <v>117</v>
      </c>
      <c r="C60" s="165"/>
      <c r="D60" s="120" t="s">
        <v>42</v>
      </c>
      <c r="E60" s="120" t="s">
        <v>232</v>
      </c>
      <c r="F60" s="120" t="s">
        <v>236</v>
      </c>
      <c r="G60" s="120" t="s">
        <v>32</v>
      </c>
      <c r="H60" s="146">
        <f t="shared" si="0"/>
        <v>11388</v>
      </c>
      <c r="I60" s="133">
        <f>11238+122+28</f>
        <v>11388</v>
      </c>
      <c r="J60" s="133"/>
      <c r="K60" s="133"/>
      <c r="L60" s="133"/>
    </row>
    <row r="61" spans="1:12" ht="51">
      <c r="A61" s="130"/>
      <c r="B61" s="131" t="s">
        <v>325</v>
      </c>
      <c r="C61" s="172"/>
      <c r="D61" s="132" t="s">
        <v>42</v>
      </c>
      <c r="E61" s="132" t="s">
        <v>232</v>
      </c>
      <c r="F61" s="132" t="s">
        <v>461</v>
      </c>
      <c r="G61" s="132"/>
      <c r="H61" s="146">
        <f t="shared" si="0"/>
        <v>9515.3</v>
      </c>
      <c r="I61" s="134">
        <f>I62</f>
        <v>9515.3</v>
      </c>
      <c r="J61" s="134"/>
      <c r="K61" s="134"/>
      <c r="L61" s="134"/>
    </row>
    <row r="62" spans="1:12" ht="25.5">
      <c r="A62" s="190"/>
      <c r="B62" s="201" t="s">
        <v>462</v>
      </c>
      <c r="C62" s="200"/>
      <c r="D62" s="188" t="s">
        <v>42</v>
      </c>
      <c r="E62" s="188" t="s">
        <v>232</v>
      </c>
      <c r="F62" s="188" t="s">
        <v>463</v>
      </c>
      <c r="G62" s="188"/>
      <c r="H62" s="189">
        <f t="shared" si="0"/>
        <v>9515.3</v>
      </c>
      <c r="I62" s="192">
        <f>I63</f>
        <v>9515.3</v>
      </c>
      <c r="J62" s="192"/>
      <c r="K62" s="192"/>
      <c r="L62" s="192"/>
    </row>
    <row r="63" spans="1:12" ht="25.5">
      <c r="A63" s="135"/>
      <c r="B63" s="136" t="s">
        <v>117</v>
      </c>
      <c r="C63" s="173"/>
      <c r="D63" s="137" t="s">
        <v>42</v>
      </c>
      <c r="E63" s="137" t="s">
        <v>232</v>
      </c>
      <c r="F63" s="137" t="s">
        <v>463</v>
      </c>
      <c r="G63" s="137" t="s">
        <v>32</v>
      </c>
      <c r="H63" s="146">
        <f t="shared" si="0"/>
        <v>9515.3</v>
      </c>
      <c r="I63" s="138">
        <f>807+3366+1000+3405+65+872.3</f>
        <v>9515.3</v>
      </c>
      <c r="J63" s="138"/>
      <c r="K63" s="138"/>
      <c r="L63" s="138"/>
    </row>
    <row r="64" spans="1:12" ht="25.5">
      <c r="A64" s="135"/>
      <c r="B64" s="139" t="s">
        <v>94</v>
      </c>
      <c r="C64" s="173"/>
      <c r="D64" s="137" t="s">
        <v>42</v>
      </c>
      <c r="E64" s="137" t="s">
        <v>232</v>
      </c>
      <c r="F64" s="137" t="s">
        <v>478</v>
      </c>
      <c r="G64" s="137" t="s">
        <v>32</v>
      </c>
      <c r="H64" s="146">
        <f t="shared" si="0"/>
        <v>41</v>
      </c>
      <c r="I64" s="138">
        <v>41</v>
      </c>
      <c r="J64" s="138"/>
      <c r="K64" s="138"/>
      <c r="L64" s="138"/>
    </row>
    <row r="65" spans="1:12" ht="12.75">
      <c r="A65" s="121"/>
      <c r="B65" s="133" t="s">
        <v>175</v>
      </c>
      <c r="C65" s="165"/>
      <c r="D65" s="120" t="s">
        <v>42</v>
      </c>
      <c r="E65" s="120" t="s">
        <v>232</v>
      </c>
      <c r="F65" s="120" t="s">
        <v>176</v>
      </c>
      <c r="G65" s="120"/>
      <c r="H65" s="146">
        <f aca="true" t="shared" si="2" ref="H65:H105">I65+J65+K65+L65</f>
        <v>129</v>
      </c>
      <c r="I65" s="133"/>
      <c r="J65" s="133">
        <f>J66</f>
        <v>129</v>
      </c>
      <c r="K65" s="133"/>
      <c r="L65" s="133"/>
    </row>
    <row r="66" spans="1:12" ht="25.5">
      <c r="A66" s="121"/>
      <c r="B66" s="136" t="s">
        <v>117</v>
      </c>
      <c r="C66" s="165"/>
      <c r="D66" s="120" t="s">
        <v>42</v>
      </c>
      <c r="E66" s="120" t="s">
        <v>232</v>
      </c>
      <c r="F66" s="120" t="s">
        <v>176</v>
      </c>
      <c r="G66" s="120" t="s">
        <v>32</v>
      </c>
      <c r="H66" s="146">
        <f t="shared" si="2"/>
        <v>129</v>
      </c>
      <c r="I66" s="133"/>
      <c r="J66" s="133">
        <f>J67</f>
        <v>129</v>
      </c>
      <c r="K66" s="133"/>
      <c r="L66" s="133"/>
    </row>
    <row r="67" spans="1:12" ht="63.75">
      <c r="A67" s="121"/>
      <c r="B67" s="143" t="s">
        <v>279</v>
      </c>
      <c r="C67" s="165"/>
      <c r="D67" s="120" t="s">
        <v>42</v>
      </c>
      <c r="E67" s="120" t="s">
        <v>232</v>
      </c>
      <c r="F67" s="120" t="s">
        <v>280</v>
      </c>
      <c r="G67" s="120" t="s">
        <v>32</v>
      </c>
      <c r="H67" s="146">
        <f t="shared" si="2"/>
        <v>129</v>
      </c>
      <c r="I67" s="133"/>
      <c r="J67" s="142">
        <v>129</v>
      </c>
      <c r="K67" s="133"/>
      <c r="L67" s="133"/>
    </row>
    <row r="68" spans="1:12" ht="25.5">
      <c r="A68" s="121"/>
      <c r="B68" s="123" t="s">
        <v>109</v>
      </c>
      <c r="C68" s="165"/>
      <c r="D68" s="120" t="s">
        <v>42</v>
      </c>
      <c r="E68" s="120" t="s">
        <v>232</v>
      </c>
      <c r="F68" s="120" t="s">
        <v>110</v>
      </c>
      <c r="G68" s="120"/>
      <c r="H68" s="146">
        <f t="shared" si="2"/>
        <v>300</v>
      </c>
      <c r="I68" s="133">
        <f>I69</f>
        <v>300</v>
      </c>
      <c r="J68" s="142"/>
      <c r="K68" s="133"/>
      <c r="L68" s="133"/>
    </row>
    <row r="69" spans="1:12" ht="25.5">
      <c r="A69" s="121"/>
      <c r="B69" s="136" t="s">
        <v>117</v>
      </c>
      <c r="C69" s="165"/>
      <c r="D69" s="120" t="s">
        <v>42</v>
      </c>
      <c r="E69" s="120" t="s">
        <v>232</v>
      </c>
      <c r="F69" s="120" t="s">
        <v>110</v>
      </c>
      <c r="G69" s="120" t="s">
        <v>32</v>
      </c>
      <c r="H69" s="146">
        <f t="shared" si="2"/>
        <v>300</v>
      </c>
      <c r="I69" s="133">
        <v>300</v>
      </c>
      <c r="J69" s="142"/>
      <c r="K69" s="133"/>
      <c r="L69" s="133"/>
    </row>
    <row r="70" spans="1:12" ht="25.5">
      <c r="A70" s="121"/>
      <c r="B70" s="123" t="s">
        <v>6</v>
      </c>
      <c r="C70" s="123"/>
      <c r="D70" s="119" t="s">
        <v>45</v>
      </c>
      <c r="E70" s="119" t="s">
        <v>43</v>
      </c>
      <c r="F70" s="120"/>
      <c r="G70" s="120"/>
      <c r="H70" s="146">
        <f t="shared" si="2"/>
        <v>643.8</v>
      </c>
      <c r="I70" s="146">
        <f>I71</f>
        <v>643.8</v>
      </c>
      <c r="J70" s="146">
        <f>J71</f>
        <v>0</v>
      </c>
      <c r="K70" s="146">
        <f>K71</f>
        <v>0</v>
      </c>
      <c r="L70" s="146">
        <f>L71</f>
        <v>0</v>
      </c>
    </row>
    <row r="71" spans="1:12" ht="63.75">
      <c r="A71" s="121"/>
      <c r="B71" s="123" t="s">
        <v>185</v>
      </c>
      <c r="C71" s="165"/>
      <c r="D71" s="119" t="s">
        <v>45</v>
      </c>
      <c r="E71" s="119" t="s">
        <v>54</v>
      </c>
      <c r="F71" s="120"/>
      <c r="G71" s="120"/>
      <c r="H71" s="146">
        <f t="shared" si="2"/>
        <v>643.8</v>
      </c>
      <c r="I71" s="133">
        <f>I72</f>
        <v>643.8</v>
      </c>
      <c r="J71" s="133"/>
      <c r="K71" s="133"/>
      <c r="L71" s="133"/>
    </row>
    <row r="72" spans="1:12" ht="25.5">
      <c r="A72" s="121"/>
      <c r="B72" s="123" t="s">
        <v>237</v>
      </c>
      <c r="C72" s="165"/>
      <c r="D72" s="120" t="s">
        <v>45</v>
      </c>
      <c r="E72" s="120" t="s">
        <v>54</v>
      </c>
      <c r="F72" s="120" t="s">
        <v>239</v>
      </c>
      <c r="G72" s="120"/>
      <c r="H72" s="146">
        <f t="shared" si="2"/>
        <v>643.8</v>
      </c>
      <c r="I72" s="133">
        <f>I73</f>
        <v>643.8</v>
      </c>
      <c r="J72" s="133"/>
      <c r="K72" s="133"/>
      <c r="L72" s="133"/>
    </row>
    <row r="73" spans="1:12" ht="51">
      <c r="A73" s="121"/>
      <c r="B73" s="123" t="s">
        <v>238</v>
      </c>
      <c r="C73" s="165"/>
      <c r="D73" s="120" t="s">
        <v>45</v>
      </c>
      <c r="E73" s="120" t="s">
        <v>54</v>
      </c>
      <c r="F73" s="120" t="s">
        <v>240</v>
      </c>
      <c r="G73" s="120"/>
      <c r="H73" s="146">
        <f t="shared" si="2"/>
        <v>643.8</v>
      </c>
      <c r="I73" s="133">
        <f>I74</f>
        <v>643.8</v>
      </c>
      <c r="J73" s="133"/>
      <c r="K73" s="133"/>
      <c r="L73" s="133"/>
    </row>
    <row r="74" spans="1:12" ht="51.75" customHeight="1">
      <c r="A74" s="121"/>
      <c r="B74" s="174" t="s">
        <v>171</v>
      </c>
      <c r="C74" s="165"/>
      <c r="D74" s="120" t="s">
        <v>45</v>
      </c>
      <c r="E74" s="120" t="s">
        <v>54</v>
      </c>
      <c r="F74" s="120" t="s">
        <v>240</v>
      </c>
      <c r="G74" s="120" t="s">
        <v>172</v>
      </c>
      <c r="H74" s="146">
        <f t="shared" si="2"/>
        <v>643.8</v>
      </c>
      <c r="I74" s="133">
        <f>711-67.2</f>
        <v>643.8</v>
      </c>
      <c r="J74" s="133"/>
      <c r="K74" s="133"/>
      <c r="L74" s="133"/>
    </row>
    <row r="75" spans="1:12" ht="12.75">
      <c r="A75" s="121"/>
      <c r="B75" s="133" t="s">
        <v>245</v>
      </c>
      <c r="C75" s="165"/>
      <c r="D75" s="119" t="s">
        <v>46</v>
      </c>
      <c r="E75" s="119" t="s">
        <v>43</v>
      </c>
      <c r="F75" s="119"/>
      <c r="G75" s="119"/>
      <c r="H75" s="146">
        <f t="shared" si="2"/>
        <v>17236.2</v>
      </c>
      <c r="I75" s="146">
        <f>I76+I80+I85+I92+I100</f>
        <v>15357.1</v>
      </c>
      <c r="J75" s="146">
        <f>J76+J80+J85+J92+J100</f>
        <v>818.4</v>
      </c>
      <c r="K75" s="146">
        <f>K76+K80+K85+K92+K100</f>
        <v>0</v>
      </c>
      <c r="L75" s="146">
        <f>L76+L80+L85+L92+L100</f>
        <v>1060.6999999999998</v>
      </c>
    </row>
    <row r="76" spans="1:12" ht="12.75">
      <c r="A76" s="121"/>
      <c r="B76" s="168" t="s">
        <v>445</v>
      </c>
      <c r="C76" s="165"/>
      <c r="D76" s="119" t="s">
        <v>46</v>
      </c>
      <c r="E76" s="119" t="s">
        <v>42</v>
      </c>
      <c r="F76" s="119"/>
      <c r="G76" s="119"/>
      <c r="H76" s="146">
        <f t="shared" si="2"/>
        <v>324.1</v>
      </c>
      <c r="I76" s="133">
        <f>I77+I81</f>
        <v>0</v>
      </c>
      <c r="J76" s="133">
        <v>0</v>
      </c>
      <c r="K76" s="133">
        <f>K77+K81</f>
        <v>0</v>
      </c>
      <c r="L76" s="133">
        <f>L77+L81</f>
        <v>324.1</v>
      </c>
    </row>
    <row r="77" spans="1:12" ht="15" customHeight="1">
      <c r="A77" s="121"/>
      <c r="B77" s="115" t="s">
        <v>175</v>
      </c>
      <c r="C77" s="169"/>
      <c r="D77" s="120" t="s">
        <v>46</v>
      </c>
      <c r="E77" s="120" t="s">
        <v>42</v>
      </c>
      <c r="F77" s="120" t="s">
        <v>176</v>
      </c>
      <c r="G77" s="120"/>
      <c r="H77" s="146">
        <f t="shared" si="2"/>
        <v>324.1</v>
      </c>
      <c r="I77" s="133"/>
      <c r="J77" s="133"/>
      <c r="K77" s="133"/>
      <c r="L77" s="133">
        <f>L78</f>
        <v>324.1</v>
      </c>
    </row>
    <row r="78" spans="1:12" ht="25.5">
      <c r="A78" s="121"/>
      <c r="B78" s="127" t="s">
        <v>443</v>
      </c>
      <c r="C78" s="169"/>
      <c r="D78" s="120" t="s">
        <v>46</v>
      </c>
      <c r="E78" s="120" t="s">
        <v>42</v>
      </c>
      <c r="F78" s="120" t="s">
        <v>444</v>
      </c>
      <c r="G78" s="120"/>
      <c r="H78" s="146">
        <f t="shared" si="2"/>
        <v>324.1</v>
      </c>
      <c r="I78" s="133"/>
      <c r="J78" s="133"/>
      <c r="K78" s="133"/>
      <c r="L78" s="133">
        <f>L79</f>
        <v>324.1</v>
      </c>
    </row>
    <row r="79" spans="1:12" ht="25.5">
      <c r="A79" s="121"/>
      <c r="B79" s="123" t="s">
        <v>95</v>
      </c>
      <c r="C79" s="169"/>
      <c r="D79" s="120" t="s">
        <v>46</v>
      </c>
      <c r="E79" s="120" t="s">
        <v>42</v>
      </c>
      <c r="F79" s="120" t="s">
        <v>444</v>
      </c>
      <c r="G79" s="120" t="s">
        <v>99</v>
      </c>
      <c r="H79" s="146">
        <f t="shared" si="2"/>
        <v>324.1</v>
      </c>
      <c r="I79" s="133"/>
      <c r="J79" s="133"/>
      <c r="K79" s="133"/>
      <c r="L79" s="133">
        <f>2.3+129.9+31.1+13.1+3.4+103.9+11.5+4.5+24.4</f>
        <v>324.1</v>
      </c>
    </row>
    <row r="80" spans="1:12" ht="12.75">
      <c r="A80" s="121"/>
      <c r="B80" s="125" t="s">
        <v>57</v>
      </c>
      <c r="C80" s="165"/>
      <c r="D80" s="119" t="s">
        <v>46</v>
      </c>
      <c r="E80" s="119" t="s">
        <v>47</v>
      </c>
      <c r="F80" s="119"/>
      <c r="G80" s="119"/>
      <c r="H80" s="146">
        <f t="shared" si="2"/>
        <v>1568.4</v>
      </c>
      <c r="I80" s="146">
        <f>I81+I83</f>
        <v>750</v>
      </c>
      <c r="J80" s="146">
        <f>J81+J83</f>
        <v>818.4</v>
      </c>
      <c r="K80" s="146">
        <f>K81+K83</f>
        <v>0</v>
      </c>
      <c r="L80" s="146">
        <f>L81+L83</f>
        <v>0</v>
      </c>
    </row>
    <row r="81" spans="1:12" ht="12.75">
      <c r="A81" s="121"/>
      <c r="B81" s="133" t="s">
        <v>175</v>
      </c>
      <c r="C81" s="165"/>
      <c r="D81" s="120" t="s">
        <v>46</v>
      </c>
      <c r="E81" s="120" t="s">
        <v>47</v>
      </c>
      <c r="F81" s="120" t="s">
        <v>176</v>
      </c>
      <c r="G81" s="119"/>
      <c r="H81" s="146">
        <f t="shared" si="2"/>
        <v>818.4</v>
      </c>
      <c r="I81" s="133"/>
      <c r="J81" s="133">
        <f>J82</f>
        <v>818.4</v>
      </c>
      <c r="K81" s="133"/>
      <c r="L81" s="133"/>
    </row>
    <row r="82" spans="1:12" ht="38.25">
      <c r="A82" s="121"/>
      <c r="B82" s="111" t="s">
        <v>287</v>
      </c>
      <c r="C82" s="165"/>
      <c r="D82" s="120" t="s">
        <v>46</v>
      </c>
      <c r="E82" s="120" t="s">
        <v>47</v>
      </c>
      <c r="F82" s="120" t="s">
        <v>314</v>
      </c>
      <c r="G82" s="120" t="s">
        <v>288</v>
      </c>
      <c r="H82" s="146">
        <f t="shared" si="2"/>
        <v>818.4</v>
      </c>
      <c r="I82" s="133"/>
      <c r="J82" s="142">
        <f>754+64.4</f>
        <v>818.4</v>
      </c>
      <c r="K82" s="133"/>
      <c r="L82" s="133"/>
    </row>
    <row r="83" spans="1:12" ht="25.5">
      <c r="A83" s="121"/>
      <c r="B83" s="123" t="s">
        <v>109</v>
      </c>
      <c r="C83" s="165"/>
      <c r="D83" s="120" t="s">
        <v>46</v>
      </c>
      <c r="E83" s="120" t="s">
        <v>47</v>
      </c>
      <c r="F83" s="120" t="s">
        <v>110</v>
      </c>
      <c r="G83" s="119"/>
      <c r="H83" s="146">
        <f t="shared" si="2"/>
        <v>750</v>
      </c>
      <c r="I83" s="133">
        <f>I84</f>
        <v>750</v>
      </c>
      <c r="J83" s="133"/>
      <c r="K83" s="133"/>
      <c r="L83" s="133"/>
    </row>
    <row r="84" spans="1:12" ht="38.25">
      <c r="A84" s="121"/>
      <c r="B84" s="111" t="s">
        <v>287</v>
      </c>
      <c r="C84" s="165"/>
      <c r="D84" s="120" t="s">
        <v>46</v>
      </c>
      <c r="E84" s="120" t="s">
        <v>47</v>
      </c>
      <c r="F84" s="120" t="s">
        <v>110</v>
      </c>
      <c r="G84" s="120" t="s">
        <v>288</v>
      </c>
      <c r="H84" s="146">
        <f t="shared" si="2"/>
        <v>750</v>
      </c>
      <c r="I84" s="133">
        <f>250+500</f>
        <v>750</v>
      </c>
      <c r="J84" s="133"/>
      <c r="K84" s="133"/>
      <c r="L84" s="133"/>
    </row>
    <row r="85" spans="1:12" ht="12.75">
      <c r="A85" s="121"/>
      <c r="B85" s="133" t="s">
        <v>246</v>
      </c>
      <c r="C85" s="165"/>
      <c r="D85" s="119" t="s">
        <v>46</v>
      </c>
      <c r="E85" s="119" t="s">
        <v>61</v>
      </c>
      <c r="F85" s="119"/>
      <c r="G85" s="119"/>
      <c r="H85" s="146">
        <f t="shared" si="2"/>
        <v>4500</v>
      </c>
      <c r="I85" s="146">
        <f>I86+I89</f>
        <v>4500</v>
      </c>
      <c r="J85" s="146">
        <f>J86+J89</f>
        <v>0</v>
      </c>
      <c r="K85" s="146">
        <f>K86+K89</f>
        <v>0</v>
      </c>
      <c r="L85" s="146">
        <f>L86+L89</f>
        <v>0</v>
      </c>
    </row>
    <row r="86" spans="1:12" ht="12.75">
      <c r="A86" s="121"/>
      <c r="B86" s="133" t="s">
        <v>247</v>
      </c>
      <c r="C86" s="165"/>
      <c r="D86" s="120" t="s">
        <v>46</v>
      </c>
      <c r="E86" s="120" t="s">
        <v>61</v>
      </c>
      <c r="F86" s="120" t="s">
        <v>248</v>
      </c>
      <c r="G86" s="120"/>
      <c r="H86" s="146">
        <f t="shared" si="2"/>
        <v>2500</v>
      </c>
      <c r="I86" s="133">
        <f>I87</f>
        <v>2500</v>
      </c>
      <c r="J86" s="133"/>
      <c r="K86" s="133"/>
      <c r="L86" s="133"/>
    </row>
    <row r="87" spans="1:12" ht="25.5">
      <c r="A87" s="121"/>
      <c r="B87" s="123" t="s">
        <v>211</v>
      </c>
      <c r="C87" s="169"/>
      <c r="D87" s="120" t="s">
        <v>46</v>
      </c>
      <c r="E87" s="120" t="s">
        <v>61</v>
      </c>
      <c r="F87" s="120" t="s">
        <v>249</v>
      </c>
      <c r="G87" s="120"/>
      <c r="H87" s="146">
        <f t="shared" si="2"/>
        <v>2500</v>
      </c>
      <c r="I87" s="133">
        <f>I88</f>
        <v>2500</v>
      </c>
      <c r="J87" s="133"/>
      <c r="K87" s="133"/>
      <c r="L87" s="133"/>
    </row>
    <row r="88" spans="1:12" ht="12.75">
      <c r="A88" s="121"/>
      <c r="B88" s="133" t="s">
        <v>188</v>
      </c>
      <c r="C88" s="169"/>
      <c r="D88" s="120" t="s">
        <v>46</v>
      </c>
      <c r="E88" s="120" t="s">
        <v>61</v>
      </c>
      <c r="F88" s="120" t="s">
        <v>249</v>
      </c>
      <c r="G88" s="120" t="s">
        <v>189</v>
      </c>
      <c r="H88" s="146">
        <f t="shared" si="2"/>
        <v>2500</v>
      </c>
      <c r="I88" s="133">
        <v>2500</v>
      </c>
      <c r="J88" s="133"/>
      <c r="K88" s="133"/>
      <c r="L88" s="133"/>
    </row>
    <row r="89" spans="1:12" ht="12.75">
      <c r="A89" s="121"/>
      <c r="B89" s="133" t="s">
        <v>250</v>
      </c>
      <c r="C89" s="169"/>
      <c r="D89" s="120" t="s">
        <v>46</v>
      </c>
      <c r="E89" s="120" t="s">
        <v>61</v>
      </c>
      <c r="F89" s="120" t="s">
        <v>251</v>
      </c>
      <c r="G89" s="120"/>
      <c r="H89" s="146">
        <f t="shared" si="2"/>
        <v>2000</v>
      </c>
      <c r="I89" s="133">
        <f>I90</f>
        <v>2000</v>
      </c>
      <c r="J89" s="133"/>
      <c r="K89" s="133"/>
      <c r="L89" s="133"/>
    </row>
    <row r="90" spans="1:12" ht="25.5">
      <c r="A90" s="121"/>
      <c r="B90" s="123" t="s">
        <v>252</v>
      </c>
      <c r="C90" s="169"/>
      <c r="D90" s="120" t="s">
        <v>46</v>
      </c>
      <c r="E90" s="120" t="s">
        <v>61</v>
      </c>
      <c r="F90" s="120" t="s">
        <v>253</v>
      </c>
      <c r="G90" s="120"/>
      <c r="H90" s="146">
        <f t="shared" si="2"/>
        <v>2000</v>
      </c>
      <c r="I90" s="133">
        <f>I91</f>
        <v>2000</v>
      </c>
      <c r="J90" s="133"/>
      <c r="K90" s="133"/>
      <c r="L90" s="133"/>
    </row>
    <row r="91" spans="1:12" ht="12.75">
      <c r="A91" s="121"/>
      <c r="B91" s="133" t="s">
        <v>188</v>
      </c>
      <c r="C91" s="169"/>
      <c r="D91" s="120" t="s">
        <v>46</v>
      </c>
      <c r="E91" s="120" t="s">
        <v>61</v>
      </c>
      <c r="F91" s="120" t="s">
        <v>253</v>
      </c>
      <c r="G91" s="120" t="s">
        <v>189</v>
      </c>
      <c r="H91" s="146">
        <f t="shared" si="2"/>
        <v>2000</v>
      </c>
      <c r="I91" s="133">
        <v>2000</v>
      </c>
      <c r="J91" s="133"/>
      <c r="K91" s="133"/>
      <c r="L91" s="133"/>
    </row>
    <row r="92" spans="1:12" ht="12.75">
      <c r="A92" s="121"/>
      <c r="B92" s="115" t="s">
        <v>336</v>
      </c>
      <c r="C92" s="169"/>
      <c r="D92" s="119" t="s">
        <v>46</v>
      </c>
      <c r="E92" s="119" t="s">
        <v>89</v>
      </c>
      <c r="F92" s="120"/>
      <c r="G92" s="120"/>
      <c r="H92" s="146">
        <f t="shared" si="2"/>
        <v>9417.1</v>
      </c>
      <c r="I92" s="146">
        <f>I93+I98</f>
        <v>9417.1</v>
      </c>
      <c r="J92" s="146">
        <f>J98</f>
        <v>0</v>
      </c>
      <c r="K92" s="146">
        <f>K98</f>
        <v>0</v>
      </c>
      <c r="L92" s="146">
        <f>L98</f>
        <v>0</v>
      </c>
    </row>
    <row r="93" spans="1:12" ht="25.5">
      <c r="A93" s="121"/>
      <c r="B93" s="115" t="s">
        <v>436</v>
      </c>
      <c r="C93" s="169"/>
      <c r="D93" s="120" t="s">
        <v>46</v>
      </c>
      <c r="E93" s="120" t="s">
        <v>89</v>
      </c>
      <c r="F93" s="120" t="s">
        <v>437</v>
      </c>
      <c r="G93" s="120"/>
      <c r="H93" s="146">
        <f t="shared" si="2"/>
        <v>6417.1</v>
      </c>
      <c r="I93" s="133">
        <f>I94+I96</f>
        <v>6417.1</v>
      </c>
      <c r="J93" s="146"/>
      <c r="K93" s="146"/>
      <c r="L93" s="146"/>
    </row>
    <row r="94" spans="1:12" ht="51">
      <c r="A94" s="121"/>
      <c r="B94" s="150" t="s">
        <v>479</v>
      </c>
      <c r="C94" s="169"/>
      <c r="D94" s="120" t="s">
        <v>46</v>
      </c>
      <c r="E94" s="120" t="s">
        <v>89</v>
      </c>
      <c r="F94" s="151" t="s">
        <v>480</v>
      </c>
      <c r="G94" s="120"/>
      <c r="H94" s="146">
        <f t="shared" si="2"/>
        <v>2577.2</v>
      </c>
      <c r="I94" s="133">
        <f>I95</f>
        <v>2577.2</v>
      </c>
      <c r="J94" s="133"/>
      <c r="K94" s="133"/>
      <c r="L94" s="133"/>
    </row>
    <row r="95" spans="1:12" ht="25.5">
      <c r="A95" s="121"/>
      <c r="B95" s="136" t="s">
        <v>117</v>
      </c>
      <c r="C95" s="169"/>
      <c r="D95" s="120" t="s">
        <v>46</v>
      </c>
      <c r="E95" s="120" t="s">
        <v>89</v>
      </c>
      <c r="F95" s="151" t="s">
        <v>480</v>
      </c>
      <c r="G95" s="120" t="s">
        <v>32</v>
      </c>
      <c r="H95" s="146">
        <f t="shared" si="2"/>
        <v>2577.2</v>
      </c>
      <c r="I95" s="133">
        <v>2577.2</v>
      </c>
      <c r="J95" s="133"/>
      <c r="K95" s="133"/>
      <c r="L95" s="133"/>
    </row>
    <row r="96" spans="1:12" ht="25.5">
      <c r="A96" s="121"/>
      <c r="B96" s="123" t="s">
        <v>94</v>
      </c>
      <c r="C96" s="169"/>
      <c r="D96" s="120" t="s">
        <v>46</v>
      </c>
      <c r="E96" s="120" t="s">
        <v>89</v>
      </c>
      <c r="F96" s="120" t="s">
        <v>438</v>
      </c>
      <c r="G96" s="120"/>
      <c r="H96" s="146">
        <f t="shared" si="2"/>
        <v>3839.9</v>
      </c>
      <c r="I96" s="133">
        <f>I97</f>
        <v>3839.9</v>
      </c>
      <c r="J96" s="146"/>
      <c r="K96" s="146"/>
      <c r="L96" s="146"/>
    </row>
    <row r="97" spans="1:12" ht="25.5">
      <c r="A97" s="121"/>
      <c r="B97" s="123" t="s">
        <v>329</v>
      </c>
      <c r="C97" s="169"/>
      <c r="D97" s="120" t="s">
        <v>46</v>
      </c>
      <c r="E97" s="120" t="s">
        <v>89</v>
      </c>
      <c r="F97" s="120" t="s">
        <v>438</v>
      </c>
      <c r="G97" s="120" t="s">
        <v>330</v>
      </c>
      <c r="H97" s="146">
        <f t="shared" si="2"/>
        <v>3839.9</v>
      </c>
      <c r="I97" s="133">
        <v>3839.9</v>
      </c>
      <c r="J97" s="146"/>
      <c r="K97" s="146"/>
      <c r="L97" s="146"/>
    </row>
    <row r="98" spans="1:12" ht="25.5">
      <c r="A98" s="121"/>
      <c r="B98" s="123" t="s">
        <v>109</v>
      </c>
      <c r="C98" s="169"/>
      <c r="D98" s="120" t="s">
        <v>46</v>
      </c>
      <c r="E98" s="120" t="s">
        <v>89</v>
      </c>
      <c r="F98" s="120" t="s">
        <v>110</v>
      </c>
      <c r="G98" s="120"/>
      <c r="H98" s="146">
        <f t="shared" si="2"/>
        <v>3000</v>
      </c>
      <c r="I98" s="133">
        <f>I99</f>
        <v>3000</v>
      </c>
      <c r="J98" s="133"/>
      <c r="K98" s="133"/>
      <c r="L98" s="133"/>
    </row>
    <row r="99" spans="1:12" ht="25.5">
      <c r="A99" s="135"/>
      <c r="B99" s="123" t="s">
        <v>117</v>
      </c>
      <c r="C99" s="175"/>
      <c r="D99" s="137" t="s">
        <v>46</v>
      </c>
      <c r="E99" s="137" t="s">
        <v>89</v>
      </c>
      <c r="F99" s="137" t="s">
        <v>110</v>
      </c>
      <c r="G99" s="137" t="s">
        <v>32</v>
      </c>
      <c r="H99" s="146">
        <f t="shared" si="2"/>
        <v>3000</v>
      </c>
      <c r="I99" s="138">
        <v>3000</v>
      </c>
      <c r="J99" s="138"/>
      <c r="K99" s="138"/>
      <c r="L99" s="138"/>
    </row>
    <row r="100" spans="1:12" ht="25.5">
      <c r="A100" s="121"/>
      <c r="B100" s="176" t="s">
        <v>62</v>
      </c>
      <c r="C100" s="169"/>
      <c r="D100" s="119" t="s">
        <v>46</v>
      </c>
      <c r="E100" s="119" t="s">
        <v>227</v>
      </c>
      <c r="F100" s="120"/>
      <c r="G100" s="120"/>
      <c r="H100" s="146">
        <f t="shared" si="2"/>
        <v>1426.6</v>
      </c>
      <c r="I100" s="146">
        <f>I104</f>
        <v>690</v>
      </c>
      <c r="J100" s="146">
        <f>J104</f>
        <v>0</v>
      </c>
      <c r="K100" s="146">
        <f>K104</f>
        <v>0</v>
      </c>
      <c r="L100" s="146">
        <f>L101+L104</f>
        <v>736.5999999999999</v>
      </c>
    </row>
    <row r="101" spans="1:12" ht="14.25" customHeight="1">
      <c r="A101" s="121"/>
      <c r="B101" s="123" t="s">
        <v>175</v>
      </c>
      <c r="C101" s="146"/>
      <c r="D101" s="120" t="s">
        <v>46</v>
      </c>
      <c r="E101" s="120" t="s">
        <v>227</v>
      </c>
      <c r="F101" s="120" t="s">
        <v>176</v>
      </c>
      <c r="G101" s="120"/>
      <c r="H101" s="146">
        <f>H102</f>
        <v>736.5999999999999</v>
      </c>
      <c r="I101" s="133"/>
      <c r="J101" s="133"/>
      <c r="K101" s="133"/>
      <c r="L101" s="133">
        <f>L102</f>
        <v>736.5999999999999</v>
      </c>
    </row>
    <row r="102" spans="1:12" ht="25.5">
      <c r="A102" s="121"/>
      <c r="B102" s="123" t="s">
        <v>117</v>
      </c>
      <c r="C102" s="146"/>
      <c r="D102" s="120" t="s">
        <v>46</v>
      </c>
      <c r="E102" s="120" t="s">
        <v>227</v>
      </c>
      <c r="F102" s="120" t="s">
        <v>176</v>
      </c>
      <c r="G102" s="120" t="s">
        <v>32</v>
      </c>
      <c r="H102" s="146">
        <f>SUM(I102:L102)</f>
        <v>736.5999999999999</v>
      </c>
      <c r="I102" s="133"/>
      <c r="J102" s="133"/>
      <c r="K102" s="133"/>
      <c r="L102" s="133">
        <f>L103</f>
        <v>736.5999999999999</v>
      </c>
    </row>
    <row r="103" spans="1:12" ht="51">
      <c r="A103" s="121"/>
      <c r="B103" s="152" t="s">
        <v>402</v>
      </c>
      <c r="C103" s="169"/>
      <c r="D103" s="120" t="s">
        <v>46</v>
      </c>
      <c r="E103" s="120" t="s">
        <v>227</v>
      </c>
      <c r="F103" s="120" t="s">
        <v>401</v>
      </c>
      <c r="G103" s="120" t="s">
        <v>32</v>
      </c>
      <c r="H103" s="146">
        <f>SUM(I103:L103)</f>
        <v>736.5999999999999</v>
      </c>
      <c r="I103" s="133"/>
      <c r="J103" s="133"/>
      <c r="K103" s="133"/>
      <c r="L103" s="133">
        <f>152.3+584.3</f>
        <v>736.5999999999999</v>
      </c>
    </row>
    <row r="104" spans="1:12" ht="25.5">
      <c r="A104" s="121"/>
      <c r="B104" s="123" t="s">
        <v>109</v>
      </c>
      <c r="C104" s="165"/>
      <c r="D104" s="120" t="s">
        <v>46</v>
      </c>
      <c r="E104" s="120" t="s">
        <v>227</v>
      </c>
      <c r="F104" s="120" t="s">
        <v>110</v>
      </c>
      <c r="G104" s="119"/>
      <c r="H104" s="146">
        <f t="shared" si="2"/>
        <v>690</v>
      </c>
      <c r="I104" s="133">
        <f>I105</f>
        <v>690</v>
      </c>
      <c r="J104" s="133"/>
      <c r="K104" s="133"/>
      <c r="L104" s="133"/>
    </row>
    <row r="105" spans="1:12" ht="25.5">
      <c r="A105" s="121"/>
      <c r="B105" s="123" t="s">
        <v>117</v>
      </c>
      <c r="C105" s="169"/>
      <c r="D105" s="120" t="s">
        <v>46</v>
      </c>
      <c r="E105" s="120" t="s">
        <v>227</v>
      </c>
      <c r="F105" s="120" t="s">
        <v>110</v>
      </c>
      <c r="G105" s="120" t="s">
        <v>32</v>
      </c>
      <c r="H105" s="146">
        <f t="shared" si="2"/>
        <v>690</v>
      </c>
      <c r="I105" s="133">
        <f>190+500</f>
        <v>690</v>
      </c>
      <c r="J105" s="133"/>
      <c r="K105" s="133"/>
      <c r="L105" s="133"/>
    </row>
    <row r="106" spans="1:12" ht="12.75">
      <c r="A106" s="121"/>
      <c r="B106" s="133" t="s">
        <v>63</v>
      </c>
      <c r="C106" s="165"/>
      <c r="D106" s="119" t="s">
        <v>47</v>
      </c>
      <c r="E106" s="119" t="s">
        <v>43</v>
      </c>
      <c r="F106" s="120"/>
      <c r="G106" s="120"/>
      <c r="H106" s="146">
        <f aca="true" t="shared" si="3" ref="H106:H121">I106+J106+K106+L106</f>
        <v>340687.6</v>
      </c>
      <c r="I106" s="146">
        <f>I107+I122</f>
        <v>68253.9</v>
      </c>
      <c r="J106" s="146">
        <f>J107+J122</f>
        <v>0</v>
      </c>
      <c r="K106" s="146">
        <f>K107+K122</f>
        <v>272433.7</v>
      </c>
      <c r="L106" s="146">
        <f>L107+L122</f>
        <v>0</v>
      </c>
    </row>
    <row r="107" spans="1:12" ht="12.75">
      <c r="A107" s="121"/>
      <c r="B107" s="133" t="s">
        <v>65</v>
      </c>
      <c r="C107" s="169"/>
      <c r="D107" s="119" t="s">
        <v>47</v>
      </c>
      <c r="E107" s="119" t="s">
        <v>42</v>
      </c>
      <c r="F107" s="120"/>
      <c r="G107" s="120"/>
      <c r="H107" s="146">
        <f t="shared" si="3"/>
        <v>251263.4</v>
      </c>
      <c r="I107" s="146">
        <f>I108+I111+I114+I117+I120</f>
        <v>19048.9</v>
      </c>
      <c r="J107" s="146">
        <f>J111+J114+J117+J120</f>
        <v>0</v>
      </c>
      <c r="K107" s="146">
        <f>K111+K114+K117+K120</f>
        <v>232214.5</v>
      </c>
      <c r="L107" s="146">
        <f>L111+L114+L117+L120</f>
        <v>0</v>
      </c>
    </row>
    <row r="108" spans="1:12" ht="39.75" customHeight="1">
      <c r="A108" s="121"/>
      <c r="B108" s="123" t="s">
        <v>342</v>
      </c>
      <c r="C108" s="169"/>
      <c r="D108" s="120" t="s">
        <v>47</v>
      </c>
      <c r="E108" s="120" t="s">
        <v>42</v>
      </c>
      <c r="F108" s="120" t="s">
        <v>343</v>
      </c>
      <c r="G108" s="120"/>
      <c r="H108" s="146">
        <f t="shared" si="3"/>
        <v>1400</v>
      </c>
      <c r="I108" s="133">
        <f>I109</f>
        <v>1400</v>
      </c>
      <c r="J108" s="133"/>
      <c r="K108" s="133"/>
      <c r="L108" s="133"/>
    </row>
    <row r="109" spans="1:12" ht="51">
      <c r="A109" s="121"/>
      <c r="B109" s="123" t="s">
        <v>340</v>
      </c>
      <c r="C109" s="169"/>
      <c r="D109" s="120" t="s">
        <v>47</v>
      </c>
      <c r="E109" s="120" t="s">
        <v>42</v>
      </c>
      <c r="F109" s="120" t="s">
        <v>341</v>
      </c>
      <c r="G109" s="120"/>
      <c r="H109" s="146">
        <f t="shared" si="3"/>
        <v>1400</v>
      </c>
      <c r="I109" s="133">
        <f>I110</f>
        <v>1400</v>
      </c>
      <c r="J109" s="133"/>
      <c r="K109" s="133"/>
      <c r="L109" s="133"/>
    </row>
    <row r="110" spans="1:12" ht="12.75">
      <c r="A110" s="121"/>
      <c r="B110" s="133" t="s">
        <v>181</v>
      </c>
      <c r="C110" s="169"/>
      <c r="D110" s="120" t="s">
        <v>47</v>
      </c>
      <c r="E110" s="120" t="s">
        <v>42</v>
      </c>
      <c r="F110" s="120" t="s">
        <v>341</v>
      </c>
      <c r="G110" s="120" t="s">
        <v>182</v>
      </c>
      <c r="H110" s="146">
        <f t="shared" si="3"/>
        <v>1400</v>
      </c>
      <c r="I110" s="133">
        <v>1400</v>
      </c>
      <c r="J110" s="133"/>
      <c r="K110" s="133"/>
      <c r="L110" s="133"/>
    </row>
    <row r="111" spans="1:12" ht="25.5">
      <c r="A111" s="121"/>
      <c r="B111" s="123" t="s">
        <v>410</v>
      </c>
      <c r="C111" s="169"/>
      <c r="D111" s="120" t="s">
        <v>47</v>
      </c>
      <c r="E111" s="120" t="s">
        <v>42</v>
      </c>
      <c r="F111" s="120" t="s">
        <v>408</v>
      </c>
      <c r="G111" s="120"/>
      <c r="H111" s="146">
        <f t="shared" si="3"/>
        <v>44180.2</v>
      </c>
      <c r="I111" s="133"/>
      <c r="J111" s="133"/>
      <c r="K111" s="133">
        <f>K112</f>
        <v>44180.2</v>
      </c>
      <c r="L111" s="133"/>
    </row>
    <row r="112" spans="1:12" ht="12.75">
      <c r="A112" s="121"/>
      <c r="B112" s="123" t="s">
        <v>181</v>
      </c>
      <c r="C112" s="169"/>
      <c r="D112" s="120" t="s">
        <v>47</v>
      </c>
      <c r="E112" s="120" t="s">
        <v>42</v>
      </c>
      <c r="F112" s="120" t="s">
        <v>408</v>
      </c>
      <c r="G112" s="120" t="s">
        <v>182</v>
      </c>
      <c r="H112" s="146">
        <f t="shared" si="3"/>
        <v>44180.2</v>
      </c>
      <c r="I112" s="133"/>
      <c r="J112" s="133"/>
      <c r="K112" s="133">
        <f>K113</f>
        <v>44180.2</v>
      </c>
      <c r="L112" s="133"/>
    </row>
    <row r="113" spans="1:12" ht="63.75">
      <c r="A113" s="121"/>
      <c r="B113" s="123" t="s">
        <v>407</v>
      </c>
      <c r="C113" s="169"/>
      <c r="D113" s="120" t="s">
        <v>47</v>
      </c>
      <c r="E113" s="120" t="s">
        <v>42</v>
      </c>
      <c r="F113" s="120" t="s">
        <v>409</v>
      </c>
      <c r="G113" s="120" t="s">
        <v>182</v>
      </c>
      <c r="H113" s="146">
        <f t="shared" si="3"/>
        <v>44180.2</v>
      </c>
      <c r="I113" s="133"/>
      <c r="J113" s="133"/>
      <c r="K113" s="133">
        <v>44180.2</v>
      </c>
      <c r="L113" s="133"/>
    </row>
    <row r="114" spans="1:12" ht="12.75">
      <c r="A114" s="121"/>
      <c r="B114" s="133" t="s">
        <v>289</v>
      </c>
      <c r="C114" s="169"/>
      <c r="D114" s="120" t="s">
        <v>47</v>
      </c>
      <c r="E114" s="120" t="s">
        <v>42</v>
      </c>
      <c r="F114" s="120" t="s">
        <v>187</v>
      </c>
      <c r="G114" s="120"/>
      <c r="H114" s="146">
        <f t="shared" si="3"/>
        <v>2800</v>
      </c>
      <c r="I114" s="133">
        <f>I115</f>
        <v>2800</v>
      </c>
      <c r="J114" s="133"/>
      <c r="K114" s="133"/>
      <c r="L114" s="133"/>
    </row>
    <row r="115" spans="1:12" ht="25.5">
      <c r="A115" s="121"/>
      <c r="B115" s="123" t="s">
        <v>290</v>
      </c>
      <c r="C115" s="169"/>
      <c r="D115" s="120" t="s">
        <v>47</v>
      </c>
      <c r="E115" s="120" t="s">
        <v>42</v>
      </c>
      <c r="F115" s="120" t="s">
        <v>291</v>
      </c>
      <c r="G115" s="120"/>
      <c r="H115" s="146">
        <f t="shared" si="3"/>
        <v>2800</v>
      </c>
      <c r="I115" s="133">
        <f>I116</f>
        <v>2800</v>
      </c>
      <c r="J115" s="133"/>
      <c r="K115" s="133"/>
      <c r="L115" s="133"/>
    </row>
    <row r="116" spans="1:12" ht="25.5">
      <c r="A116" s="121"/>
      <c r="B116" s="123" t="s">
        <v>117</v>
      </c>
      <c r="C116" s="169"/>
      <c r="D116" s="120" t="s">
        <v>47</v>
      </c>
      <c r="E116" s="120" t="s">
        <v>42</v>
      </c>
      <c r="F116" s="120" t="s">
        <v>291</v>
      </c>
      <c r="G116" s="120" t="s">
        <v>32</v>
      </c>
      <c r="H116" s="146">
        <f t="shared" si="3"/>
        <v>2800</v>
      </c>
      <c r="I116" s="133">
        <f>2000+800-1000+1000</f>
        <v>2800</v>
      </c>
      <c r="J116" s="133"/>
      <c r="K116" s="133"/>
      <c r="L116" s="133"/>
    </row>
    <row r="117" spans="1:12" ht="15" customHeight="1">
      <c r="A117" s="121"/>
      <c r="B117" s="139" t="s">
        <v>175</v>
      </c>
      <c r="C117" s="169"/>
      <c r="D117" s="120" t="s">
        <v>47</v>
      </c>
      <c r="E117" s="120" t="s">
        <v>42</v>
      </c>
      <c r="F117" s="120" t="s">
        <v>176</v>
      </c>
      <c r="G117" s="120"/>
      <c r="H117" s="146">
        <f t="shared" si="3"/>
        <v>188034.3</v>
      </c>
      <c r="I117" s="133"/>
      <c r="J117" s="133"/>
      <c r="K117" s="133">
        <f>K118</f>
        <v>188034.3</v>
      </c>
      <c r="L117" s="133"/>
    </row>
    <row r="118" spans="1:12" ht="12.75">
      <c r="A118" s="121"/>
      <c r="B118" s="123" t="s">
        <v>181</v>
      </c>
      <c r="C118" s="169"/>
      <c r="D118" s="120" t="s">
        <v>47</v>
      </c>
      <c r="E118" s="120" t="s">
        <v>42</v>
      </c>
      <c r="F118" s="120" t="s">
        <v>176</v>
      </c>
      <c r="G118" s="120" t="s">
        <v>182</v>
      </c>
      <c r="H118" s="146">
        <f t="shared" si="3"/>
        <v>188034.3</v>
      </c>
      <c r="I118" s="146"/>
      <c r="J118" s="146"/>
      <c r="K118" s="133">
        <f>K119</f>
        <v>188034.3</v>
      </c>
      <c r="L118" s="146"/>
    </row>
    <row r="119" spans="1:12" ht="89.25">
      <c r="A119" s="121"/>
      <c r="B119" s="123" t="s">
        <v>411</v>
      </c>
      <c r="C119" s="169"/>
      <c r="D119" s="120" t="s">
        <v>47</v>
      </c>
      <c r="E119" s="120" t="s">
        <v>42</v>
      </c>
      <c r="F119" s="120" t="s">
        <v>412</v>
      </c>
      <c r="G119" s="120" t="s">
        <v>182</v>
      </c>
      <c r="H119" s="146">
        <f t="shared" si="3"/>
        <v>188034.3</v>
      </c>
      <c r="I119" s="133"/>
      <c r="J119" s="133"/>
      <c r="K119" s="133">
        <f>188034.3</f>
        <v>188034.3</v>
      </c>
      <c r="L119" s="133"/>
    </row>
    <row r="120" spans="1:12" ht="25.5">
      <c r="A120" s="121"/>
      <c r="B120" s="123" t="s">
        <v>109</v>
      </c>
      <c r="C120" s="133"/>
      <c r="D120" s="120" t="s">
        <v>47</v>
      </c>
      <c r="E120" s="120" t="s">
        <v>42</v>
      </c>
      <c r="F120" s="120" t="s">
        <v>110</v>
      </c>
      <c r="G120" s="120"/>
      <c r="H120" s="146">
        <f t="shared" si="3"/>
        <v>14848.9</v>
      </c>
      <c r="I120" s="133">
        <f>I121</f>
        <v>14848.9</v>
      </c>
      <c r="J120" s="133"/>
      <c r="K120" s="133"/>
      <c r="L120" s="133"/>
    </row>
    <row r="121" spans="1:12" ht="25.5">
      <c r="A121" s="121"/>
      <c r="B121" s="123" t="s">
        <v>117</v>
      </c>
      <c r="C121" s="133"/>
      <c r="D121" s="120" t="s">
        <v>47</v>
      </c>
      <c r="E121" s="120" t="s">
        <v>42</v>
      </c>
      <c r="F121" s="120" t="s">
        <v>110</v>
      </c>
      <c r="G121" s="120" t="s">
        <v>32</v>
      </c>
      <c r="H121" s="146">
        <f t="shared" si="3"/>
        <v>14848.9</v>
      </c>
      <c r="I121" s="133">
        <v>14848.9</v>
      </c>
      <c r="J121" s="133"/>
      <c r="K121" s="133"/>
      <c r="L121" s="133"/>
    </row>
    <row r="122" spans="1:12" ht="27.75" customHeight="1">
      <c r="A122" s="121"/>
      <c r="B122" s="123" t="s">
        <v>69</v>
      </c>
      <c r="C122" s="133"/>
      <c r="D122" s="119" t="s">
        <v>47</v>
      </c>
      <c r="E122" s="119" t="s">
        <v>47</v>
      </c>
      <c r="F122" s="120"/>
      <c r="G122" s="120"/>
      <c r="H122" s="146">
        <f aca="true" t="shared" si="4" ref="H122:H187">I122+J122+K122+L122</f>
        <v>89424.2</v>
      </c>
      <c r="I122" s="133">
        <f>I123+I127</f>
        <v>49205</v>
      </c>
      <c r="J122" s="133"/>
      <c r="K122" s="133">
        <f>K123+K127</f>
        <v>40219.2</v>
      </c>
      <c r="L122" s="133"/>
    </row>
    <row r="123" spans="1:12" ht="16.5" customHeight="1">
      <c r="A123" s="121"/>
      <c r="B123" s="139" t="s">
        <v>175</v>
      </c>
      <c r="C123" s="133"/>
      <c r="D123" s="120" t="s">
        <v>47</v>
      </c>
      <c r="E123" s="120" t="s">
        <v>47</v>
      </c>
      <c r="F123" s="120" t="s">
        <v>176</v>
      </c>
      <c r="G123" s="120"/>
      <c r="H123" s="146">
        <f>I123+J123+K123+L123</f>
        <v>40219.2</v>
      </c>
      <c r="I123" s="133"/>
      <c r="J123" s="133"/>
      <c r="K123" s="133">
        <f>K124</f>
        <v>40219.2</v>
      </c>
      <c r="L123" s="133"/>
    </row>
    <row r="124" spans="1:12" ht="25.5">
      <c r="A124" s="121"/>
      <c r="B124" s="123" t="s">
        <v>117</v>
      </c>
      <c r="C124" s="165"/>
      <c r="D124" s="120" t="s">
        <v>47</v>
      </c>
      <c r="E124" s="120" t="s">
        <v>47</v>
      </c>
      <c r="F124" s="120" t="s">
        <v>176</v>
      </c>
      <c r="G124" s="120" t="s">
        <v>32</v>
      </c>
      <c r="H124" s="146">
        <f>I124+J124+K124+L124</f>
        <v>40219.2</v>
      </c>
      <c r="I124" s="133"/>
      <c r="J124" s="146"/>
      <c r="K124" s="133">
        <f>K125+K126</f>
        <v>40219.2</v>
      </c>
      <c r="L124" s="133"/>
    </row>
    <row r="125" spans="1:12" ht="51">
      <c r="A125" s="121"/>
      <c r="B125" s="123" t="s">
        <v>35</v>
      </c>
      <c r="C125" s="133"/>
      <c r="D125" s="120" t="s">
        <v>47</v>
      </c>
      <c r="E125" s="120" t="s">
        <v>47</v>
      </c>
      <c r="F125" s="120" t="s">
        <v>271</v>
      </c>
      <c r="G125" s="120" t="s">
        <v>32</v>
      </c>
      <c r="H125" s="146">
        <f>I125+J125+K125+L125</f>
        <v>29703.5</v>
      </c>
      <c r="I125" s="133"/>
      <c r="J125" s="133"/>
      <c r="K125" s="142">
        <v>29703.5</v>
      </c>
      <c r="L125" s="133"/>
    </row>
    <row r="126" spans="1:12" ht="76.5">
      <c r="A126" s="121"/>
      <c r="B126" s="123" t="s">
        <v>307</v>
      </c>
      <c r="C126" s="133"/>
      <c r="D126" s="120" t="s">
        <v>47</v>
      </c>
      <c r="E126" s="120" t="s">
        <v>47</v>
      </c>
      <c r="F126" s="120" t="s">
        <v>270</v>
      </c>
      <c r="G126" s="120" t="s">
        <v>32</v>
      </c>
      <c r="H126" s="146">
        <f>I126+J126+K126+L126</f>
        <v>10515.7</v>
      </c>
      <c r="I126" s="133"/>
      <c r="J126" s="133"/>
      <c r="K126" s="142">
        <v>10515.7</v>
      </c>
      <c r="L126" s="133"/>
    </row>
    <row r="127" spans="1:12" ht="25.5">
      <c r="A127" s="190"/>
      <c r="B127" s="191" t="s">
        <v>109</v>
      </c>
      <c r="C127" s="192"/>
      <c r="D127" s="188" t="s">
        <v>47</v>
      </c>
      <c r="E127" s="188" t="s">
        <v>47</v>
      </c>
      <c r="F127" s="188" t="s">
        <v>110</v>
      </c>
      <c r="G127" s="188"/>
      <c r="H127" s="189">
        <f t="shared" si="4"/>
        <v>49205</v>
      </c>
      <c r="I127" s="192">
        <f>I128</f>
        <v>49205</v>
      </c>
      <c r="J127" s="192"/>
      <c r="K127" s="192"/>
      <c r="L127" s="192"/>
    </row>
    <row r="128" spans="1:12" ht="27.75" customHeight="1">
      <c r="A128" s="121"/>
      <c r="B128" s="123" t="s">
        <v>117</v>
      </c>
      <c r="C128" s="133"/>
      <c r="D128" s="120" t="s">
        <v>47</v>
      </c>
      <c r="E128" s="120" t="s">
        <v>47</v>
      </c>
      <c r="F128" s="120" t="s">
        <v>110</v>
      </c>
      <c r="G128" s="120" t="s">
        <v>32</v>
      </c>
      <c r="H128" s="146">
        <f t="shared" si="4"/>
        <v>49205</v>
      </c>
      <c r="I128" s="133">
        <f>38378+10827</f>
        <v>49205</v>
      </c>
      <c r="J128" s="133"/>
      <c r="K128" s="133"/>
      <c r="L128" s="133"/>
    </row>
    <row r="129" spans="1:12" ht="12.75">
      <c r="A129" s="121"/>
      <c r="B129" s="123" t="s">
        <v>71</v>
      </c>
      <c r="C129" s="123"/>
      <c r="D129" s="119" t="s">
        <v>50</v>
      </c>
      <c r="E129" s="119" t="s">
        <v>43</v>
      </c>
      <c r="F129" s="120"/>
      <c r="G129" s="120"/>
      <c r="H129" s="146">
        <f t="shared" si="4"/>
        <v>135991.90000000002</v>
      </c>
      <c r="I129" s="146">
        <f>I130+I134+I146</f>
        <v>132806.7</v>
      </c>
      <c r="J129" s="146">
        <f>J130+J134+J146</f>
        <v>0</v>
      </c>
      <c r="K129" s="146">
        <f>K130+K134+K146</f>
        <v>0</v>
      </c>
      <c r="L129" s="146">
        <f>L130+L134+L146</f>
        <v>3185.2000000000003</v>
      </c>
    </row>
    <row r="130" spans="1:12" ht="12.75">
      <c r="A130" s="121"/>
      <c r="B130" s="133" t="s">
        <v>75</v>
      </c>
      <c r="C130" s="123"/>
      <c r="D130" s="119" t="s">
        <v>50</v>
      </c>
      <c r="E130" s="119" t="s">
        <v>44</v>
      </c>
      <c r="F130" s="120"/>
      <c r="G130" s="120"/>
      <c r="H130" s="146">
        <f t="shared" si="4"/>
        <v>113331.80000000002</v>
      </c>
      <c r="I130" s="146">
        <f>I131</f>
        <v>112074.50000000001</v>
      </c>
      <c r="J130" s="146">
        <f>J131</f>
        <v>0</v>
      </c>
      <c r="K130" s="146">
        <f>K131</f>
        <v>0</v>
      </c>
      <c r="L130" s="146">
        <f>L131</f>
        <v>1257.3000000000002</v>
      </c>
    </row>
    <row r="131" spans="1:12" ht="25.5">
      <c r="A131" s="121"/>
      <c r="B131" s="123" t="s">
        <v>106</v>
      </c>
      <c r="C131" s="123"/>
      <c r="D131" s="120" t="s">
        <v>50</v>
      </c>
      <c r="E131" s="120" t="s">
        <v>44</v>
      </c>
      <c r="F131" s="120" t="s">
        <v>107</v>
      </c>
      <c r="G131" s="120"/>
      <c r="H131" s="146">
        <f t="shared" si="4"/>
        <v>113331.80000000002</v>
      </c>
      <c r="I131" s="133">
        <f>I132</f>
        <v>112074.50000000001</v>
      </c>
      <c r="J131" s="133"/>
      <c r="K131" s="133"/>
      <c r="L131" s="133">
        <f>L132</f>
        <v>1257.3000000000002</v>
      </c>
    </row>
    <row r="132" spans="1:12" ht="25.5">
      <c r="A132" s="121"/>
      <c r="B132" s="123" t="s">
        <v>94</v>
      </c>
      <c r="C132" s="123"/>
      <c r="D132" s="120" t="s">
        <v>50</v>
      </c>
      <c r="E132" s="120" t="s">
        <v>44</v>
      </c>
      <c r="F132" s="120" t="s">
        <v>108</v>
      </c>
      <c r="G132" s="120"/>
      <c r="H132" s="146">
        <f t="shared" si="4"/>
        <v>113331.80000000002</v>
      </c>
      <c r="I132" s="133">
        <f>I133</f>
        <v>112074.50000000001</v>
      </c>
      <c r="J132" s="133"/>
      <c r="K132" s="133"/>
      <c r="L132" s="133">
        <f>L133</f>
        <v>1257.3000000000002</v>
      </c>
    </row>
    <row r="133" spans="1:12" ht="25.5">
      <c r="A133" s="190"/>
      <c r="B133" s="191" t="s">
        <v>95</v>
      </c>
      <c r="C133" s="191"/>
      <c r="D133" s="188" t="s">
        <v>50</v>
      </c>
      <c r="E133" s="188" t="s">
        <v>44</v>
      </c>
      <c r="F133" s="188" t="s">
        <v>108</v>
      </c>
      <c r="G133" s="188" t="s">
        <v>99</v>
      </c>
      <c r="H133" s="189">
        <f t="shared" si="4"/>
        <v>113331.80000000002</v>
      </c>
      <c r="I133" s="192">
        <f>107125+914+71+122+11.5+23.1+22.4+25-146-97.2+456.7+337.1+5+353+48+207.5+80+5-288+635+46.8+2215-97.4</f>
        <v>112074.50000000001</v>
      </c>
      <c r="J133" s="192"/>
      <c r="K133" s="192"/>
      <c r="L133" s="192">
        <f>1047.4+209.9</f>
        <v>1257.3000000000002</v>
      </c>
    </row>
    <row r="134" spans="1:12" ht="25.5">
      <c r="A134" s="121"/>
      <c r="B134" s="123" t="s">
        <v>77</v>
      </c>
      <c r="C134" s="123"/>
      <c r="D134" s="119" t="s">
        <v>50</v>
      </c>
      <c r="E134" s="119" t="s">
        <v>50</v>
      </c>
      <c r="F134" s="120"/>
      <c r="G134" s="120"/>
      <c r="H134" s="146">
        <f t="shared" si="4"/>
        <v>14932.199999999999</v>
      </c>
      <c r="I134" s="146">
        <f>I135+I138+I140+I143</f>
        <v>14732.199999999999</v>
      </c>
      <c r="J134" s="146">
        <f>J135+J140+J143</f>
        <v>0</v>
      </c>
      <c r="K134" s="146">
        <f>K135+K140+K143</f>
        <v>0</v>
      </c>
      <c r="L134" s="146">
        <f>L135+L140+L143</f>
        <v>200</v>
      </c>
    </row>
    <row r="135" spans="1:12" ht="25.5">
      <c r="A135" s="190"/>
      <c r="B135" s="191" t="s">
        <v>129</v>
      </c>
      <c r="C135" s="192"/>
      <c r="D135" s="188" t="s">
        <v>50</v>
      </c>
      <c r="E135" s="188" t="s">
        <v>50</v>
      </c>
      <c r="F135" s="188" t="s">
        <v>130</v>
      </c>
      <c r="G135" s="188"/>
      <c r="H135" s="189">
        <f t="shared" si="4"/>
        <v>10762.199999999999</v>
      </c>
      <c r="I135" s="192">
        <f>I136</f>
        <v>10762.199999999999</v>
      </c>
      <c r="J135" s="192"/>
      <c r="K135" s="192"/>
      <c r="L135" s="192"/>
    </row>
    <row r="136" spans="1:12" ht="25.5">
      <c r="A136" s="121"/>
      <c r="B136" s="123" t="s">
        <v>94</v>
      </c>
      <c r="C136" s="133"/>
      <c r="D136" s="120" t="s">
        <v>50</v>
      </c>
      <c r="E136" s="120" t="s">
        <v>50</v>
      </c>
      <c r="F136" s="120" t="s">
        <v>328</v>
      </c>
      <c r="G136" s="120"/>
      <c r="H136" s="146">
        <f t="shared" si="4"/>
        <v>10762.199999999999</v>
      </c>
      <c r="I136" s="133">
        <f>I137</f>
        <v>10762.199999999999</v>
      </c>
      <c r="J136" s="133"/>
      <c r="K136" s="133"/>
      <c r="L136" s="133"/>
    </row>
    <row r="137" spans="1:12" ht="25.5">
      <c r="A137" s="114"/>
      <c r="B137" s="115" t="s">
        <v>95</v>
      </c>
      <c r="C137" s="113"/>
      <c r="D137" s="112" t="s">
        <v>50</v>
      </c>
      <c r="E137" s="112" t="s">
        <v>50</v>
      </c>
      <c r="F137" s="112" t="s">
        <v>328</v>
      </c>
      <c r="G137" s="112" t="s">
        <v>99</v>
      </c>
      <c r="H137" s="108">
        <f t="shared" si="4"/>
        <v>10762.199999999999</v>
      </c>
      <c r="I137" s="113">
        <f>8609+500+63-277.1+51.8-64.5+162+90+6+680+142+300+500</f>
        <v>10762.199999999999</v>
      </c>
      <c r="J137" s="113"/>
      <c r="K137" s="113"/>
      <c r="L137" s="113"/>
    </row>
    <row r="138" spans="1:12" ht="12.75">
      <c r="A138" s="114"/>
      <c r="B138" s="113" t="s">
        <v>206</v>
      </c>
      <c r="C138" s="115"/>
      <c r="D138" s="112" t="s">
        <v>50</v>
      </c>
      <c r="E138" s="112" t="s">
        <v>50</v>
      </c>
      <c r="F138" s="112" t="s">
        <v>207</v>
      </c>
      <c r="G138" s="109"/>
      <c r="H138" s="108">
        <f t="shared" si="4"/>
        <v>70</v>
      </c>
      <c r="I138" s="113">
        <f>I139</f>
        <v>70</v>
      </c>
      <c r="J138" s="113"/>
      <c r="K138" s="113"/>
      <c r="L138" s="113"/>
    </row>
    <row r="139" spans="1:12" ht="25.5">
      <c r="A139" s="114"/>
      <c r="B139" s="115" t="s">
        <v>95</v>
      </c>
      <c r="C139" s="115"/>
      <c r="D139" s="112" t="s">
        <v>50</v>
      </c>
      <c r="E139" s="112" t="s">
        <v>50</v>
      </c>
      <c r="F139" s="112" t="s">
        <v>207</v>
      </c>
      <c r="G139" s="112" t="s">
        <v>99</v>
      </c>
      <c r="H139" s="108">
        <f t="shared" si="4"/>
        <v>70</v>
      </c>
      <c r="I139" s="113">
        <v>70</v>
      </c>
      <c r="J139" s="113"/>
      <c r="K139" s="113"/>
      <c r="L139" s="113"/>
    </row>
    <row r="140" spans="1:12" ht="18.75" customHeight="1">
      <c r="A140" s="114"/>
      <c r="B140" s="149" t="s">
        <v>175</v>
      </c>
      <c r="C140" s="115"/>
      <c r="D140" s="112" t="s">
        <v>50</v>
      </c>
      <c r="E140" s="112" t="s">
        <v>50</v>
      </c>
      <c r="F140" s="112" t="s">
        <v>176</v>
      </c>
      <c r="G140" s="112"/>
      <c r="H140" s="108">
        <f>I140+J140+K140+L140</f>
        <v>200</v>
      </c>
      <c r="I140" s="113"/>
      <c r="J140" s="113"/>
      <c r="K140" s="113"/>
      <c r="L140" s="113">
        <f>L141</f>
        <v>200</v>
      </c>
    </row>
    <row r="141" spans="1:12" ht="25.5">
      <c r="A141" s="114"/>
      <c r="B141" s="115" t="s">
        <v>470</v>
      </c>
      <c r="C141" s="115"/>
      <c r="D141" s="112" t="s">
        <v>50</v>
      </c>
      <c r="E141" s="112" t="s">
        <v>50</v>
      </c>
      <c r="F141" s="112" t="s">
        <v>471</v>
      </c>
      <c r="G141" s="112"/>
      <c r="H141" s="108">
        <f>I141+J141+K141+L141</f>
        <v>200</v>
      </c>
      <c r="I141" s="113"/>
      <c r="J141" s="113"/>
      <c r="K141" s="113"/>
      <c r="L141" s="113">
        <f>L142</f>
        <v>200</v>
      </c>
    </row>
    <row r="142" spans="1:12" ht="38.25">
      <c r="A142" s="114"/>
      <c r="B142" s="115" t="s">
        <v>111</v>
      </c>
      <c r="C142" s="115"/>
      <c r="D142" s="112" t="s">
        <v>50</v>
      </c>
      <c r="E142" s="112" t="s">
        <v>50</v>
      </c>
      <c r="F142" s="112" t="s">
        <v>471</v>
      </c>
      <c r="G142" s="112" t="s">
        <v>112</v>
      </c>
      <c r="H142" s="108">
        <f>I142+J142+K142+L142</f>
        <v>200</v>
      </c>
      <c r="I142" s="113"/>
      <c r="J142" s="113"/>
      <c r="K142" s="113"/>
      <c r="L142" s="113">
        <v>200</v>
      </c>
    </row>
    <row r="143" spans="1:12" ht="25.5">
      <c r="A143" s="121"/>
      <c r="B143" s="123" t="s">
        <v>109</v>
      </c>
      <c r="C143" s="123"/>
      <c r="D143" s="120" t="s">
        <v>50</v>
      </c>
      <c r="E143" s="120" t="s">
        <v>50</v>
      </c>
      <c r="F143" s="120" t="s">
        <v>110</v>
      </c>
      <c r="G143" s="119"/>
      <c r="H143" s="146">
        <f t="shared" si="4"/>
        <v>3900</v>
      </c>
      <c r="I143" s="133">
        <f>I144+I145</f>
        <v>3900</v>
      </c>
      <c r="J143" s="133"/>
      <c r="K143" s="133"/>
      <c r="L143" s="133"/>
    </row>
    <row r="144" spans="1:12" ht="38.25">
      <c r="A144" s="121"/>
      <c r="B144" s="123" t="s">
        <v>111</v>
      </c>
      <c r="C144" s="123"/>
      <c r="D144" s="120" t="s">
        <v>50</v>
      </c>
      <c r="E144" s="120" t="s">
        <v>50</v>
      </c>
      <c r="F144" s="120" t="s">
        <v>110</v>
      </c>
      <c r="G144" s="120" t="s">
        <v>112</v>
      </c>
      <c r="H144" s="146">
        <f t="shared" si="4"/>
        <v>2900</v>
      </c>
      <c r="I144" s="133">
        <f>2805+95</f>
        <v>2900</v>
      </c>
      <c r="J144" s="133"/>
      <c r="K144" s="133"/>
      <c r="L144" s="133"/>
    </row>
    <row r="145" spans="1:12" ht="25.5">
      <c r="A145" s="121"/>
      <c r="B145" s="123" t="s">
        <v>117</v>
      </c>
      <c r="C145" s="123"/>
      <c r="D145" s="120" t="s">
        <v>50</v>
      </c>
      <c r="E145" s="120" t="s">
        <v>50</v>
      </c>
      <c r="F145" s="120" t="s">
        <v>110</v>
      </c>
      <c r="G145" s="120" t="s">
        <v>32</v>
      </c>
      <c r="H145" s="146">
        <f t="shared" si="4"/>
        <v>1000</v>
      </c>
      <c r="I145" s="133">
        <v>1000</v>
      </c>
      <c r="J145" s="133"/>
      <c r="K145" s="133"/>
      <c r="L145" s="133"/>
    </row>
    <row r="146" spans="1:12" ht="25.5">
      <c r="A146" s="121"/>
      <c r="B146" s="123" t="s">
        <v>78</v>
      </c>
      <c r="C146" s="123"/>
      <c r="D146" s="119" t="s">
        <v>50</v>
      </c>
      <c r="E146" s="119" t="s">
        <v>54</v>
      </c>
      <c r="F146" s="120"/>
      <c r="G146" s="120"/>
      <c r="H146" s="146">
        <f t="shared" si="4"/>
        <v>7727.9</v>
      </c>
      <c r="I146" s="146">
        <f>I147+I149</f>
        <v>6000</v>
      </c>
      <c r="J146" s="146">
        <f>J147+J149</f>
        <v>0</v>
      </c>
      <c r="K146" s="146">
        <f>K147+K149</f>
        <v>0</v>
      </c>
      <c r="L146" s="146">
        <f>L147+L149</f>
        <v>1727.9</v>
      </c>
    </row>
    <row r="147" spans="1:12" ht="89.25" customHeight="1">
      <c r="A147" s="121"/>
      <c r="B147" s="139" t="s">
        <v>160</v>
      </c>
      <c r="C147" s="123"/>
      <c r="D147" s="155" t="s">
        <v>50</v>
      </c>
      <c r="E147" s="155" t="s">
        <v>54</v>
      </c>
      <c r="F147" s="155" t="s">
        <v>162</v>
      </c>
      <c r="G147" s="155"/>
      <c r="H147" s="163">
        <f aca="true" t="shared" si="5" ref="H147:H152">I147+J147+K147+L147</f>
        <v>6000</v>
      </c>
      <c r="I147" s="140">
        <f>I148</f>
        <v>6000</v>
      </c>
      <c r="J147" s="140"/>
      <c r="K147" s="133"/>
      <c r="L147" s="133"/>
    </row>
    <row r="148" spans="1:12" ht="25.5">
      <c r="A148" s="121"/>
      <c r="B148" s="123" t="s">
        <v>329</v>
      </c>
      <c r="C148" s="123"/>
      <c r="D148" s="155" t="s">
        <v>50</v>
      </c>
      <c r="E148" s="155" t="s">
        <v>54</v>
      </c>
      <c r="F148" s="155" t="s">
        <v>162</v>
      </c>
      <c r="G148" s="155" t="s">
        <v>330</v>
      </c>
      <c r="H148" s="163">
        <f t="shared" si="5"/>
        <v>6000</v>
      </c>
      <c r="I148" s="140">
        <v>6000</v>
      </c>
      <c r="J148" s="140"/>
      <c r="K148" s="133"/>
      <c r="L148" s="133"/>
    </row>
    <row r="149" spans="1:12" ht="17.25" customHeight="1">
      <c r="A149" s="121"/>
      <c r="B149" s="149" t="s">
        <v>175</v>
      </c>
      <c r="C149" s="123"/>
      <c r="D149" s="155" t="s">
        <v>50</v>
      </c>
      <c r="E149" s="155" t="s">
        <v>476</v>
      </c>
      <c r="F149" s="155" t="s">
        <v>176</v>
      </c>
      <c r="G149" s="155"/>
      <c r="H149" s="146">
        <f t="shared" si="5"/>
        <v>1727.9</v>
      </c>
      <c r="I149" s="140">
        <f>I150</f>
        <v>0</v>
      </c>
      <c r="J149" s="140"/>
      <c r="K149" s="140"/>
      <c r="L149" s="140">
        <f>L150</f>
        <v>1727.9</v>
      </c>
    </row>
    <row r="150" spans="1:12" ht="63.75">
      <c r="A150" s="114"/>
      <c r="B150" s="123" t="s">
        <v>454</v>
      </c>
      <c r="C150" s="123"/>
      <c r="D150" s="112" t="s">
        <v>50</v>
      </c>
      <c r="E150" s="112" t="s">
        <v>54</v>
      </c>
      <c r="F150" s="112" t="s">
        <v>450</v>
      </c>
      <c r="G150" s="112"/>
      <c r="H150" s="146">
        <f t="shared" si="5"/>
        <v>1727.9</v>
      </c>
      <c r="I150" s="133">
        <f>I151</f>
        <v>0</v>
      </c>
      <c r="J150" s="133"/>
      <c r="K150" s="133"/>
      <c r="L150" s="133">
        <f>L151</f>
        <v>1727.9</v>
      </c>
    </row>
    <row r="151" spans="1:12" ht="25.5">
      <c r="A151" s="114"/>
      <c r="B151" s="123" t="s">
        <v>474</v>
      </c>
      <c r="C151" s="123"/>
      <c r="D151" s="112" t="s">
        <v>50</v>
      </c>
      <c r="E151" s="112" t="s">
        <v>54</v>
      </c>
      <c r="F151" s="112" t="s">
        <v>475</v>
      </c>
      <c r="G151" s="112"/>
      <c r="H151" s="146">
        <f t="shared" si="5"/>
        <v>1727.9</v>
      </c>
      <c r="I151" s="133">
        <f>I152</f>
        <v>0</v>
      </c>
      <c r="J151" s="133"/>
      <c r="K151" s="133"/>
      <c r="L151" s="133">
        <f>L152</f>
        <v>1727.9</v>
      </c>
    </row>
    <row r="152" spans="1:12" ht="25.5">
      <c r="A152" s="121"/>
      <c r="B152" s="123" t="s">
        <v>329</v>
      </c>
      <c r="C152" s="123"/>
      <c r="D152" s="112" t="s">
        <v>50</v>
      </c>
      <c r="E152" s="112" t="s">
        <v>54</v>
      </c>
      <c r="F152" s="112" t="s">
        <v>475</v>
      </c>
      <c r="G152" s="120" t="s">
        <v>330</v>
      </c>
      <c r="H152" s="146">
        <f t="shared" si="5"/>
        <v>1727.9</v>
      </c>
      <c r="I152" s="133">
        <v>0</v>
      </c>
      <c r="J152" s="133"/>
      <c r="K152" s="133"/>
      <c r="L152" s="133">
        <v>1727.9</v>
      </c>
    </row>
    <row r="153" spans="1:12" ht="25.5">
      <c r="A153" s="121"/>
      <c r="B153" s="123" t="s">
        <v>79</v>
      </c>
      <c r="C153" s="123"/>
      <c r="D153" s="119" t="s">
        <v>61</v>
      </c>
      <c r="E153" s="119" t="s">
        <v>43</v>
      </c>
      <c r="F153" s="120"/>
      <c r="G153" s="120"/>
      <c r="H153" s="146">
        <f t="shared" si="4"/>
        <v>76938.8</v>
      </c>
      <c r="I153" s="177">
        <f>I154+I169+I173+I177</f>
        <v>73303.8</v>
      </c>
      <c r="J153" s="177">
        <f>J154+J169+J173+J177</f>
        <v>0</v>
      </c>
      <c r="K153" s="177">
        <f>K154+K169+K173+K177</f>
        <v>0</v>
      </c>
      <c r="L153" s="177">
        <f>L154+L169+L173+L177</f>
        <v>3635</v>
      </c>
    </row>
    <row r="154" spans="1:12" ht="12.75">
      <c r="A154" s="121"/>
      <c r="B154" s="133" t="s">
        <v>144</v>
      </c>
      <c r="C154" s="133"/>
      <c r="D154" s="119" t="s">
        <v>61</v>
      </c>
      <c r="E154" s="119" t="s">
        <v>42</v>
      </c>
      <c r="F154" s="120"/>
      <c r="G154" s="120"/>
      <c r="H154" s="146">
        <f t="shared" si="4"/>
        <v>67879.5</v>
      </c>
      <c r="I154" s="133">
        <f>I155+I159+I162+I166</f>
        <v>64244.5</v>
      </c>
      <c r="J154" s="133">
        <f>J155+J159+J162+J166</f>
        <v>0</v>
      </c>
      <c r="K154" s="133">
        <f>K155+K159+K162+K166</f>
        <v>0</v>
      </c>
      <c r="L154" s="133">
        <f>L155+L159+L162+L166</f>
        <v>3635</v>
      </c>
    </row>
    <row r="155" spans="1:12" ht="38.25">
      <c r="A155" s="121"/>
      <c r="B155" s="123" t="s">
        <v>131</v>
      </c>
      <c r="C155" s="133"/>
      <c r="D155" s="120" t="s">
        <v>61</v>
      </c>
      <c r="E155" s="120" t="s">
        <v>42</v>
      </c>
      <c r="F155" s="120" t="s">
        <v>132</v>
      </c>
      <c r="G155" s="120"/>
      <c r="H155" s="146">
        <f t="shared" si="4"/>
        <v>47466.5</v>
      </c>
      <c r="I155" s="133">
        <f>I156</f>
        <v>43886.5</v>
      </c>
      <c r="J155" s="133">
        <f>J156</f>
        <v>0</v>
      </c>
      <c r="K155" s="133">
        <f>K156</f>
        <v>0</v>
      </c>
      <c r="L155" s="133">
        <f>L156</f>
        <v>3580</v>
      </c>
    </row>
    <row r="156" spans="1:12" ht="25.5">
      <c r="A156" s="121"/>
      <c r="B156" s="123" t="s">
        <v>94</v>
      </c>
      <c r="C156" s="133"/>
      <c r="D156" s="120" t="s">
        <v>61</v>
      </c>
      <c r="E156" s="120" t="s">
        <v>42</v>
      </c>
      <c r="F156" s="120" t="s">
        <v>133</v>
      </c>
      <c r="G156" s="120"/>
      <c r="H156" s="146">
        <f t="shared" si="4"/>
        <v>47466.5</v>
      </c>
      <c r="I156" s="133">
        <f>I157+I158</f>
        <v>43886.5</v>
      </c>
      <c r="J156" s="133">
        <f>J157+J158</f>
        <v>0</v>
      </c>
      <c r="K156" s="133">
        <f>K157+K158</f>
        <v>0</v>
      </c>
      <c r="L156" s="133">
        <f>L157+L158</f>
        <v>3580</v>
      </c>
    </row>
    <row r="157" spans="1:12" ht="25.5">
      <c r="A157" s="121"/>
      <c r="B157" s="123" t="s">
        <v>95</v>
      </c>
      <c r="C157" s="133"/>
      <c r="D157" s="120" t="s">
        <v>61</v>
      </c>
      <c r="E157" s="120" t="s">
        <v>42</v>
      </c>
      <c r="F157" s="120" t="s">
        <v>133</v>
      </c>
      <c r="G157" s="120" t="s">
        <v>99</v>
      </c>
      <c r="H157" s="146">
        <f t="shared" si="4"/>
        <v>0</v>
      </c>
      <c r="I157" s="133">
        <f>50020+270-50290</f>
        <v>0</v>
      </c>
      <c r="J157" s="133"/>
      <c r="K157" s="133"/>
      <c r="L157" s="133"/>
    </row>
    <row r="158" spans="1:12" ht="25.5">
      <c r="A158" s="190"/>
      <c r="B158" s="191" t="s">
        <v>329</v>
      </c>
      <c r="C158" s="192"/>
      <c r="D158" s="188" t="s">
        <v>61</v>
      </c>
      <c r="E158" s="188" t="s">
        <v>42</v>
      </c>
      <c r="F158" s="188" t="s">
        <v>133</v>
      </c>
      <c r="G158" s="188" t="s">
        <v>330</v>
      </c>
      <c r="H158" s="189">
        <f t="shared" si="4"/>
        <v>47466.5</v>
      </c>
      <c r="I158" s="192">
        <f>38052+929.9+1260+3144.6+500</f>
        <v>43886.5</v>
      </c>
      <c r="J158" s="192"/>
      <c r="K158" s="192"/>
      <c r="L158" s="192">
        <v>3580</v>
      </c>
    </row>
    <row r="159" spans="1:12" ht="12.75">
      <c r="A159" s="121"/>
      <c r="B159" s="133" t="s">
        <v>134</v>
      </c>
      <c r="C159" s="133"/>
      <c r="D159" s="120" t="s">
        <v>61</v>
      </c>
      <c r="E159" s="120" t="s">
        <v>42</v>
      </c>
      <c r="F159" s="120" t="s">
        <v>135</v>
      </c>
      <c r="G159" s="120"/>
      <c r="H159" s="146">
        <f t="shared" si="4"/>
        <v>4789.8</v>
      </c>
      <c r="I159" s="133">
        <f>I160</f>
        <v>4789.8</v>
      </c>
      <c r="J159" s="133"/>
      <c r="K159" s="133"/>
      <c r="L159" s="133"/>
    </row>
    <row r="160" spans="1:12" ht="25.5">
      <c r="A160" s="121"/>
      <c r="B160" s="123" t="s">
        <v>94</v>
      </c>
      <c r="C160" s="133"/>
      <c r="D160" s="120" t="s">
        <v>61</v>
      </c>
      <c r="E160" s="120" t="s">
        <v>42</v>
      </c>
      <c r="F160" s="120" t="s">
        <v>136</v>
      </c>
      <c r="G160" s="120"/>
      <c r="H160" s="146">
        <f t="shared" si="4"/>
        <v>4789.8</v>
      </c>
      <c r="I160" s="133">
        <f>I161</f>
        <v>4789.8</v>
      </c>
      <c r="J160" s="133"/>
      <c r="K160" s="133"/>
      <c r="L160" s="133"/>
    </row>
    <row r="161" spans="1:12" ht="25.5">
      <c r="A161" s="121"/>
      <c r="B161" s="123" t="s">
        <v>95</v>
      </c>
      <c r="C161" s="133"/>
      <c r="D161" s="120" t="s">
        <v>61</v>
      </c>
      <c r="E161" s="120" t="s">
        <v>42</v>
      </c>
      <c r="F161" s="120" t="s">
        <v>136</v>
      </c>
      <c r="G161" s="120" t="s">
        <v>99</v>
      </c>
      <c r="H161" s="146">
        <f t="shared" si="4"/>
        <v>4789.8</v>
      </c>
      <c r="I161" s="133">
        <f>4784+33+11.5-38.7</f>
        <v>4789.8</v>
      </c>
      <c r="J161" s="133"/>
      <c r="K161" s="133"/>
      <c r="L161" s="133"/>
    </row>
    <row r="162" spans="1:12" ht="12.75">
      <c r="A162" s="121"/>
      <c r="B162" s="133" t="s">
        <v>137</v>
      </c>
      <c r="C162" s="133"/>
      <c r="D162" s="120" t="s">
        <v>61</v>
      </c>
      <c r="E162" s="120" t="s">
        <v>42</v>
      </c>
      <c r="F162" s="120" t="s">
        <v>138</v>
      </c>
      <c r="G162" s="120"/>
      <c r="H162" s="146">
        <f t="shared" si="4"/>
        <v>15568.2</v>
      </c>
      <c r="I162" s="133">
        <f>I163+I165</f>
        <v>15568.2</v>
      </c>
      <c r="J162" s="133"/>
      <c r="K162" s="133"/>
      <c r="L162" s="133"/>
    </row>
    <row r="163" spans="1:12" ht="25.5">
      <c r="A163" s="121"/>
      <c r="B163" s="123" t="s">
        <v>94</v>
      </c>
      <c r="C163" s="133"/>
      <c r="D163" s="120" t="s">
        <v>61</v>
      </c>
      <c r="E163" s="120" t="s">
        <v>42</v>
      </c>
      <c r="F163" s="120" t="s">
        <v>139</v>
      </c>
      <c r="G163" s="120"/>
      <c r="H163" s="146">
        <f t="shared" si="4"/>
        <v>0</v>
      </c>
      <c r="I163" s="133">
        <f>I164</f>
        <v>0</v>
      </c>
      <c r="J163" s="133"/>
      <c r="K163" s="133"/>
      <c r="L163" s="133"/>
    </row>
    <row r="164" spans="1:12" ht="25.5">
      <c r="A164" s="121"/>
      <c r="B164" s="123" t="s">
        <v>95</v>
      </c>
      <c r="C164" s="133"/>
      <c r="D164" s="120" t="s">
        <v>61</v>
      </c>
      <c r="E164" s="120" t="s">
        <v>42</v>
      </c>
      <c r="F164" s="120" t="s">
        <v>139</v>
      </c>
      <c r="G164" s="120" t="s">
        <v>99</v>
      </c>
      <c r="H164" s="146">
        <f t="shared" si="4"/>
        <v>0</v>
      </c>
      <c r="I164" s="133">
        <f>15401+98-15499</f>
        <v>0</v>
      </c>
      <c r="J164" s="133"/>
      <c r="K164" s="133"/>
      <c r="L164" s="133"/>
    </row>
    <row r="165" spans="1:12" ht="25.5">
      <c r="A165" s="121"/>
      <c r="B165" s="123" t="s">
        <v>329</v>
      </c>
      <c r="C165" s="133"/>
      <c r="D165" s="120" t="s">
        <v>61</v>
      </c>
      <c r="E165" s="120" t="s">
        <v>42</v>
      </c>
      <c r="F165" s="120" t="s">
        <v>139</v>
      </c>
      <c r="G165" s="120" t="s">
        <v>330</v>
      </c>
      <c r="H165" s="146">
        <f t="shared" si="4"/>
        <v>15568.2</v>
      </c>
      <c r="I165" s="133">
        <f>15375+193.2</f>
        <v>15568.2</v>
      </c>
      <c r="J165" s="133"/>
      <c r="K165" s="133"/>
      <c r="L165" s="133"/>
    </row>
    <row r="166" spans="1:12" ht="38.25">
      <c r="A166" s="121"/>
      <c r="B166" s="123" t="s">
        <v>140</v>
      </c>
      <c r="C166" s="133"/>
      <c r="D166" s="120" t="s">
        <v>61</v>
      </c>
      <c r="E166" s="120" t="s">
        <v>42</v>
      </c>
      <c r="F166" s="120" t="s">
        <v>141</v>
      </c>
      <c r="G166" s="120"/>
      <c r="H166" s="146">
        <f t="shared" si="4"/>
        <v>55</v>
      </c>
      <c r="I166" s="133"/>
      <c r="J166" s="133"/>
      <c r="K166" s="133">
        <f>K167</f>
        <v>0</v>
      </c>
      <c r="L166" s="133">
        <f>L167</f>
        <v>55</v>
      </c>
    </row>
    <row r="167" spans="1:12" ht="38.25">
      <c r="A167" s="121"/>
      <c r="B167" s="123" t="s">
        <v>142</v>
      </c>
      <c r="C167" s="133"/>
      <c r="D167" s="120" t="s">
        <v>61</v>
      </c>
      <c r="E167" s="120" t="s">
        <v>42</v>
      </c>
      <c r="F167" s="120" t="s">
        <v>143</v>
      </c>
      <c r="G167" s="120"/>
      <c r="H167" s="146">
        <f t="shared" si="4"/>
        <v>55</v>
      </c>
      <c r="I167" s="133"/>
      <c r="J167" s="133"/>
      <c r="K167" s="133">
        <f>K168</f>
        <v>0</v>
      </c>
      <c r="L167" s="133">
        <f>L168</f>
        <v>55</v>
      </c>
    </row>
    <row r="168" spans="1:12" ht="25.5">
      <c r="A168" s="121"/>
      <c r="B168" s="123" t="s">
        <v>95</v>
      </c>
      <c r="C168" s="133"/>
      <c r="D168" s="120" t="s">
        <v>61</v>
      </c>
      <c r="E168" s="120" t="s">
        <v>42</v>
      </c>
      <c r="F168" s="120" t="s">
        <v>143</v>
      </c>
      <c r="G168" s="120" t="s">
        <v>99</v>
      </c>
      <c r="H168" s="146">
        <f t="shared" si="4"/>
        <v>55</v>
      </c>
      <c r="I168" s="133"/>
      <c r="J168" s="133"/>
      <c r="K168" s="142">
        <f>55-55</f>
        <v>0</v>
      </c>
      <c r="L168" s="133">
        <v>55</v>
      </c>
    </row>
    <row r="169" spans="1:12" ht="12.75">
      <c r="A169" s="121"/>
      <c r="B169" s="133" t="s">
        <v>464</v>
      </c>
      <c r="C169" s="133"/>
      <c r="D169" s="119" t="s">
        <v>61</v>
      </c>
      <c r="E169" s="119" t="s">
        <v>45</v>
      </c>
      <c r="F169" s="119"/>
      <c r="G169" s="119"/>
      <c r="H169" s="146">
        <f t="shared" si="4"/>
        <v>0.8</v>
      </c>
      <c r="I169" s="133">
        <f>I170</f>
        <v>0.8</v>
      </c>
      <c r="J169" s="133"/>
      <c r="K169" s="133"/>
      <c r="L169" s="133"/>
    </row>
    <row r="170" spans="1:12" ht="25.5">
      <c r="A170" s="121"/>
      <c r="B170" s="123" t="s">
        <v>465</v>
      </c>
      <c r="C170" s="133"/>
      <c r="D170" s="120" t="s">
        <v>61</v>
      </c>
      <c r="E170" s="120" t="s">
        <v>45</v>
      </c>
      <c r="F170" s="120" t="s">
        <v>466</v>
      </c>
      <c r="G170" s="119"/>
      <c r="H170" s="146">
        <f t="shared" si="4"/>
        <v>0.8</v>
      </c>
      <c r="I170" s="133">
        <f>I171</f>
        <v>0.8</v>
      </c>
      <c r="J170" s="133"/>
      <c r="K170" s="133"/>
      <c r="L170" s="133"/>
    </row>
    <row r="171" spans="1:12" ht="25.5">
      <c r="A171" s="121"/>
      <c r="B171" s="123" t="s">
        <v>94</v>
      </c>
      <c r="C171" s="133"/>
      <c r="D171" s="120" t="s">
        <v>61</v>
      </c>
      <c r="E171" s="120" t="s">
        <v>45</v>
      </c>
      <c r="F171" s="120" t="s">
        <v>467</v>
      </c>
      <c r="G171" s="119"/>
      <c r="H171" s="146">
        <f t="shared" si="4"/>
        <v>0.8</v>
      </c>
      <c r="I171" s="133">
        <f>I172</f>
        <v>0.8</v>
      </c>
      <c r="J171" s="133"/>
      <c r="K171" s="133"/>
      <c r="L171" s="133"/>
    </row>
    <row r="172" spans="1:12" ht="25.5">
      <c r="A172" s="121"/>
      <c r="B172" s="123" t="s">
        <v>95</v>
      </c>
      <c r="C172" s="133"/>
      <c r="D172" s="120" t="s">
        <v>61</v>
      </c>
      <c r="E172" s="120" t="s">
        <v>45</v>
      </c>
      <c r="F172" s="120" t="s">
        <v>467</v>
      </c>
      <c r="G172" s="120" t="s">
        <v>99</v>
      </c>
      <c r="H172" s="146">
        <f t="shared" si="4"/>
        <v>0.8</v>
      </c>
      <c r="I172" s="133">
        <v>0.8</v>
      </c>
      <c r="J172" s="133"/>
      <c r="K172" s="133"/>
      <c r="L172" s="133"/>
    </row>
    <row r="173" spans="1:12" ht="25.5">
      <c r="A173" s="121"/>
      <c r="B173" s="123" t="s">
        <v>84</v>
      </c>
      <c r="C173" s="133"/>
      <c r="D173" s="119" t="s">
        <v>61</v>
      </c>
      <c r="E173" s="119" t="s">
        <v>46</v>
      </c>
      <c r="F173" s="119"/>
      <c r="G173" s="119"/>
      <c r="H173" s="146">
        <f t="shared" si="4"/>
        <v>8958.500000000002</v>
      </c>
      <c r="I173" s="133">
        <f>I176</f>
        <v>8958.500000000002</v>
      </c>
      <c r="J173" s="133">
        <f>J176</f>
        <v>0</v>
      </c>
      <c r="K173" s="133">
        <f>K176</f>
        <v>0</v>
      </c>
      <c r="L173" s="133">
        <f>L176</f>
        <v>0</v>
      </c>
    </row>
    <row r="174" spans="1:12" ht="51">
      <c r="A174" s="121"/>
      <c r="B174" s="123" t="s">
        <v>145</v>
      </c>
      <c r="C174" s="133"/>
      <c r="D174" s="120" t="s">
        <v>61</v>
      </c>
      <c r="E174" s="120" t="s">
        <v>46</v>
      </c>
      <c r="F174" s="120" t="s">
        <v>146</v>
      </c>
      <c r="G174" s="119"/>
      <c r="H174" s="146">
        <f t="shared" si="4"/>
        <v>8958.500000000002</v>
      </c>
      <c r="I174" s="133">
        <f>I175</f>
        <v>8958.500000000002</v>
      </c>
      <c r="J174" s="133"/>
      <c r="K174" s="133"/>
      <c r="L174" s="133"/>
    </row>
    <row r="175" spans="1:12" ht="25.5">
      <c r="A175" s="121"/>
      <c r="B175" s="123" t="s">
        <v>94</v>
      </c>
      <c r="C175" s="133"/>
      <c r="D175" s="120" t="s">
        <v>61</v>
      </c>
      <c r="E175" s="120" t="s">
        <v>46</v>
      </c>
      <c r="F175" s="120" t="s">
        <v>147</v>
      </c>
      <c r="G175" s="119"/>
      <c r="H175" s="146">
        <f t="shared" si="4"/>
        <v>8958.500000000002</v>
      </c>
      <c r="I175" s="133">
        <f>I176</f>
        <v>8958.500000000002</v>
      </c>
      <c r="J175" s="133"/>
      <c r="K175" s="133"/>
      <c r="L175" s="133"/>
    </row>
    <row r="176" spans="1:12" ht="25.5">
      <c r="A176" s="121"/>
      <c r="B176" s="123" t="s">
        <v>95</v>
      </c>
      <c r="C176" s="133"/>
      <c r="D176" s="120" t="s">
        <v>61</v>
      </c>
      <c r="E176" s="120" t="s">
        <v>46</v>
      </c>
      <c r="F176" s="120" t="s">
        <v>147</v>
      </c>
      <c r="G176" s="120" t="s">
        <v>99</v>
      </c>
      <c r="H176" s="146">
        <f t="shared" si="4"/>
        <v>8958.500000000002</v>
      </c>
      <c r="I176" s="133">
        <f>7714+21+768.7+303.7+128.1+23</f>
        <v>8958.500000000002</v>
      </c>
      <c r="J176" s="133"/>
      <c r="K176" s="133"/>
      <c r="L176" s="133"/>
    </row>
    <row r="177" spans="1:12" ht="38.25">
      <c r="A177" s="121"/>
      <c r="B177" s="123" t="s">
        <v>303</v>
      </c>
      <c r="C177" s="133"/>
      <c r="D177" s="119" t="s">
        <v>61</v>
      </c>
      <c r="E177" s="119" t="s">
        <v>48</v>
      </c>
      <c r="F177" s="120"/>
      <c r="G177" s="120"/>
      <c r="H177" s="146">
        <f t="shared" si="4"/>
        <v>100</v>
      </c>
      <c r="I177" s="133">
        <f>I178</f>
        <v>100</v>
      </c>
      <c r="J177" s="133"/>
      <c r="K177" s="133"/>
      <c r="L177" s="133"/>
    </row>
    <row r="178" spans="1:12" ht="25.5">
      <c r="A178" s="121"/>
      <c r="B178" s="123" t="s">
        <v>109</v>
      </c>
      <c r="C178" s="133"/>
      <c r="D178" s="120" t="s">
        <v>61</v>
      </c>
      <c r="E178" s="120" t="s">
        <v>48</v>
      </c>
      <c r="F178" s="120" t="s">
        <v>110</v>
      </c>
      <c r="G178" s="120"/>
      <c r="H178" s="146">
        <f t="shared" si="4"/>
        <v>100</v>
      </c>
      <c r="I178" s="133">
        <f>I179</f>
        <v>100</v>
      </c>
      <c r="J178" s="133"/>
      <c r="K178" s="133"/>
      <c r="L178" s="133"/>
    </row>
    <row r="179" spans="1:12" ht="51" customHeight="1">
      <c r="A179" s="121"/>
      <c r="B179" s="123" t="s">
        <v>304</v>
      </c>
      <c r="C179" s="133"/>
      <c r="D179" s="120" t="s">
        <v>61</v>
      </c>
      <c r="E179" s="120" t="s">
        <v>48</v>
      </c>
      <c r="F179" s="120" t="s">
        <v>110</v>
      </c>
      <c r="G179" s="120" t="s">
        <v>305</v>
      </c>
      <c r="H179" s="146">
        <f t="shared" si="4"/>
        <v>100</v>
      </c>
      <c r="I179" s="133">
        <v>100</v>
      </c>
      <c r="J179" s="133"/>
      <c r="K179" s="133"/>
      <c r="L179" s="133"/>
    </row>
    <row r="180" spans="1:12" ht="25.5">
      <c r="A180" s="121"/>
      <c r="B180" s="123" t="s">
        <v>30</v>
      </c>
      <c r="C180" s="133"/>
      <c r="D180" s="119" t="s">
        <v>54</v>
      </c>
      <c r="E180" s="119" t="s">
        <v>43</v>
      </c>
      <c r="F180" s="120"/>
      <c r="G180" s="120"/>
      <c r="H180" s="146">
        <f t="shared" si="4"/>
        <v>10308</v>
      </c>
      <c r="I180" s="146">
        <f>I181+I185</f>
        <v>10308</v>
      </c>
      <c r="J180" s="146">
        <f>J181+J185</f>
        <v>0</v>
      </c>
      <c r="K180" s="146">
        <f>K181+K185</f>
        <v>0</v>
      </c>
      <c r="L180" s="146">
        <f>L181+L185</f>
        <v>0</v>
      </c>
    </row>
    <row r="181" spans="1:12" ht="12.75">
      <c r="A181" s="121"/>
      <c r="B181" s="133" t="s">
        <v>148</v>
      </c>
      <c r="C181" s="133"/>
      <c r="D181" s="119" t="s">
        <v>54</v>
      </c>
      <c r="E181" s="119" t="s">
        <v>42</v>
      </c>
      <c r="F181" s="120"/>
      <c r="G181" s="120"/>
      <c r="H181" s="146">
        <f t="shared" si="4"/>
        <v>9108</v>
      </c>
      <c r="I181" s="133">
        <f>I182</f>
        <v>9108</v>
      </c>
      <c r="J181" s="133"/>
      <c r="K181" s="133"/>
      <c r="L181" s="133"/>
    </row>
    <row r="182" spans="1:12" ht="25.5">
      <c r="A182" s="121"/>
      <c r="B182" s="123" t="s">
        <v>149</v>
      </c>
      <c r="C182" s="169"/>
      <c r="D182" s="120" t="s">
        <v>54</v>
      </c>
      <c r="E182" s="120" t="s">
        <v>42</v>
      </c>
      <c r="F182" s="120" t="s">
        <v>150</v>
      </c>
      <c r="G182" s="120"/>
      <c r="H182" s="146">
        <f t="shared" si="4"/>
        <v>9108</v>
      </c>
      <c r="I182" s="133">
        <f>I183</f>
        <v>9108</v>
      </c>
      <c r="J182" s="133"/>
      <c r="K182" s="133"/>
      <c r="L182" s="133"/>
    </row>
    <row r="183" spans="1:12" ht="25.5">
      <c r="A183" s="121"/>
      <c r="B183" s="123" t="s">
        <v>94</v>
      </c>
      <c r="C183" s="169"/>
      <c r="D183" s="120" t="s">
        <v>54</v>
      </c>
      <c r="E183" s="120" t="s">
        <v>42</v>
      </c>
      <c r="F183" s="120" t="s">
        <v>151</v>
      </c>
      <c r="G183" s="120"/>
      <c r="H183" s="146">
        <f t="shared" si="4"/>
        <v>9108</v>
      </c>
      <c r="I183" s="133">
        <f>I184</f>
        <v>9108</v>
      </c>
      <c r="J183" s="133"/>
      <c r="K183" s="133"/>
      <c r="L183" s="133"/>
    </row>
    <row r="184" spans="1:12" ht="25.5">
      <c r="A184" s="121"/>
      <c r="B184" s="123" t="s">
        <v>95</v>
      </c>
      <c r="C184" s="169"/>
      <c r="D184" s="120" t="s">
        <v>54</v>
      </c>
      <c r="E184" s="120" t="s">
        <v>42</v>
      </c>
      <c r="F184" s="120" t="s">
        <v>151</v>
      </c>
      <c r="G184" s="120" t="s">
        <v>99</v>
      </c>
      <c r="H184" s="146">
        <f t="shared" si="4"/>
        <v>9108</v>
      </c>
      <c r="I184" s="133">
        <f>12716-2892-716</f>
        <v>9108</v>
      </c>
      <c r="J184" s="133"/>
      <c r="K184" s="133"/>
      <c r="L184" s="133"/>
    </row>
    <row r="185" spans="1:12" ht="12.75">
      <c r="A185" s="121"/>
      <c r="B185" s="123" t="s">
        <v>184</v>
      </c>
      <c r="C185" s="133"/>
      <c r="D185" s="119" t="s">
        <v>54</v>
      </c>
      <c r="E185" s="119" t="s">
        <v>61</v>
      </c>
      <c r="F185" s="120"/>
      <c r="G185" s="120"/>
      <c r="H185" s="146">
        <f>I185+J185+K185+L185</f>
        <v>1200</v>
      </c>
      <c r="I185" s="146">
        <f>I186</f>
        <v>1200</v>
      </c>
      <c r="J185" s="146">
        <f>J186</f>
        <v>0</v>
      </c>
      <c r="K185" s="146">
        <f>K186</f>
        <v>0</v>
      </c>
      <c r="L185" s="146">
        <f>L186</f>
        <v>0</v>
      </c>
    </row>
    <row r="186" spans="1:12" ht="25.5">
      <c r="A186" s="121"/>
      <c r="B186" s="123" t="s">
        <v>109</v>
      </c>
      <c r="C186" s="133"/>
      <c r="D186" s="120" t="s">
        <v>54</v>
      </c>
      <c r="E186" s="120" t="s">
        <v>61</v>
      </c>
      <c r="F186" s="120" t="s">
        <v>110</v>
      </c>
      <c r="G186" s="120"/>
      <c r="H186" s="146">
        <f>I186+J186+K186+L186</f>
        <v>1200</v>
      </c>
      <c r="I186" s="133">
        <f>I187</f>
        <v>1200</v>
      </c>
      <c r="J186" s="133"/>
      <c r="K186" s="133"/>
      <c r="L186" s="133"/>
    </row>
    <row r="187" spans="1:12" ht="38.25">
      <c r="A187" s="121"/>
      <c r="B187" s="123" t="s">
        <v>301</v>
      </c>
      <c r="C187" s="133"/>
      <c r="D187" s="120" t="s">
        <v>54</v>
      </c>
      <c r="E187" s="120" t="s">
        <v>61</v>
      </c>
      <c r="F187" s="120" t="s">
        <v>110</v>
      </c>
      <c r="G187" s="120" t="s">
        <v>302</v>
      </c>
      <c r="H187" s="146">
        <f t="shared" si="4"/>
        <v>1200</v>
      </c>
      <c r="I187" s="133">
        <v>1200</v>
      </c>
      <c r="J187" s="133"/>
      <c r="K187" s="133"/>
      <c r="L187" s="133"/>
    </row>
    <row r="188" spans="1:12" ht="12.75">
      <c r="A188" s="121"/>
      <c r="B188" s="133" t="s">
        <v>88</v>
      </c>
      <c r="C188" s="123"/>
      <c r="D188" s="119" t="s">
        <v>89</v>
      </c>
      <c r="E188" s="119" t="s">
        <v>43</v>
      </c>
      <c r="F188" s="119"/>
      <c r="G188" s="119"/>
      <c r="H188" s="146">
        <f aca="true" t="shared" si="6" ref="H188:H265">I188+J188+K188+L188</f>
        <v>24048.2</v>
      </c>
      <c r="I188" s="146">
        <f>I189+I194</f>
        <v>7000</v>
      </c>
      <c r="J188" s="146">
        <f>J189+J194</f>
        <v>15034.5</v>
      </c>
      <c r="K188" s="146">
        <f>K189+K194</f>
        <v>2013.7</v>
      </c>
      <c r="L188" s="146">
        <f>L189+L194</f>
        <v>0</v>
      </c>
    </row>
    <row r="189" spans="1:14" ht="12.75">
      <c r="A189" s="121"/>
      <c r="B189" s="133" t="s">
        <v>90</v>
      </c>
      <c r="C189" s="169"/>
      <c r="D189" s="119" t="s">
        <v>89</v>
      </c>
      <c r="E189" s="119" t="s">
        <v>42</v>
      </c>
      <c r="F189" s="119"/>
      <c r="G189" s="119"/>
      <c r="H189" s="146">
        <f t="shared" si="6"/>
        <v>1200</v>
      </c>
      <c r="I189" s="146">
        <f>I190</f>
        <v>1200</v>
      </c>
      <c r="J189" s="146">
        <f>J190</f>
        <v>0</v>
      </c>
      <c r="K189" s="146">
        <f>K190</f>
        <v>0</v>
      </c>
      <c r="L189" s="146">
        <f>L190</f>
        <v>0</v>
      </c>
      <c r="N189" s="15"/>
    </row>
    <row r="190" spans="1:12" ht="12.75">
      <c r="A190" s="121"/>
      <c r="B190" s="133" t="s">
        <v>254</v>
      </c>
      <c r="C190" s="169"/>
      <c r="D190" s="120" t="s">
        <v>89</v>
      </c>
      <c r="E190" s="120" t="s">
        <v>42</v>
      </c>
      <c r="F190" s="120" t="s">
        <v>214</v>
      </c>
      <c r="G190" s="119"/>
      <c r="H190" s="146">
        <f t="shared" si="6"/>
        <v>1200</v>
      </c>
      <c r="I190" s="133">
        <f>I191</f>
        <v>1200</v>
      </c>
      <c r="J190" s="133"/>
      <c r="K190" s="133"/>
      <c r="L190" s="133"/>
    </row>
    <row r="191" spans="1:12" ht="38.25">
      <c r="A191" s="121"/>
      <c r="B191" s="123" t="s">
        <v>255</v>
      </c>
      <c r="C191" s="169"/>
      <c r="D191" s="120" t="s">
        <v>89</v>
      </c>
      <c r="E191" s="120" t="s">
        <v>42</v>
      </c>
      <c r="F191" s="120" t="s">
        <v>256</v>
      </c>
      <c r="G191" s="119"/>
      <c r="H191" s="146">
        <f t="shared" si="6"/>
        <v>1200</v>
      </c>
      <c r="I191" s="133">
        <f>I192</f>
        <v>1200</v>
      </c>
      <c r="J191" s="133"/>
      <c r="K191" s="133"/>
      <c r="L191" s="133"/>
    </row>
    <row r="192" spans="1:12" ht="51">
      <c r="A192" s="121"/>
      <c r="B192" s="123" t="s">
        <v>213</v>
      </c>
      <c r="C192" s="169"/>
      <c r="D192" s="120" t="s">
        <v>89</v>
      </c>
      <c r="E192" s="120" t="s">
        <v>42</v>
      </c>
      <c r="F192" s="120" t="s">
        <v>257</v>
      </c>
      <c r="G192" s="119"/>
      <c r="H192" s="146">
        <f t="shared" si="6"/>
        <v>1200</v>
      </c>
      <c r="I192" s="133">
        <f>I193</f>
        <v>1200</v>
      </c>
      <c r="J192" s="133"/>
      <c r="K192" s="133"/>
      <c r="L192" s="133"/>
    </row>
    <row r="193" spans="1:12" ht="12.75">
      <c r="A193" s="121"/>
      <c r="B193" s="133" t="s">
        <v>125</v>
      </c>
      <c r="C193" s="169"/>
      <c r="D193" s="120" t="s">
        <v>89</v>
      </c>
      <c r="E193" s="120" t="s">
        <v>42</v>
      </c>
      <c r="F193" s="120" t="s">
        <v>257</v>
      </c>
      <c r="G193" s="120" t="s">
        <v>126</v>
      </c>
      <c r="H193" s="146">
        <f t="shared" si="6"/>
        <v>1200</v>
      </c>
      <c r="I193" s="133">
        <v>1200</v>
      </c>
      <c r="J193" s="133"/>
      <c r="K193" s="133"/>
      <c r="L193" s="133"/>
    </row>
    <row r="194" spans="1:12" ht="12.75">
      <c r="A194" s="121"/>
      <c r="B194" s="133" t="s">
        <v>91</v>
      </c>
      <c r="C194" s="165"/>
      <c r="D194" s="119" t="s">
        <v>89</v>
      </c>
      <c r="E194" s="119" t="s">
        <v>45</v>
      </c>
      <c r="F194" s="119"/>
      <c r="G194" s="119"/>
      <c r="H194" s="146">
        <f t="shared" si="6"/>
        <v>22848.2</v>
      </c>
      <c r="I194" s="146">
        <f>I195+I197+I202</f>
        <v>5800</v>
      </c>
      <c r="J194" s="146">
        <f>J195+J197+J202</f>
        <v>15034.5</v>
      </c>
      <c r="K194" s="146">
        <f>K195+K197+K202</f>
        <v>2013.7</v>
      </c>
      <c r="L194" s="146">
        <f>L195+L197+L202</f>
        <v>0</v>
      </c>
    </row>
    <row r="195" spans="1:12" ht="51">
      <c r="A195" s="121"/>
      <c r="B195" s="150" t="s">
        <v>468</v>
      </c>
      <c r="C195" s="165"/>
      <c r="D195" s="120" t="s">
        <v>89</v>
      </c>
      <c r="E195" s="120" t="s">
        <v>45</v>
      </c>
      <c r="F195" s="120" t="s">
        <v>469</v>
      </c>
      <c r="G195" s="119"/>
      <c r="H195" s="146">
        <f t="shared" si="6"/>
        <v>30.4</v>
      </c>
      <c r="I195" s="133"/>
      <c r="J195" s="133"/>
      <c r="K195" s="133">
        <f>K196</f>
        <v>30.4</v>
      </c>
      <c r="L195" s="133"/>
    </row>
    <row r="196" spans="1:12" ht="12.75">
      <c r="A196" s="121"/>
      <c r="B196" s="133" t="s">
        <v>125</v>
      </c>
      <c r="C196" s="165"/>
      <c r="D196" s="120" t="s">
        <v>89</v>
      </c>
      <c r="E196" s="120" t="s">
        <v>45</v>
      </c>
      <c r="F196" s="120" t="s">
        <v>469</v>
      </c>
      <c r="G196" s="120" t="s">
        <v>126</v>
      </c>
      <c r="H196" s="146">
        <f t="shared" si="6"/>
        <v>30.4</v>
      </c>
      <c r="I196" s="133"/>
      <c r="J196" s="133"/>
      <c r="K196" s="133">
        <v>30.4</v>
      </c>
      <c r="L196" s="133"/>
    </row>
    <row r="197" spans="1:12" ht="12.75">
      <c r="A197" s="121"/>
      <c r="B197" s="133" t="s">
        <v>121</v>
      </c>
      <c r="C197" s="165"/>
      <c r="D197" s="120" t="s">
        <v>89</v>
      </c>
      <c r="E197" s="120" t="s">
        <v>45</v>
      </c>
      <c r="F197" s="120" t="s">
        <v>122</v>
      </c>
      <c r="G197" s="119"/>
      <c r="H197" s="146">
        <f t="shared" si="6"/>
        <v>15034.5</v>
      </c>
      <c r="I197" s="133">
        <f>I200</f>
        <v>0</v>
      </c>
      <c r="J197" s="133">
        <f>J198+J200</f>
        <v>15034.5</v>
      </c>
      <c r="K197" s="133"/>
      <c r="L197" s="133"/>
    </row>
    <row r="198" spans="1:12" ht="114.75">
      <c r="A198" s="121"/>
      <c r="B198" s="123" t="s">
        <v>435</v>
      </c>
      <c r="C198" s="165"/>
      <c r="D198" s="120" t="s">
        <v>89</v>
      </c>
      <c r="E198" s="120" t="s">
        <v>45</v>
      </c>
      <c r="F198" s="120" t="s">
        <v>434</v>
      </c>
      <c r="G198" s="120"/>
      <c r="H198" s="146">
        <f t="shared" si="6"/>
        <v>8577.5</v>
      </c>
      <c r="I198" s="133"/>
      <c r="J198" s="133">
        <f>J199</f>
        <v>8577.5</v>
      </c>
      <c r="K198" s="133"/>
      <c r="L198" s="133"/>
    </row>
    <row r="199" spans="1:12" ht="12.75">
      <c r="A199" s="121"/>
      <c r="B199" s="133" t="s">
        <v>125</v>
      </c>
      <c r="C199" s="165"/>
      <c r="D199" s="120" t="s">
        <v>89</v>
      </c>
      <c r="E199" s="120" t="s">
        <v>45</v>
      </c>
      <c r="F199" s="120" t="s">
        <v>434</v>
      </c>
      <c r="G199" s="120" t="s">
        <v>126</v>
      </c>
      <c r="H199" s="146">
        <f t="shared" si="6"/>
        <v>8577.5</v>
      </c>
      <c r="I199" s="133"/>
      <c r="J199" s="133">
        <f>1606+2628+3942+401.5</f>
        <v>8577.5</v>
      </c>
      <c r="K199" s="133"/>
      <c r="L199" s="133"/>
    </row>
    <row r="200" spans="1:12" ht="89.25">
      <c r="A200" s="121"/>
      <c r="B200" s="123" t="s">
        <v>404</v>
      </c>
      <c r="C200" s="165"/>
      <c r="D200" s="120" t="s">
        <v>89</v>
      </c>
      <c r="E200" s="120" t="s">
        <v>45</v>
      </c>
      <c r="F200" s="120" t="s">
        <v>405</v>
      </c>
      <c r="G200" s="119"/>
      <c r="H200" s="146">
        <f t="shared" si="6"/>
        <v>6457</v>
      </c>
      <c r="I200" s="133"/>
      <c r="J200" s="133">
        <f>J201</f>
        <v>6457</v>
      </c>
      <c r="K200" s="133"/>
      <c r="L200" s="133"/>
    </row>
    <row r="201" spans="1:12" ht="12.75">
      <c r="A201" s="121"/>
      <c r="B201" s="133" t="s">
        <v>125</v>
      </c>
      <c r="C201" s="165"/>
      <c r="D201" s="120" t="s">
        <v>89</v>
      </c>
      <c r="E201" s="120" t="s">
        <v>45</v>
      </c>
      <c r="F201" s="120" t="s">
        <v>405</v>
      </c>
      <c r="G201" s="120" t="s">
        <v>126</v>
      </c>
      <c r="H201" s="146">
        <f t="shared" si="6"/>
        <v>6457</v>
      </c>
      <c r="I201" s="133"/>
      <c r="J201" s="142">
        <f>5800+657</f>
        <v>6457</v>
      </c>
      <c r="K201" s="133"/>
      <c r="L201" s="133"/>
    </row>
    <row r="202" spans="1:12" ht="12.75">
      <c r="A202" s="121"/>
      <c r="B202" s="133" t="s">
        <v>175</v>
      </c>
      <c r="C202" s="165"/>
      <c r="D202" s="120" t="s">
        <v>89</v>
      </c>
      <c r="E202" s="120" t="s">
        <v>45</v>
      </c>
      <c r="F202" s="120" t="s">
        <v>176</v>
      </c>
      <c r="G202" s="119"/>
      <c r="H202" s="146">
        <f t="shared" si="6"/>
        <v>7783.3</v>
      </c>
      <c r="I202" s="133">
        <f>I203</f>
        <v>5800</v>
      </c>
      <c r="J202" s="133"/>
      <c r="K202" s="133">
        <f>K203</f>
        <v>1983.3</v>
      </c>
      <c r="L202" s="133"/>
    </row>
    <row r="203" spans="1:12" ht="25.5">
      <c r="A203" s="121"/>
      <c r="B203" s="123" t="s">
        <v>127</v>
      </c>
      <c r="C203" s="165"/>
      <c r="D203" s="120" t="s">
        <v>89</v>
      </c>
      <c r="E203" s="120" t="s">
        <v>45</v>
      </c>
      <c r="F203" s="120" t="s">
        <v>176</v>
      </c>
      <c r="G203" s="120" t="s">
        <v>128</v>
      </c>
      <c r="H203" s="146">
        <f t="shared" si="6"/>
        <v>7783.3</v>
      </c>
      <c r="I203" s="133">
        <f>I204</f>
        <v>5800</v>
      </c>
      <c r="J203" s="133"/>
      <c r="K203" s="133">
        <f>K204</f>
        <v>1983.3</v>
      </c>
      <c r="L203" s="133"/>
    </row>
    <row r="204" spans="1:12" ht="51">
      <c r="A204" s="121"/>
      <c r="B204" s="123" t="s">
        <v>35</v>
      </c>
      <c r="C204" s="133"/>
      <c r="D204" s="120" t="s">
        <v>89</v>
      </c>
      <c r="E204" s="120" t="s">
        <v>45</v>
      </c>
      <c r="F204" s="120" t="s">
        <v>271</v>
      </c>
      <c r="G204" s="120" t="s">
        <v>128</v>
      </c>
      <c r="H204" s="146">
        <f t="shared" si="6"/>
        <v>7783.3</v>
      </c>
      <c r="I204" s="133">
        <f>8000-2200-900+900</f>
        <v>5800</v>
      </c>
      <c r="J204" s="133"/>
      <c r="K204" s="142">
        <v>1983.3</v>
      </c>
      <c r="L204" s="133"/>
    </row>
    <row r="205" spans="1:12" ht="12.75">
      <c r="A205" s="185" t="s">
        <v>9</v>
      </c>
      <c r="B205" s="186" t="s">
        <v>31</v>
      </c>
      <c r="C205" s="186">
        <v>188</v>
      </c>
      <c r="D205" s="188"/>
      <c r="E205" s="188"/>
      <c r="F205" s="188"/>
      <c r="G205" s="188"/>
      <c r="H205" s="189">
        <f t="shared" si="6"/>
        <v>103037.1</v>
      </c>
      <c r="I205" s="189">
        <f aca="true" t="shared" si="7" ref="I205:L207">I206</f>
        <v>88875</v>
      </c>
      <c r="J205" s="189">
        <f t="shared" si="7"/>
        <v>0</v>
      </c>
      <c r="K205" s="189">
        <f t="shared" si="7"/>
        <v>0</v>
      </c>
      <c r="L205" s="189">
        <f t="shared" si="7"/>
        <v>14162.1</v>
      </c>
    </row>
    <row r="206" spans="1:12" ht="25.5">
      <c r="A206" s="121"/>
      <c r="B206" s="123" t="s">
        <v>6</v>
      </c>
      <c r="C206" s="123"/>
      <c r="D206" s="119" t="s">
        <v>45</v>
      </c>
      <c r="E206" s="119" t="s">
        <v>43</v>
      </c>
      <c r="F206" s="120"/>
      <c r="G206" s="120"/>
      <c r="H206" s="146">
        <f t="shared" si="6"/>
        <v>103037.1</v>
      </c>
      <c r="I206" s="133">
        <f t="shared" si="7"/>
        <v>88875</v>
      </c>
      <c r="J206" s="133">
        <f t="shared" si="7"/>
        <v>0</v>
      </c>
      <c r="K206" s="133">
        <f t="shared" si="7"/>
        <v>0</v>
      </c>
      <c r="L206" s="133">
        <f t="shared" si="7"/>
        <v>14162.1</v>
      </c>
    </row>
    <row r="207" spans="1:12" ht="12.75">
      <c r="A207" s="121"/>
      <c r="B207" s="133" t="s">
        <v>53</v>
      </c>
      <c r="C207" s="123"/>
      <c r="D207" s="119" t="s">
        <v>45</v>
      </c>
      <c r="E207" s="119" t="s">
        <v>44</v>
      </c>
      <c r="F207" s="120"/>
      <c r="G207" s="120"/>
      <c r="H207" s="146">
        <f t="shared" si="6"/>
        <v>103037.1</v>
      </c>
      <c r="I207" s="133">
        <f>I208</f>
        <v>88875</v>
      </c>
      <c r="J207" s="133">
        <f t="shared" si="7"/>
        <v>0</v>
      </c>
      <c r="K207" s="133">
        <f t="shared" si="7"/>
        <v>0</v>
      </c>
      <c r="L207" s="133">
        <f t="shared" si="7"/>
        <v>14162.1</v>
      </c>
    </row>
    <row r="208" spans="1:12" ht="25.5">
      <c r="A208" s="121"/>
      <c r="B208" s="123" t="s">
        <v>167</v>
      </c>
      <c r="C208" s="123"/>
      <c r="D208" s="120" t="s">
        <v>45</v>
      </c>
      <c r="E208" s="120" t="s">
        <v>44</v>
      </c>
      <c r="F208" s="120" t="s">
        <v>168</v>
      </c>
      <c r="G208" s="120"/>
      <c r="H208" s="146">
        <f t="shared" si="6"/>
        <v>103037.1</v>
      </c>
      <c r="I208" s="133">
        <f>I209+I211+I213+I215+I217</f>
        <v>88875</v>
      </c>
      <c r="J208" s="133"/>
      <c r="K208" s="133"/>
      <c r="L208" s="133">
        <f>L209+L211+L213+L215+L217</f>
        <v>14162.1</v>
      </c>
    </row>
    <row r="209" spans="1:12" ht="102.75" customHeight="1">
      <c r="A209" s="121"/>
      <c r="B209" s="123" t="s">
        <v>169</v>
      </c>
      <c r="C209" s="123"/>
      <c r="D209" s="120" t="s">
        <v>45</v>
      </c>
      <c r="E209" s="120" t="s">
        <v>44</v>
      </c>
      <c r="F209" s="120" t="s">
        <v>170</v>
      </c>
      <c r="G209" s="120"/>
      <c r="H209" s="146">
        <f t="shared" si="6"/>
        <v>14162.1</v>
      </c>
      <c r="I209" s="133"/>
      <c r="J209" s="133"/>
      <c r="K209" s="133"/>
      <c r="L209" s="133">
        <f>L210</f>
        <v>14162.1</v>
      </c>
    </row>
    <row r="210" spans="1:12" ht="50.25" customHeight="1">
      <c r="A210" s="121"/>
      <c r="B210" s="123" t="s">
        <v>171</v>
      </c>
      <c r="C210" s="123"/>
      <c r="D210" s="120" t="s">
        <v>45</v>
      </c>
      <c r="E210" s="120" t="s">
        <v>44</v>
      </c>
      <c r="F210" s="120" t="s">
        <v>170</v>
      </c>
      <c r="G210" s="120" t="s">
        <v>172</v>
      </c>
      <c r="H210" s="146">
        <f t="shared" si="6"/>
        <v>14162.1</v>
      </c>
      <c r="I210" s="133"/>
      <c r="J210" s="133"/>
      <c r="K210" s="133"/>
      <c r="L210" s="142">
        <f>13709+453.1</f>
        <v>14162.1</v>
      </c>
    </row>
    <row r="211" spans="1:12" ht="12.75">
      <c r="A211" s="121"/>
      <c r="B211" s="133" t="s">
        <v>177</v>
      </c>
      <c r="C211" s="123"/>
      <c r="D211" s="120" t="s">
        <v>45</v>
      </c>
      <c r="E211" s="120" t="s">
        <v>44</v>
      </c>
      <c r="F211" s="120" t="s">
        <v>178</v>
      </c>
      <c r="G211" s="120"/>
      <c r="H211" s="146">
        <f t="shared" si="6"/>
        <v>62934</v>
      </c>
      <c r="I211" s="133">
        <f>I212</f>
        <v>62934</v>
      </c>
      <c r="J211" s="133"/>
      <c r="K211" s="133"/>
      <c r="L211" s="133"/>
    </row>
    <row r="212" spans="1:12" ht="52.5" customHeight="1">
      <c r="A212" s="121"/>
      <c r="B212" s="123" t="s">
        <v>171</v>
      </c>
      <c r="C212" s="123"/>
      <c r="D212" s="120" t="s">
        <v>45</v>
      </c>
      <c r="E212" s="120" t="s">
        <v>44</v>
      </c>
      <c r="F212" s="120" t="s">
        <v>178</v>
      </c>
      <c r="G212" s="120" t="s">
        <v>172</v>
      </c>
      <c r="H212" s="146">
        <f t="shared" si="6"/>
        <v>62934</v>
      </c>
      <c r="I212" s="133">
        <v>62934</v>
      </c>
      <c r="J212" s="133"/>
      <c r="K212" s="133"/>
      <c r="L212" s="133"/>
    </row>
    <row r="213" spans="1:12" ht="37.5" customHeight="1">
      <c r="A213" s="121"/>
      <c r="B213" s="123" t="s">
        <v>173</v>
      </c>
      <c r="C213" s="123"/>
      <c r="D213" s="120" t="s">
        <v>45</v>
      </c>
      <c r="E213" s="120" t="s">
        <v>44</v>
      </c>
      <c r="F213" s="120" t="s">
        <v>174</v>
      </c>
      <c r="G213" s="120"/>
      <c r="H213" s="146">
        <f t="shared" si="6"/>
        <v>23121</v>
      </c>
      <c r="I213" s="133">
        <f>I214</f>
        <v>23121</v>
      </c>
      <c r="J213" s="133"/>
      <c r="K213" s="133"/>
      <c r="L213" s="133"/>
    </row>
    <row r="214" spans="1:12" ht="50.25" customHeight="1">
      <c r="A214" s="190"/>
      <c r="B214" s="191" t="s">
        <v>171</v>
      </c>
      <c r="C214" s="191"/>
      <c r="D214" s="188" t="s">
        <v>45</v>
      </c>
      <c r="E214" s="188" t="s">
        <v>44</v>
      </c>
      <c r="F214" s="188" t="s">
        <v>174</v>
      </c>
      <c r="G214" s="188" t="s">
        <v>172</v>
      </c>
      <c r="H214" s="189">
        <f t="shared" si="6"/>
        <v>23121</v>
      </c>
      <c r="I214" s="192">
        <f>23160-39+2000-2000</f>
        <v>23121</v>
      </c>
      <c r="J214" s="192"/>
      <c r="K214" s="192"/>
      <c r="L214" s="192"/>
    </row>
    <row r="215" spans="1:12" ht="12.75">
      <c r="A215" s="121"/>
      <c r="B215" s="123" t="s">
        <v>281</v>
      </c>
      <c r="C215" s="123"/>
      <c r="D215" s="120" t="s">
        <v>45</v>
      </c>
      <c r="E215" s="120" t="s">
        <v>44</v>
      </c>
      <c r="F215" s="120" t="s">
        <v>282</v>
      </c>
      <c r="G215" s="120"/>
      <c r="H215" s="146">
        <f t="shared" si="6"/>
        <v>780</v>
      </c>
      <c r="I215" s="133">
        <f>I216</f>
        <v>780</v>
      </c>
      <c r="J215" s="133"/>
      <c r="K215" s="133"/>
      <c r="L215" s="133"/>
    </row>
    <row r="216" spans="1:12" ht="50.25" customHeight="1">
      <c r="A216" s="121"/>
      <c r="B216" s="123" t="s">
        <v>171</v>
      </c>
      <c r="C216" s="123"/>
      <c r="D216" s="120" t="s">
        <v>45</v>
      </c>
      <c r="E216" s="120" t="s">
        <v>44</v>
      </c>
      <c r="F216" s="120" t="s">
        <v>282</v>
      </c>
      <c r="G216" s="120" t="s">
        <v>172</v>
      </c>
      <c r="H216" s="146">
        <f t="shared" si="6"/>
        <v>780</v>
      </c>
      <c r="I216" s="133">
        <v>780</v>
      </c>
      <c r="J216" s="133"/>
      <c r="K216" s="133"/>
      <c r="L216" s="133"/>
    </row>
    <row r="217" spans="1:12" ht="51">
      <c r="A217" s="121"/>
      <c r="B217" s="123" t="s">
        <v>179</v>
      </c>
      <c r="C217" s="123"/>
      <c r="D217" s="120" t="s">
        <v>45</v>
      </c>
      <c r="E217" s="120" t="s">
        <v>44</v>
      </c>
      <c r="F217" s="120" t="s">
        <v>180</v>
      </c>
      <c r="G217" s="120"/>
      <c r="H217" s="146">
        <f t="shared" si="6"/>
        <v>2040</v>
      </c>
      <c r="I217" s="133">
        <f>I218</f>
        <v>2040</v>
      </c>
      <c r="J217" s="133"/>
      <c r="K217" s="133"/>
      <c r="L217" s="133"/>
    </row>
    <row r="218" spans="1:12" ht="12.75">
      <c r="A218" s="121"/>
      <c r="B218" s="133" t="s">
        <v>125</v>
      </c>
      <c r="C218" s="123"/>
      <c r="D218" s="120" t="s">
        <v>45</v>
      </c>
      <c r="E218" s="120" t="s">
        <v>44</v>
      </c>
      <c r="F218" s="120" t="s">
        <v>180</v>
      </c>
      <c r="G218" s="120" t="s">
        <v>126</v>
      </c>
      <c r="H218" s="146">
        <f t="shared" si="6"/>
        <v>2040</v>
      </c>
      <c r="I218" s="133">
        <v>2040</v>
      </c>
      <c r="J218" s="133"/>
      <c r="K218" s="133"/>
      <c r="L218" s="133"/>
    </row>
    <row r="219" spans="1:12" ht="25.5">
      <c r="A219" s="117" t="s">
        <v>10</v>
      </c>
      <c r="B219" s="124" t="s">
        <v>331</v>
      </c>
      <c r="C219" s="124">
        <v>230</v>
      </c>
      <c r="D219" s="119"/>
      <c r="E219" s="119"/>
      <c r="F219" s="119"/>
      <c r="G219" s="119"/>
      <c r="H219" s="146">
        <f t="shared" si="6"/>
        <v>755506.4</v>
      </c>
      <c r="I219" s="146">
        <f>I220+I227+I239+I278</f>
        <v>364505.10000000003</v>
      </c>
      <c r="J219" s="146">
        <f>J220+J227+J239+J278</f>
        <v>386631.9</v>
      </c>
      <c r="K219" s="146">
        <f>K220+K227+K239+K278</f>
        <v>3070</v>
      </c>
      <c r="L219" s="146">
        <f>L220+L227+L239+L278</f>
        <v>1299.4</v>
      </c>
    </row>
    <row r="220" spans="1:12" ht="12.75">
      <c r="A220" s="121"/>
      <c r="B220" s="133" t="s">
        <v>41</v>
      </c>
      <c r="C220" s="123"/>
      <c r="D220" s="119" t="s">
        <v>42</v>
      </c>
      <c r="E220" s="119" t="s">
        <v>43</v>
      </c>
      <c r="F220" s="120"/>
      <c r="G220" s="120"/>
      <c r="H220" s="146">
        <f t="shared" si="6"/>
        <v>1280.4</v>
      </c>
      <c r="I220" s="133">
        <f>I221</f>
        <v>1280.4</v>
      </c>
      <c r="J220" s="133">
        <f>J221</f>
        <v>0</v>
      </c>
      <c r="K220" s="133">
        <f>K221</f>
        <v>0</v>
      </c>
      <c r="L220" s="133">
        <f>L221</f>
        <v>0</v>
      </c>
    </row>
    <row r="221" spans="1:12" ht="25.5">
      <c r="A221" s="121"/>
      <c r="B221" s="123" t="s">
        <v>52</v>
      </c>
      <c r="C221" s="123"/>
      <c r="D221" s="119" t="s">
        <v>42</v>
      </c>
      <c r="E221" s="119" t="s">
        <v>232</v>
      </c>
      <c r="F221" s="120"/>
      <c r="G221" s="120"/>
      <c r="H221" s="146">
        <f t="shared" si="6"/>
        <v>1280.4</v>
      </c>
      <c r="I221" s="133">
        <f>I222+I225</f>
        <v>1280.4</v>
      </c>
      <c r="J221" s="133"/>
      <c r="K221" s="133"/>
      <c r="L221" s="133"/>
    </row>
    <row r="222" spans="1:12" ht="51">
      <c r="A222" s="121"/>
      <c r="B222" s="166" t="s">
        <v>325</v>
      </c>
      <c r="C222" s="123"/>
      <c r="D222" s="120" t="s">
        <v>42</v>
      </c>
      <c r="E222" s="120" t="s">
        <v>232</v>
      </c>
      <c r="F222" s="167" t="s">
        <v>461</v>
      </c>
      <c r="G222" s="120"/>
      <c r="H222" s="146">
        <f t="shared" si="6"/>
        <v>1130.4</v>
      </c>
      <c r="I222" s="133">
        <f>I223</f>
        <v>1130.4</v>
      </c>
      <c r="J222" s="133"/>
      <c r="K222" s="133"/>
      <c r="L222" s="133"/>
    </row>
    <row r="223" spans="1:12" ht="25.5">
      <c r="A223" s="121"/>
      <c r="B223" s="150" t="s">
        <v>462</v>
      </c>
      <c r="C223" s="123"/>
      <c r="D223" s="120" t="s">
        <v>42</v>
      </c>
      <c r="E223" s="120" t="s">
        <v>232</v>
      </c>
      <c r="F223" s="167" t="s">
        <v>463</v>
      </c>
      <c r="G223" s="120"/>
      <c r="H223" s="146">
        <f t="shared" si="6"/>
        <v>1130.4</v>
      </c>
      <c r="I223" s="133">
        <f>I224</f>
        <v>1130.4</v>
      </c>
      <c r="J223" s="133"/>
      <c r="K223" s="133"/>
      <c r="L223" s="133"/>
    </row>
    <row r="224" spans="1:12" ht="25.5">
      <c r="A224" s="121"/>
      <c r="B224" s="123" t="s">
        <v>117</v>
      </c>
      <c r="C224" s="123"/>
      <c r="D224" s="120" t="s">
        <v>42</v>
      </c>
      <c r="E224" s="120" t="s">
        <v>232</v>
      </c>
      <c r="F224" s="120" t="s">
        <v>463</v>
      </c>
      <c r="G224" s="120" t="s">
        <v>32</v>
      </c>
      <c r="H224" s="146">
        <f t="shared" si="6"/>
        <v>1130.4</v>
      </c>
      <c r="I224" s="133">
        <v>1130.4</v>
      </c>
      <c r="J224" s="133"/>
      <c r="K224" s="133"/>
      <c r="L224" s="133"/>
    </row>
    <row r="225" spans="1:12" ht="25.5">
      <c r="A225" s="121"/>
      <c r="B225" s="123" t="s">
        <v>109</v>
      </c>
      <c r="C225" s="165"/>
      <c r="D225" s="120" t="s">
        <v>42</v>
      </c>
      <c r="E225" s="120" t="s">
        <v>232</v>
      </c>
      <c r="F225" s="120" t="s">
        <v>110</v>
      </c>
      <c r="G225" s="120"/>
      <c r="H225" s="146">
        <f t="shared" si="6"/>
        <v>150</v>
      </c>
      <c r="I225" s="133">
        <f>I226</f>
        <v>150</v>
      </c>
      <c r="J225" s="142"/>
      <c r="K225" s="133"/>
      <c r="L225" s="133"/>
    </row>
    <row r="226" spans="1:12" ht="25.5">
      <c r="A226" s="121"/>
      <c r="B226" s="136" t="s">
        <v>117</v>
      </c>
      <c r="C226" s="165"/>
      <c r="D226" s="120" t="s">
        <v>42</v>
      </c>
      <c r="E226" s="120" t="s">
        <v>232</v>
      </c>
      <c r="F226" s="120" t="s">
        <v>110</v>
      </c>
      <c r="G226" s="120" t="s">
        <v>32</v>
      </c>
      <c r="H226" s="146">
        <f t="shared" si="6"/>
        <v>150</v>
      </c>
      <c r="I226" s="133">
        <v>150</v>
      </c>
      <c r="J226" s="142"/>
      <c r="K226" s="133"/>
      <c r="L226" s="133"/>
    </row>
    <row r="227" spans="1:12" ht="12.75">
      <c r="A227" s="121"/>
      <c r="B227" s="133" t="s">
        <v>245</v>
      </c>
      <c r="C227" s="165"/>
      <c r="D227" s="119" t="s">
        <v>46</v>
      </c>
      <c r="E227" s="119" t="s">
        <v>43</v>
      </c>
      <c r="F227" s="119"/>
      <c r="G227" s="119"/>
      <c r="H227" s="146">
        <f t="shared" si="6"/>
        <v>955.3000000000001</v>
      </c>
      <c r="I227" s="146">
        <f>I228+I232+I235</f>
        <v>871.6</v>
      </c>
      <c r="J227" s="146">
        <f>J228+J232+J235</f>
        <v>0</v>
      </c>
      <c r="K227" s="146">
        <f>K228+K232+K235</f>
        <v>0</v>
      </c>
      <c r="L227" s="146">
        <f>L228+L232+L235</f>
        <v>83.7</v>
      </c>
    </row>
    <row r="228" spans="1:12" ht="12.75">
      <c r="A228" s="121"/>
      <c r="B228" s="168" t="s">
        <v>445</v>
      </c>
      <c r="C228" s="165"/>
      <c r="D228" s="119" t="s">
        <v>46</v>
      </c>
      <c r="E228" s="119" t="s">
        <v>42</v>
      </c>
      <c r="F228" s="119"/>
      <c r="G228" s="119"/>
      <c r="H228" s="146">
        <f t="shared" si="6"/>
        <v>83.7</v>
      </c>
      <c r="I228" s="133">
        <f>I229</f>
        <v>0</v>
      </c>
      <c r="J228" s="133">
        <f>J229</f>
        <v>0</v>
      </c>
      <c r="K228" s="133">
        <f>K229</f>
        <v>0</v>
      </c>
      <c r="L228" s="133">
        <f>L229</f>
        <v>83.7</v>
      </c>
    </row>
    <row r="229" spans="1:12" ht="17.25" customHeight="1">
      <c r="A229" s="121"/>
      <c r="B229" s="115" t="s">
        <v>175</v>
      </c>
      <c r="C229" s="169"/>
      <c r="D229" s="120" t="s">
        <v>46</v>
      </c>
      <c r="E229" s="120" t="s">
        <v>42</v>
      </c>
      <c r="F229" s="120" t="s">
        <v>176</v>
      </c>
      <c r="G229" s="120"/>
      <c r="H229" s="146">
        <f t="shared" si="6"/>
        <v>83.7</v>
      </c>
      <c r="I229" s="133"/>
      <c r="J229" s="133"/>
      <c r="K229" s="133"/>
      <c r="L229" s="133">
        <f>L230</f>
        <v>83.7</v>
      </c>
    </row>
    <row r="230" spans="1:12" ht="25.5">
      <c r="A230" s="121"/>
      <c r="B230" s="127" t="s">
        <v>443</v>
      </c>
      <c r="C230" s="169"/>
      <c r="D230" s="120" t="s">
        <v>46</v>
      </c>
      <c r="E230" s="120" t="s">
        <v>42</v>
      </c>
      <c r="F230" s="120" t="s">
        <v>444</v>
      </c>
      <c r="G230" s="120"/>
      <c r="H230" s="146">
        <f t="shared" si="6"/>
        <v>83.7</v>
      </c>
      <c r="I230" s="133"/>
      <c r="J230" s="133"/>
      <c r="K230" s="133"/>
      <c r="L230" s="133">
        <f>L231</f>
        <v>83.7</v>
      </c>
    </row>
    <row r="231" spans="1:12" ht="25.5">
      <c r="A231" s="121"/>
      <c r="B231" s="123" t="s">
        <v>95</v>
      </c>
      <c r="C231" s="169"/>
      <c r="D231" s="120" t="s">
        <v>46</v>
      </c>
      <c r="E231" s="120" t="s">
        <v>42</v>
      </c>
      <c r="F231" s="120" t="s">
        <v>444</v>
      </c>
      <c r="G231" s="120" t="s">
        <v>99</v>
      </c>
      <c r="H231" s="146">
        <f t="shared" si="6"/>
        <v>83.7</v>
      </c>
      <c r="I231" s="133"/>
      <c r="J231" s="133"/>
      <c r="K231" s="133"/>
      <c r="L231" s="133">
        <f>5.4+1.4+1.8+6.7+6.8+2.3+33.5+25.8</f>
        <v>83.7</v>
      </c>
    </row>
    <row r="232" spans="1:12" ht="12.75">
      <c r="A232" s="121"/>
      <c r="B232" s="149" t="s">
        <v>337</v>
      </c>
      <c r="C232" s="169"/>
      <c r="D232" s="119" t="s">
        <v>46</v>
      </c>
      <c r="E232" s="119" t="s">
        <v>54</v>
      </c>
      <c r="F232" s="120"/>
      <c r="G232" s="120"/>
      <c r="H232" s="146">
        <f t="shared" si="6"/>
        <v>455</v>
      </c>
      <c r="I232" s="146">
        <f>I233</f>
        <v>455</v>
      </c>
      <c r="J232" s="146">
        <f>J233</f>
        <v>0</v>
      </c>
      <c r="K232" s="146">
        <f>K233</f>
        <v>0</v>
      </c>
      <c r="L232" s="146">
        <f>L233</f>
        <v>0</v>
      </c>
    </row>
    <row r="233" spans="1:12" ht="25.5">
      <c r="A233" s="121"/>
      <c r="B233" s="123" t="s">
        <v>109</v>
      </c>
      <c r="C233" s="169"/>
      <c r="D233" s="120" t="s">
        <v>46</v>
      </c>
      <c r="E233" s="120" t="s">
        <v>54</v>
      </c>
      <c r="F233" s="120" t="s">
        <v>110</v>
      </c>
      <c r="G233" s="120"/>
      <c r="H233" s="146">
        <f t="shared" si="6"/>
        <v>455</v>
      </c>
      <c r="I233" s="133">
        <f>I234</f>
        <v>455</v>
      </c>
      <c r="J233" s="133"/>
      <c r="K233" s="133"/>
      <c r="L233" s="133"/>
    </row>
    <row r="234" spans="1:12" ht="24.75" customHeight="1">
      <c r="A234" s="121"/>
      <c r="B234" s="149" t="s">
        <v>339</v>
      </c>
      <c r="C234" s="169"/>
      <c r="D234" s="120" t="s">
        <v>46</v>
      </c>
      <c r="E234" s="120" t="s">
        <v>54</v>
      </c>
      <c r="F234" s="120" t="s">
        <v>110</v>
      </c>
      <c r="G234" s="120" t="s">
        <v>338</v>
      </c>
      <c r="H234" s="146">
        <f t="shared" si="6"/>
        <v>455</v>
      </c>
      <c r="I234" s="133">
        <v>455</v>
      </c>
      <c r="J234" s="133"/>
      <c r="K234" s="133"/>
      <c r="L234" s="133"/>
    </row>
    <row r="235" spans="1:12" ht="12.75">
      <c r="A235" s="121"/>
      <c r="B235" s="115" t="s">
        <v>336</v>
      </c>
      <c r="C235" s="169"/>
      <c r="D235" s="119" t="s">
        <v>46</v>
      </c>
      <c r="E235" s="119" t="s">
        <v>89</v>
      </c>
      <c r="F235" s="120"/>
      <c r="G235" s="120"/>
      <c r="H235" s="146">
        <f>I235+J235+K235+L235</f>
        <v>416.6</v>
      </c>
      <c r="I235" s="133">
        <f>I236</f>
        <v>416.6</v>
      </c>
      <c r="J235" s="133"/>
      <c r="K235" s="133"/>
      <c r="L235" s="133"/>
    </row>
    <row r="236" spans="1:12" ht="25.5">
      <c r="A236" s="121"/>
      <c r="B236" s="170" t="s">
        <v>436</v>
      </c>
      <c r="C236" s="169"/>
      <c r="D236" s="120" t="s">
        <v>46</v>
      </c>
      <c r="E236" s="120" t="s">
        <v>89</v>
      </c>
      <c r="F236" s="151" t="s">
        <v>437</v>
      </c>
      <c r="G236" s="120"/>
      <c r="H236" s="146">
        <f>I236+J236+K236+L236</f>
        <v>416.6</v>
      </c>
      <c r="I236" s="133">
        <f>I237</f>
        <v>416.6</v>
      </c>
      <c r="J236" s="133"/>
      <c r="K236" s="133"/>
      <c r="L236" s="133"/>
    </row>
    <row r="237" spans="1:12" ht="51">
      <c r="A237" s="135"/>
      <c r="B237" s="150" t="s">
        <v>479</v>
      </c>
      <c r="C237" s="169"/>
      <c r="D237" s="120" t="s">
        <v>46</v>
      </c>
      <c r="E237" s="120" t="s">
        <v>89</v>
      </c>
      <c r="F237" s="151" t="s">
        <v>480</v>
      </c>
      <c r="G237" s="120"/>
      <c r="H237" s="146">
        <f>I237+J237+K237+L237</f>
        <v>416.6</v>
      </c>
      <c r="I237" s="133">
        <f>I238</f>
        <v>416.6</v>
      </c>
      <c r="J237" s="133"/>
      <c r="K237" s="133"/>
      <c r="L237" s="133"/>
    </row>
    <row r="238" spans="1:12" ht="25.5">
      <c r="A238" s="121"/>
      <c r="B238" s="136" t="s">
        <v>117</v>
      </c>
      <c r="C238" s="169"/>
      <c r="D238" s="120" t="s">
        <v>46</v>
      </c>
      <c r="E238" s="120" t="s">
        <v>89</v>
      </c>
      <c r="F238" s="151" t="s">
        <v>480</v>
      </c>
      <c r="G238" s="120" t="s">
        <v>32</v>
      </c>
      <c r="H238" s="146">
        <f>I238+J238+K238+L238</f>
        <v>416.6</v>
      </c>
      <c r="I238" s="133">
        <v>416.6</v>
      </c>
      <c r="J238" s="133"/>
      <c r="K238" s="133"/>
      <c r="L238" s="133"/>
    </row>
    <row r="239" spans="1:12" ht="12.75">
      <c r="A239" s="121"/>
      <c r="B239" s="123" t="s">
        <v>71</v>
      </c>
      <c r="C239" s="123"/>
      <c r="D239" s="119" t="s">
        <v>50</v>
      </c>
      <c r="E239" s="119" t="s">
        <v>43</v>
      </c>
      <c r="F239" s="119"/>
      <c r="G239" s="119"/>
      <c r="H239" s="146">
        <f t="shared" si="6"/>
        <v>668149.8999999999</v>
      </c>
      <c r="I239" s="146">
        <f>I240+I244+I256+I266</f>
        <v>362353.10000000003</v>
      </c>
      <c r="J239" s="146">
        <f>J240+J244+J256+J266</f>
        <v>301511.1</v>
      </c>
      <c r="K239" s="146">
        <f>K240+K244+K256+K266</f>
        <v>3070</v>
      </c>
      <c r="L239" s="146">
        <f>L240+L244+L256+L266</f>
        <v>1215.7</v>
      </c>
    </row>
    <row r="240" spans="1:12" ht="12.75">
      <c r="A240" s="114"/>
      <c r="B240" s="115" t="s">
        <v>73</v>
      </c>
      <c r="C240" s="115"/>
      <c r="D240" s="109" t="s">
        <v>50</v>
      </c>
      <c r="E240" s="109" t="s">
        <v>42</v>
      </c>
      <c r="F240" s="109"/>
      <c r="G240" s="109"/>
      <c r="H240" s="108">
        <f t="shared" si="6"/>
        <v>254237.50000000003</v>
      </c>
      <c r="I240" s="108">
        <f aca="true" t="shared" si="8" ref="I240:L242">I241</f>
        <v>252157.50000000003</v>
      </c>
      <c r="J240" s="108">
        <f t="shared" si="8"/>
        <v>2080</v>
      </c>
      <c r="K240" s="108">
        <f t="shared" si="8"/>
        <v>0</v>
      </c>
      <c r="L240" s="108">
        <f t="shared" si="8"/>
        <v>0</v>
      </c>
    </row>
    <row r="241" spans="1:12" ht="12.75">
      <c r="A241" s="114"/>
      <c r="B241" s="115" t="s">
        <v>93</v>
      </c>
      <c r="C241" s="115"/>
      <c r="D241" s="112" t="s">
        <v>50</v>
      </c>
      <c r="E241" s="112" t="s">
        <v>42</v>
      </c>
      <c r="F241" s="112" t="s">
        <v>97</v>
      </c>
      <c r="G241" s="112"/>
      <c r="H241" s="108">
        <f t="shared" si="6"/>
        <v>254237.50000000003</v>
      </c>
      <c r="I241" s="113">
        <f t="shared" si="8"/>
        <v>252157.50000000003</v>
      </c>
      <c r="J241" s="113">
        <f t="shared" si="8"/>
        <v>2080</v>
      </c>
      <c r="K241" s="113"/>
      <c r="L241" s="113"/>
    </row>
    <row r="242" spans="1:12" ht="25.5">
      <c r="A242" s="114"/>
      <c r="B242" s="115" t="s">
        <v>94</v>
      </c>
      <c r="C242" s="115"/>
      <c r="D242" s="112" t="s">
        <v>50</v>
      </c>
      <c r="E242" s="112" t="s">
        <v>42</v>
      </c>
      <c r="F242" s="112" t="s">
        <v>98</v>
      </c>
      <c r="G242" s="112"/>
      <c r="H242" s="108">
        <f t="shared" si="6"/>
        <v>254237.50000000003</v>
      </c>
      <c r="I242" s="113">
        <f t="shared" si="8"/>
        <v>252157.50000000003</v>
      </c>
      <c r="J242" s="113">
        <f t="shared" si="8"/>
        <v>2080</v>
      </c>
      <c r="K242" s="113"/>
      <c r="L242" s="113"/>
    </row>
    <row r="243" spans="1:12" ht="25.5">
      <c r="A243" s="114"/>
      <c r="B243" s="115" t="s">
        <v>95</v>
      </c>
      <c r="C243" s="115"/>
      <c r="D243" s="112" t="s">
        <v>50</v>
      </c>
      <c r="E243" s="112" t="s">
        <v>42</v>
      </c>
      <c r="F243" s="112" t="s">
        <v>98</v>
      </c>
      <c r="G243" s="112" t="s">
        <v>99</v>
      </c>
      <c r="H243" s="108">
        <f t="shared" si="6"/>
        <v>254237.50000000003</v>
      </c>
      <c r="I243" s="113">
        <f>242909+4000+2249+138.6+0.4-2727-800-754.3+97.6+185.1+1090+500+97.1+10+377+4785</f>
        <v>252157.50000000003</v>
      </c>
      <c r="J243" s="113">
        <v>2080</v>
      </c>
      <c r="K243" s="113"/>
      <c r="L243" s="113"/>
    </row>
    <row r="244" spans="1:12" ht="12.75">
      <c r="A244" s="114"/>
      <c r="B244" s="113" t="s">
        <v>75</v>
      </c>
      <c r="C244" s="115"/>
      <c r="D244" s="109" t="s">
        <v>50</v>
      </c>
      <c r="E244" s="109" t="s">
        <v>44</v>
      </c>
      <c r="F244" s="109"/>
      <c r="G244" s="109"/>
      <c r="H244" s="108">
        <f t="shared" si="6"/>
        <v>375273.4</v>
      </c>
      <c r="I244" s="108">
        <f>I245+I248+I251</f>
        <v>80574.4</v>
      </c>
      <c r="J244" s="108">
        <f>J245+J248+J251</f>
        <v>293999</v>
      </c>
      <c r="K244" s="108">
        <f>K245+K248+K251</f>
        <v>0</v>
      </c>
      <c r="L244" s="108">
        <f>L245+L248+L251</f>
        <v>700</v>
      </c>
    </row>
    <row r="245" spans="1:12" ht="38.25">
      <c r="A245" s="114"/>
      <c r="B245" s="115" t="s">
        <v>96</v>
      </c>
      <c r="C245" s="115"/>
      <c r="D245" s="112" t="s">
        <v>50</v>
      </c>
      <c r="E245" s="112" t="s">
        <v>44</v>
      </c>
      <c r="F245" s="112" t="s">
        <v>100</v>
      </c>
      <c r="G245" s="112"/>
      <c r="H245" s="108">
        <f t="shared" si="6"/>
        <v>331329.4</v>
      </c>
      <c r="I245" s="113">
        <f>I246</f>
        <v>40149.4</v>
      </c>
      <c r="J245" s="113">
        <f>J246</f>
        <v>290480</v>
      </c>
      <c r="K245" s="113"/>
      <c r="L245" s="113">
        <f>L246</f>
        <v>700</v>
      </c>
    </row>
    <row r="246" spans="1:12" ht="25.5">
      <c r="A246" s="114"/>
      <c r="B246" s="115" t="s">
        <v>94</v>
      </c>
      <c r="C246" s="115"/>
      <c r="D246" s="112" t="s">
        <v>50</v>
      </c>
      <c r="E246" s="112" t="s">
        <v>44</v>
      </c>
      <c r="F246" s="112" t="s">
        <v>101</v>
      </c>
      <c r="G246" s="112"/>
      <c r="H246" s="108">
        <f t="shared" si="6"/>
        <v>331329.4</v>
      </c>
      <c r="I246" s="113">
        <f>I247</f>
        <v>40149.4</v>
      </c>
      <c r="J246" s="113">
        <f>J247</f>
        <v>290480</v>
      </c>
      <c r="K246" s="113"/>
      <c r="L246" s="113">
        <f>L247</f>
        <v>700</v>
      </c>
    </row>
    <row r="247" spans="1:12" ht="25.5">
      <c r="A247" s="114"/>
      <c r="B247" s="115" t="s">
        <v>95</v>
      </c>
      <c r="C247" s="115"/>
      <c r="D247" s="112" t="s">
        <v>50</v>
      </c>
      <c r="E247" s="112" t="s">
        <v>44</v>
      </c>
      <c r="F247" s="112" t="s">
        <v>101</v>
      </c>
      <c r="G247" s="112" t="s">
        <v>99</v>
      </c>
      <c r="H247" s="108">
        <f t="shared" si="6"/>
        <v>331329.4</v>
      </c>
      <c r="I247" s="113">
        <f>34449+5252+1279+105-800-340.9+5.3+200</f>
        <v>40149.4</v>
      </c>
      <c r="J247" s="113">
        <v>290480</v>
      </c>
      <c r="K247" s="113"/>
      <c r="L247" s="113">
        <f>100+600</f>
        <v>700</v>
      </c>
    </row>
    <row r="248" spans="1:12" ht="25.5">
      <c r="A248" s="114"/>
      <c r="B248" s="115" t="s">
        <v>106</v>
      </c>
      <c r="C248" s="115"/>
      <c r="D248" s="112" t="s">
        <v>50</v>
      </c>
      <c r="E248" s="112" t="s">
        <v>44</v>
      </c>
      <c r="F248" s="112" t="s">
        <v>107</v>
      </c>
      <c r="G248" s="112"/>
      <c r="H248" s="108">
        <f t="shared" si="6"/>
        <v>40440</v>
      </c>
      <c r="I248" s="113">
        <f>I249</f>
        <v>40425</v>
      </c>
      <c r="J248" s="113">
        <f>J249</f>
        <v>15</v>
      </c>
      <c r="K248" s="113"/>
      <c r="L248" s="113"/>
    </row>
    <row r="249" spans="1:12" ht="25.5">
      <c r="A249" s="114"/>
      <c r="B249" s="115" t="s">
        <v>94</v>
      </c>
      <c r="C249" s="115"/>
      <c r="D249" s="112" t="s">
        <v>50</v>
      </c>
      <c r="E249" s="112" t="s">
        <v>44</v>
      </c>
      <c r="F249" s="112" t="s">
        <v>108</v>
      </c>
      <c r="G249" s="112"/>
      <c r="H249" s="108">
        <f t="shared" si="6"/>
        <v>40440</v>
      </c>
      <c r="I249" s="113">
        <f>I250</f>
        <v>40425</v>
      </c>
      <c r="J249" s="113">
        <f>J250</f>
        <v>15</v>
      </c>
      <c r="K249" s="113"/>
      <c r="L249" s="113"/>
    </row>
    <row r="250" spans="1:12" ht="25.5">
      <c r="A250" s="114"/>
      <c r="B250" s="115" t="s">
        <v>95</v>
      </c>
      <c r="C250" s="115"/>
      <c r="D250" s="112" t="s">
        <v>50</v>
      </c>
      <c r="E250" s="112" t="s">
        <v>44</v>
      </c>
      <c r="F250" s="112" t="s">
        <v>108</v>
      </c>
      <c r="G250" s="112" t="s">
        <v>99</v>
      </c>
      <c r="H250" s="108">
        <f t="shared" si="6"/>
        <v>40440</v>
      </c>
      <c r="I250" s="113">
        <f>37704+748+227+23.1+4.5-400-88.6+100+1500+607</f>
        <v>40425</v>
      </c>
      <c r="J250" s="113">
        <v>15</v>
      </c>
      <c r="K250" s="113"/>
      <c r="L250" s="113"/>
    </row>
    <row r="251" spans="1:12" ht="25.5">
      <c r="A251" s="114"/>
      <c r="B251" s="115" t="s">
        <v>104</v>
      </c>
      <c r="C251" s="115"/>
      <c r="D251" s="112" t="s">
        <v>50</v>
      </c>
      <c r="E251" s="112" t="s">
        <v>44</v>
      </c>
      <c r="F251" s="112" t="s">
        <v>105</v>
      </c>
      <c r="G251" s="112"/>
      <c r="H251" s="108">
        <f t="shared" si="6"/>
        <v>3504</v>
      </c>
      <c r="I251" s="113"/>
      <c r="J251" s="113">
        <f>J252</f>
        <v>3504</v>
      </c>
      <c r="K251" s="113"/>
      <c r="L251" s="113"/>
    </row>
    <row r="252" spans="1:12" ht="38.25">
      <c r="A252" s="114"/>
      <c r="B252" s="115" t="s">
        <v>102</v>
      </c>
      <c r="C252" s="115"/>
      <c r="D252" s="112" t="s">
        <v>50</v>
      </c>
      <c r="E252" s="112" t="s">
        <v>44</v>
      </c>
      <c r="F252" s="112" t="s">
        <v>103</v>
      </c>
      <c r="G252" s="112"/>
      <c r="H252" s="108">
        <f t="shared" si="6"/>
        <v>3504</v>
      </c>
      <c r="I252" s="113"/>
      <c r="J252" s="113">
        <f>J253</f>
        <v>3504</v>
      </c>
      <c r="K252" s="113"/>
      <c r="L252" s="113"/>
    </row>
    <row r="253" spans="1:12" ht="25.5">
      <c r="A253" s="114"/>
      <c r="B253" s="115" t="s">
        <v>95</v>
      </c>
      <c r="C253" s="115"/>
      <c r="D253" s="112" t="s">
        <v>50</v>
      </c>
      <c r="E253" s="112" t="s">
        <v>44</v>
      </c>
      <c r="F253" s="112" t="s">
        <v>103</v>
      </c>
      <c r="G253" s="112" t="s">
        <v>99</v>
      </c>
      <c r="H253" s="108">
        <f t="shared" si="6"/>
        <v>3504</v>
      </c>
      <c r="I253" s="113"/>
      <c r="J253" s="113">
        <f>J254+J255</f>
        <v>3504</v>
      </c>
      <c r="K253" s="113"/>
      <c r="L253" s="113"/>
    </row>
    <row r="254" spans="1:12" ht="12.75">
      <c r="A254" s="114"/>
      <c r="B254" s="115" t="s">
        <v>273</v>
      </c>
      <c r="C254" s="113"/>
      <c r="D254" s="112" t="s">
        <v>50</v>
      </c>
      <c r="E254" s="112" t="s">
        <v>44</v>
      </c>
      <c r="F254" s="112" t="s">
        <v>278</v>
      </c>
      <c r="G254" s="112" t="s">
        <v>99</v>
      </c>
      <c r="H254" s="108">
        <f t="shared" si="6"/>
        <v>1078</v>
      </c>
      <c r="I254" s="113"/>
      <c r="J254" s="113">
        <v>1078</v>
      </c>
      <c r="K254" s="113"/>
      <c r="L254" s="113"/>
    </row>
    <row r="255" spans="1:12" ht="12.75">
      <c r="A255" s="114"/>
      <c r="B255" s="115" t="s">
        <v>275</v>
      </c>
      <c r="C255" s="113"/>
      <c r="D255" s="112" t="s">
        <v>50</v>
      </c>
      <c r="E255" s="112" t="s">
        <v>44</v>
      </c>
      <c r="F255" s="112" t="s">
        <v>277</v>
      </c>
      <c r="G255" s="112" t="s">
        <v>99</v>
      </c>
      <c r="H255" s="108">
        <f t="shared" si="6"/>
        <v>2426</v>
      </c>
      <c r="I255" s="113"/>
      <c r="J255" s="113">
        <v>2426</v>
      </c>
      <c r="K255" s="113"/>
      <c r="L255" s="113"/>
    </row>
    <row r="256" spans="1:12" ht="25.5">
      <c r="A256" s="114"/>
      <c r="B256" s="115" t="s">
        <v>77</v>
      </c>
      <c r="C256" s="115"/>
      <c r="D256" s="109" t="s">
        <v>50</v>
      </c>
      <c r="E256" s="109" t="s">
        <v>50</v>
      </c>
      <c r="F256" s="109"/>
      <c r="G256" s="109"/>
      <c r="H256" s="108">
        <f t="shared" si="6"/>
        <v>12831.3</v>
      </c>
      <c r="I256" s="108">
        <f>I257+I261+I264</f>
        <v>5197.2</v>
      </c>
      <c r="J256" s="108">
        <f>J257+J261+J264</f>
        <v>4344.1</v>
      </c>
      <c r="K256" s="108">
        <f>K257+K261+K264</f>
        <v>3070</v>
      </c>
      <c r="L256" s="108">
        <f>L257+L261+L264</f>
        <v>220</v>
      </c>
    </row>
    <row r="257" spans="1:12" ht="25.5">
      <c r="A257" s="114"/>
      <c r="B257" s="115" t="s">
        <v>204</v>
      </c>
      <c r="C257" s="115"/>
      <c r="D257" s="112" t="s">
        <v>50</v>
      </c>
      <c r="E257" s="112" t="s">
        <v>50</v>
      </c>
      <c r="F257" s="112" t="s">
        <v>205</v>
      </c>
      <c r="G257" s="109"/>
      <c r="H257" s="108">
        <f t="shared" si="6"/>
        <v>12611.3</v>
      </c>
      <c r="I257" s="113">
        <f>I258</f>
        <v>5197.2</v>
      </c>
      <c r="J257" s="113">
        <f>J258</f>
        <v>4344.1</v>
      </c>
      <c r="K257" s="113">
        <f>K258</f>
        <v>3070</v>
      </c>
      <c r="L257" s="113"/>
    </row>
    <row r="258" spans="1:12" ht="12.75">
      <c r="A258" s="114"/>
      <c r="B258" s="113" t="s">
        <v>206</v>
      </c>
      <c r="C258" s="115"/>
      <c r="D258" s="112" t="s">
        <v>50</v>
      </c>
      <c r="E258" s="112" t="s">
        <v>50</v>
      </c>
      <c r="F258" s="112" t="s">
        <v>207</v>
      </c>
      <c r="G258" s="109"/>
      <c r="H258" s="108">
        <f t="shared" si="6"/>
        <v>12611.3</v>
      </c>
      <c r="I258" s="113">
        <f>I259+I260</f>
        <v>5197.2</v>
      </c>
      <c r="J258" s="113">
        <f>J259+J260</f>
        <v>4344.1</v>
      </c>
      <c r="K258" s="113">
        <f>K259+K260</f>
        <v>3070</v>
      </c>
      <c r="L258" s="113"/>
    </row>
    <row r="259" spans="1:12" ht="25.5">
      <c r="A259" s="114"/>
      <c r="B259" s="115" t="s">
        <v>95</v>
      </c>
      <c r="C259" s="115"/>
      <c r="D259" s="112" t="s">
        <v>50</v>
      </c>
      <c r="E259" s="112" t="s">
        <v>50</v>
      </c>
      <c r="F259" s="112" t="s">
        <v>207</v>
      </c>
      <c r="G259" s="112" t="s">
        <v>99</v>
      </c>
      <c r="H259" s="108">
        <f t="shared" si="6"/>
        <v>3137.2</v>
      </c>
      <c r="I259" s="113">
        <v>67.2</v>
      </c>
      <c r="J259" s="113"/>
      <c r="K259" s="113">
        <v>3070</v>
      </c>
      <c r="L259" s="113"/>
    </row>
    <row r="260" spans="1:12" ht="25.5">
      <c r="A260" s="114"/>
      <c r="B260" s="115" t="s">
        <v>433</v>
      </c>
      <c r="C260" s="115"/>
      <c r="D260" s="112" t="s">
        <v>50</v>
      </c>
      <c r="E260" s="112" t="s">
        <v>50</v>
      </c>
      <c r="F260" s="112" t="s">
        <v>207</v>
      </c>
      <c r="G260" s="112" t="s">
        <v>32</v>
      </c>
      <c r="H260" s="108">
        <f>I260+J260+K260+L260</f>
        <v>9474.1</v>
      </c>
      <c r="I260" s="113">
        <f>5200-70</f>
        <v>5130</v>
      </c>
      <c r="J260" s="113">
        <v>4344.1</v>
      </c>
      <c r="K260" s="113"/>
      <c r="L260" s="113"/>
    </row>
    <row r="261" spans="1:12" ht="25.5">
      <c r="A261" s="114"/>
      <c r="B261" s="149" t="s">
        <v>175</v>
      </c>
      <c r="C261" s="115"/>
      <c r="D261" s="112" t="s">
        <v>50</v>
      </c>
      <c r="E261" s="112" t="s">
        <v>50</v>
      </c>
      <c r="F261" s="112" t="s">
        <v>176</v>
      </c>
      <c r="G261" s="112"/>
      <c r="H261" s="108">
        <f>I261+J261+K261+L261</f>
        <v>220</v>
      </c>
      <c r="I261" s="113"/>
      <c r="J261" s="113"/>
      <c r="K261" s="113"/>
      <c r="L261" s="113">
        <f>L262</f>
        <v>220</v>
      </c>
    </row>
    <row r="262" spans="1:12" ht="25.5">
      <c r="A262" s="114"/>
      <c r="B262" s="115" t="s">
        <v>470</v>
      </c>
      <c r="C262" s="115"/>
      <c r="D262" s="112" t="s">
        <v>50</v>
      </c>
      <c r="E262" s="112" t="s">
        <v>50</v>
      </c>
      <c r="F262" s="112" t="s">
        <v>471</v>
      </c>
      <c r="G262" s="112"/>
      <c r="H262" s="108">
        <f>I262+J262+K262+L262</f>
        <v>220</v>
      </c>
      <c r="I262" s="113"/>
      <c r="J262" s="113"/>
      <c r="K262" s="113"/>
      <c r="L262" s="113">
        <f>L263</f>
        <v>220</v>
      </c>
    </row>
    <row r="263" spans="1:12" ht="38.25">
      <c r="A263" s="114"/>
      <c r="B263" s="115" t="s">
        <v>111</v>
      </c>
      <c r="C263" s="115"/>
      <c r="D263" s="112" t="s">
        <v>50</v>
      </c>
      <c r="E263" s="112" t="s">
        <v>50</v>
      </c>
      <c r="F263" s="112" t="s">
        <v>471</v>
      </c>
      <c r="G263" s="112" t="s">
        <v>112</v>
      </c>
      <c r="H263" s="108">
        <f>I263+J263+K263+L263</f>
        <v>220</v>
      </c>
      <c r="I263" s="113"/>
      <c r="J263" s="113"/>
      <c r="K263" s="113"/>
      <c r="L263" s="113">
        <f>70+150</f>
        <v>220</v>
      </c>
    </row>
    <row r="264" spans="1:12" ht="25.5">
      <c r="A264" s="121"/>
      <c r="B264" s="123" t="s">
        <v>109</v>
      </c>
      <c r="C264" s="123"/>
      <c r="D264" s="120" t="s">
        <v>50</v>
      </c>
      <c r="E264" s="120" t="s">
        <v>50</v>
      </c>
      <c r="F264" s="120" t="s">
        <v>110</v>
      </c>
      <c r="G264" s="119"/>
      <c r="H264" s="146">
        <f t="shared" si="6"/>
        <v>0</v>
      </c>
      <c r="I264" s="133">
        <f>I265</f>
        <v>0</v>
      </c>
      <c r="J264" s="133"/>
      <c r="K264" s="133"/>
      <c r="L264" s="133"/>
    </row>
    <row r="265" spans="1:12" ht="38.25">
      <c r="A265" s="121"/>
      <c r="B265" s="123" t="s">
        <v>111</v>
      </c>
      <c r="C265" s="123"/>
      <c r="D265" s="120" t="s">
        <v>50</v>
      </c>
      <c r="E265" s="120" t="s">
        <v>50</v>
      </c>
      <c r="F265" s="120" t="s">
        <v>110</v>
      </c>
      <c r="G265" s="120" t="s">
        <v>112</v>
      </c>
      <c r="H265" s="146">
        <f t="shared" si="6"/>
        <v>0</v>
      </c>
      <c r="I265" s="133">
        <f>95-95</f>
        <v>0</v>
      </c>
      <c r="J265" s="133"/>
      <c r="K265" s="133"/>
      <c r="L265" s="133"/>
    </row>
    <row r="266" spans="1:12" ht="25.5">
      <c r="A266" s="121"/>
      <c r="B266" s="123" t="s">
        <v>78</v>
      </c>
      <c r="C266" s="123"/>
      <c r="D266" s="160" t="s">
        <v>50</v>
      </c>
      <c r="E266" s="160" t="s">
        <v>54</v>
      </c>
      <c r="F266" s="155"/>
      <c r="G266" s="160"/>
      <c r="H266" s="163">
        <f aca="true" t="shared" si="9" ref="H266:H342">I266+J266+K266+L266</f>
        <v>25807.7</v>
      </c>
      <c r="I266" s="108">
        <f>I267+I270+I276</f>
        <v>24424</v>
      </c>
      <c r="J266" s="108">
        <f>J267+J270+J276</f>
        <v>1088</v>
      </c>
      <c r="K266" s="108">
        <f>K267+K270+K276</f>
        <v>0</v>
      </c>
      <c r="L266" s="108">
        <f>L267+L270+L276</f>
        <v>295.7</v>
      </c>
    </row>
    <row r="267" spans="1:12" ht="63.75">
      <c r="A267" s="121"/>
      <c r="B267" s="123" t="s">
        <v>113</v>
      </c>
      <c r="C267" s="123"/>
      <c r="D267" s="155" t="s">
        <v>50</v>
      </c>
      <c r="E267" s="155" t="s">
        <v>54</v>
      </c>
      <c r="F267" s="155" t="s">
        <v>114</v>
      </c>
      <c r="G267" s="160"/>
      <c r="H267" s="163">
        <f t="shared" si="9"/>
        <v>22309</v>
      </c>
      <c r="I267" s="140">
        <f>I268</f>
        <v>21221</v>
      </c>
      <c r="J267" s="140">
        <f>J268</f>
        <v>1088</v>
      </c>
      <c r="K267" s="133"/>
      <c r="L267" s="133"/>
    </row>
    <row r="268" spans="1:12" ht="12.75">
      <c r="A268" s="121"/>
      <c r="B268" s="133" t="s">
        <v>115</v>
      </c>
      <c r="C268" s="123"/>
      <c r="D268" s="155" t="s">
        <v>50</v>
      </c>
      <c r="E268" s="155" t="s">
        <v>54</v>
      </c>
      <c r="F268" s="155" t="s">
        <v>116</v>
      </c>
      <c r="G268" s="160"/>
      <c r="H268" s="163">
        <f t="shared" si="9"/>
        <v>22309</v>
      </c>
      <c r="I268" s="140">
        <f>I269</f>
        <v>21221</v>
      </c>
      <c r="J268" s="140">
        <f>J269</f>
        <v>1088</v>
      </c>
      <c r="K268" s="133"/>
      <c r="L268" s="133"/>
    </row>
    <row r="269" spans="1:12" ht="25.5">
      <c r="A269" s="121"/>
      <c r="B269" s="123" t="s">
        <v>117</v>
      </c>
      <c r="C269" s="123"/>
      <c r="D269" s="155" t="s">
        <v>50</v>
      </c>
      <c r="E269" s="155" t="s">
        <v>54</v>
      </c>
      <c r="F269" s="155" t="s">
        <v>116</v>
      </c>
      <c r="G269" s="155" t="s">
        <v>32</v>
      </c>
      <c r="H269" s="163">
        <f t="shared" si="9"/>
        <v>22309</v>
      </c>
      <c r="I269" s="140">
        <f>22953-157-28-1547</f>
        <v>21221</v>
      </c>
      <c r="J269" s="140">
        <v>1088</v>
      </c>
      <c r="K269" s="133"/>
      <c r="L269" s="133"/>
    </row>
    <row r="270" spans="1:12" ht="12.75">
      <c r="A270" s="121"/>
      <c r="B270" s="133" t="s">
        <v>175</v>
      </c>
      <c r="C270" s="123"/>
      <c r="D270" s="155" t="s">
        <v>50</v>
      </c>
      <c r="E270" s="155" t="s">
        <v>54</v>
      </c>
      <c r="F270" s="155" t="s">
        <v>176</v>
      </c>
      <c r="G270" s="155"/>
      <c r="H270" s="163">
        <f aca="true" t="shared" si="10" ref="H270:H275">L270</f>
        <v>295.7</v>
      </c>
      <c r="I270" s="140"/>
      <c r="J270" s="140"/>
      <c r="K270" s="140"/>
      <c r="L270" s="140">
        <f>L271+L274</f>
        <v>295.7</v>
      </c>
    </row>
    <row r="271" spans="1:12" ht="40.5" customHeight="1">
      <c r="A271" s="121"/>
      <c r="B271" s="127" t="s">
        <v>455</v>
      </c>
      <c r="C271" s="123"/>
      <c r="D271" s="155" t="s">
        <v>50</v>
      </c>
      <c r="E271" s="155" t="s">
        <v>54</v>
      </c>
      <c r="F271" s="155" t="s">
        <v>457</v>
      </c>
      <c r="G271" s="155"/>
      <c r="H271" s="163">
        <f t="shared" si="10"/>
        <v>216.5</v>
      </c>
      <c r="I271" s="140"/>
      <c r="J271" s="140"/>
      <c r="K271" s="140"/>
      <c r="L271" s="140">
        <f>L272</f>
        <v>216.5</v>
      </c>
    </row>
    <row r="272" spans="1:12" ht="76.5">
      <c r="A272" s="121"/>
      <c r="B272" s="123" t="s">
        <v>456</v>
      </c>
      <c r="C272" s="123"/>
      <c r="D272" s="155" t="s">
        <v>50</v>
      </c>
      <c r="E272" s="155" t="s">
        <v>54</v>
      </c>
      <c r="F272" s="155" t="s">
        <v>458</v>
      </c>
      <c r="G272" s="155"/>
      <c r="H272" s="163">
        <f t="shared" si="10"/>
        <v>216.5</v>
      </c>
      <c r="I272" s="140"/>
      <c r="J272" s="140"/>
      <c r="K272" s="140"/>
      <c r="L272" s="140">
        <f>L273</f>
        <v>216.5</v>
      </c>
    </row>
    <row r="273" spans="1:12" ht="15" customHeight="1">
      <c r="A273" s="121"/>
      <c r="B273" s="123" t="s">
        <v>118</v>
      </c>
      <c r="C273" s="123"/>
      <c r="D273" s="155" t="s">
        <v>50</v>
      </c>
      <c r="E273" s="155" t="s">
        <v>54</v>
      </c>
      <c r="F273" s="155" t="s">
        <v>458</v>
      </c>
      <c r="G273" s="155" t="s">
        <v>119</v>
      </c>
      <c r="H273" s="163">
        <f t="shared" si="10"/>
        <v>216.5</v>
      </c>
      <c r="I273" s="140"/>
      <c r="J273" s="140"/>
      <c r="K273" s="140"/>
      <c r="L273" s="140">
        <f>156.5+60</f>
        <v>216.5</v>
      </c>
    </row>
    <row r="274" spans="1:12" ht="63.75">
      <c r="A274" s="114"/>
      <c r="B274" s="123" t="s">
        <v>454</v>
      </c>
      <c r="C274" s="115"/>
      <c r="D274" s="112" t="s">
        <v>50</v>
      </c>
      <c r="E274" s="112" t="s">
        <v>54</v>
      </c>
      <c r="F274" s="112" t="s">
        <v>450</v>
      </c>
      <c r="G274" s="112"/>
      <c r="H274" s="163">
        <f t="shared" si="10"/>
        <v>79.2</v>
      </c>
      <c r="I274" s="113"/>
      <c r="J274" s="113"/>
      <c r="K274" s="113"/>
      <c r="L274" s="113">
        <f>L275</f>
        <v>79.2</v>
      </c>
    </row>
    <row r="275" spans="1:12" ht="38.25">
      <c r="A275" s="114"/>
      <c r="B275" s="123" t="s">
        <v>451</v>
      </c>
      <c r="C275" s="115"/>
      <c r="D275" s="112" t="s">
        <v>50</v>
      </c>
      <c r="E275" s="112" t="s">
        <v>54</v>
      </c>
      <c r="F275" s="112" t="s">
        <v>452</v>
      </c>
      <c r="G275" s="112" t="s">
        <v>119</v>
      </c>
      <c r="H275" s="163">
        <f t="shared" si="10"/>
        <v>79.2</v>
      </c>
      <c r="I275" s="140"/>
      <c r="J275" s="140"/>
      <c r="K275" s="133"/>
      <c r="L275" s="133">
        <v>79.2</v>
      </c>
    </row>
    <row r="276" spans="1:12" ht="25.5">
      <c r="A276" s="121"/>
      <c r="B276" s="123" t="s">
        <v>109</v>
      </c>
      <c r="C276" s="123"/>
      <c r="D276" s="155" t="s">
        <v>50</v>
      </c>
      <c r="E276" s="155" t="s">
        <v>54</v>
      </c>
      <c r="F276" s="155" t="s">
        <v>110</v>
      </c>
      <c r="G276" s="160"/>
      <c r="H276" s="163">
        <f t="shared" si="9"/>
        <v>3203</v>
      </c>
      <c r="I276" s="140">
        <f>I277</f>
        <v>3203</v>
      </c>
      <c r="J276" s="140"/>
      <c r="K276" s="133"/>
      <c r="L276" s="133"/>
    </row>
    <row r="277" spans="1:12" ht="12.75">
      <c r="A277" s="121"/>
      <c r="B277" s="133" t="s">
        <v>118</v>
      </c>
      <c r="C277" s="123"/>
      <c r="D277" s="155" t="s">
        <v>50</v>
      </c>
      <c r="E277" s="155" t="s">
        <v>54</v>
      </c>
      <c r="F277" s="155" t="s">
        <v>110</v>
      </c>
      <c r="G277" s="155" t="s">
        <v>119</v>
      </c>
      <c r="H277" s="163">
        <f t="shared" si="9"/>
        <v>3203</v>
      </c>
      <c r="I277" s="140">
        <f>1203+2000</f>
        <v>3203</v>
      </c>
      <c r="J277" s="140"/>
      <c r="K277" s="133"/>
      <c r="L277" s="133"/>
    </row>
    <row r="278" spans="1:12" ht="12.75">
      <c r="A278" s="121"/>
      <c r="B278" s="133" t="s">
        <v>88</v>
      </c>
      <c r="C278" s="123"/>
      <c r="D278" s="119" t="s">
        <v>89</v>
      </c>
      <c r="E278" s="119" t="s">
        <v>43</v>
      </c>
      <c r="F278" s="120"/>
      <c r="G278" s="120"/>
      <c r="H278" s="146">
        <f t="shared" si="9"/>
        <v>85120.80000000002</v>
      </c>
      <c r="I278" s="146">
        <f>I279+I294</f>
        <v>0</v>
      </c>
      <c r="J278" s="146">
        <f>J279+J294</f>
        <v>85120.80000000002</v>
      </c>
      <c r="K278" s="146">
        <f>K279+K294</f>
        <v>0</v>
      </c>
      <c r="L278" s="146">
        <f>L279+L294</f>
        <v>0</v>
      </c>
    </row>
    <row r="279" spans="1:12" ht="12.75">
      <c r="A279" s="121"/>
      <c r="B279" s="133" t="s">
        <v>120</v>
      </c>
      <c r="C279" s="123"/>
      <c r="D279" s="119" t="s">
        <v>89</v>
      </c>
      <c r="E279" s="119" t="s">
        <v>46</v>
      </c>
      <c r="F279" s="120"/>
      <c r="G279" s="119"/>
      <c r="H279" s="146">
        <f>H280+H283+H286</f>
        <v>77897.70000000001</v>
      </c>
      <c r="I279" s="146">
        <f>I280+I283+I286</f>
        <v>0</v>
      </c>
      <c r="J279" s="146">
        <f>J280+J283+J286</f>
        <v>77897.70000000001</v>
      </c>
      <c r="K279" s="146">
        <f>K280+K283+K286</f>
        <v>0</v>
      </c>
      <c r="L279" s="146">
        <f>L280+L283+L286</f>
        <v>0</v>
      </c>
    </row>
    <row r="280" spans="1:12" ht="12.75">
      <c r="A280" s="121"/>
      <c r="B280" s="133" t="s">
        <v>121</v>
      </c>
      <c r="C280" s="123"/>
      <c r="D280" s="120" t="s">
        <v>89</v>
      </c>
      <c r="E280" s="120" t="s">
        <v>46</v>
      </c>
      <c r="F280" s="120" t="s">
        <v>122</v>
      </c>
      <c r="G280" s="119"/>
      <c r="H280" s="146">
        <f t="shared" si="9"/>
        <v>494.5</v>
      </c>
      <c r="I280" s="133"/>
      <c r="J280" s="133">
        <f>J281</f>
        <v>494.5</v>
      </c>
      <c r="K280" s="133"/>
      <c r="L280" s="133"/>
    </row>
    <row r="281" spans="1:12" ht="51">
      <c r="A281" s="121"/>
      <c r="B281" s="158" t="s">
        <v>123</v>
      </c>
      <c r="C281" s="158"/>
      <c r="D281" s="155" t="s">
        <v>89</v>
      </c>
      <c r="E281" s="155" t="s">
        <v>46</v>
      </c>
      <c r="F281" s="155" t="s">
        <v>124</v>
      </c>
      <c r="G281" s="160"/>
      <c r="H281" s="163">
        <f t="shared" si="9"/>
        <v>494.5</v>
      </c>
      <c r="I281" s="140"/>
      <c r="J281" s="140">
        <f>J282</f>
        <v>494.5</v>
      </c>
      <c r="K281" s="133"/>
      <c r="L281" s="133"/>
    </row>
    <row r="282" spans="1:12" ht="12.75">
      <c r="A282" s="121"/>
      <c r="B282" s="140" t="s">
        <v>125</v>
      </c>
      <c r="C282" s="158"/>
      <c r="D282" s="155" t="s">
        <v>89</v>
      </c>
      <c r="E282" s="155" t="s">
        <v>46</v>
      </c>
      <c r="F282" s="155" t="s">
        <v>124</v>
      </c>
      <c r="G282" s="155" t="s">
        <v>126</v>
      </c>
      <c r="H282" s="163">
        <f t="shared" si="9"/>
        <v>494.5</v>
      </c>
      <c r="I282" s="140"/>
      <c r="J282" s="140">
        <v>494.5</v>
      </c>
      <c r="K282" s="133"/>
      <c r="L282" s="133"/>
    </row>
    <row r="283" spans="1:12" ht="38.25">
      <c r="A283" s="121"/>
      <c r="B283" s="158" t="s">
        <v>351</v>
      </c>
      <c r="C283" s="158"/>
      <c r="D283" s="155" t="s">
        <v>89</v>
      </c>
      <c r="E283" s="155" t="s">
        <v>46</v>
      </c>
      <c r="F283" s="155" t="s">
        <v>352</v>
      </c>
      <c r="G283" s="155"/>
      <c r="H283" s="163">
        <f>H284</f>
        <v>4951.6</v>
      </c>
      <c r="I283" s="140"/>
      <c r="J283" s="140">
        <f>J284</f>
        <v>4951.6</v>
      </c>
      <c r="K283" s="133"/>
      <c r="L283" s="133"/>
    </row>
    <row r="284" spans="1:12" ht="25.5">
      <c r="A284" s="121"/>
      <c r="B284" s="158" t="s">
        <v>127</v>
      </c>
      <c r="C284" s="158"/>
      <c r="D284" s="155" t="s">
        <v>89</v>
      </c>
      <c r="E284" s="155" t="s">
        <v>46</v>
      </c>
      <c r="F284" s="155" t="s">
        <v>353</v>
      </c>
      <c r="G284" s="155"/>
      <c r="H284" s="163">
        <f>H285</f>
        <v>4951.6</v>
      </c>
      <c r="I284" s="140"/>
      <c r="J284" s="140">
        <f>J285</f>
        <v>4951.6</v>
      </c>
      <c r="K284" s="133"/>
      <c r="L284" s="133"/>
    </row>
    <row r="285" spans="1:12" ht="12.75">
      <c r="A285" s="121"/>
      <c r="B285" s="140" t="s">
        <v>125</v>
      </c>
      <c r="C285" s="158"/>
      <c r="D285" s="155" t="s">
        <v>89</v>
      </c>
      <c r="E285" s="155" t="s">
        <v>46</v>
      </c>
      <c r="F285" s="155" t="s">
        <v>353</v>
      </c>
      <c r="G285" s="155" t="s">
        <v>126</v>
      </c>
      <c r="H285" s="163">
        <f>SUM(I285:L285)</f>
        <v>4951.6</v>
      </c>
      <c r="I285" s="140"/>
      <c r="J285" s="140">
        <v>4951.6</v>
      </c>
      <c r="K285" s="133"/>
      <c r="L285" s="133"/>
    </row>
    <row r="286" spans="1:12" ht="25.5">
      <c r="A286" s="121"/>
      <c r="B286" s="158" t="s">
        <v>104</v>
      </c>
      <c r="C286" s="158"/>
      <c r="D286" s="155" t="s">
        <v>89</v>
      </c>
      <c r="E286" s="155" t="s">
        <v>46</v>
      </c>
      <c r="F286" s="155" t="s">
        <v>105</v>
      </c>
      <c r="G286" s="160"/>
      <c r="H286" s="163">
        <f t="shared" si="9"/>
        <v>72451.6</v>
      </c>
      <c r="I286" s="140"/>
      <c r="J286" s="140">
        <f>J287+J291</f>
        <v>72451.6</v>
      </c>
      <c r="K286" s="133"/>
      <c r="L286" s="133"/>
    </row>
    <row r="287" spans="1:12" ht="93" customHeight="1">
      <c r="A287" s="121"/>
      <c r="B287" s="139" t="s">
        <v>332</v>
      </c>
      <c r="C287" s="158"/>
      <c r="D287" s="155" t="s">
        <v>89</v>
      </c>
      <c r="E287" s="155" t="s">
        <v>46</v>
      </c>
      <c r="F287" s="155" t="s">
        <v>333</v>
      </c>
      <c r="G287" s="160"/>
      <c r="H287" s="163">
        <f aca="true" t="shared" si="11" ref="H287:H293">I287+J287+K287+L287</f>
        <v>19054</v>
      </c>
      <c r="I287" s="140"/>
      <c r="J287" s="140">
        <f>J288</f>
        <v>19054</v>
      </c>
      <c r="K287" s="133"/>
      <c r="L287" s="133"/>
    </row>
    <row r="288" spans="1:12" ht="12.75">
      <c r="A288" s="121"/>
      <c r="B288" s="158" t="s">
        <v>125</v>
      </c>
      <c r="C288" s="158"/>
      <c r="D288" s="155" t="s">
        <v>89</v>
      </c>
      <c r="E288" s="155" t="s">
        <v>46</v>
      </c>
      <c r="F288" s="155" t="s">
        <v>333</v>
      </c>
      <c r="G288" s="112" t="s">
        <v>126</v>
      </c>
      <c r="H288" s="163">
        <f t="shared" si="11"/>
        <v>19054</v>
      </c>
      <c r="I288" s="140"/>
      <c r="J288" s="140">
        <f>J289+J290</f>
        <v>19054</v>
      </c>
      <c r="K288" s="133"/>
      <c r="L288" s="133"/>
    </row>
    <row r="289" spans="1:12" ht="12.75">
      <c r="A289" s="121"/>
      <c r="B289" s="115" t="s">
        <v>273</v>
      </c>
      <c r="C289" s="158"/>
      <c r="D289" s="155" t="s">
        <v>89</v>
      </c>
      <c r="E289" s="155" t="s">
        <v>46</v>
      </c>
      <c r="F289" s="155" t="s">
        <v>334</v>
      </c>
      <c r="G289" s="112" t="s">
        <v>126</v>
      </c>
      <c r="H289" s="163">
        <f t="shared" si="11"/>
        <v>0</v>
      </c>
      <c r="I289" s="140"/>
      <c r="J289" s="140">
        <v>0</v>
      </c>
      <c r="K289" s="133"/>
      <c r="L289" s="133"/>
    </row>
    <row r="290" spans="1:12" ht="12.75">
      <c r="A290" s="121"/>
      <c r="B290" s="115" t="s">
        <v>275</v>
      </c>
      <c r="C290" s="158"/>
      <c r="D290" s="155" t="s">
        <v>89</v>
      </c>
      <c r="E290" s="155" t="s">
        <v>46</v>
      </c>
      <c r="F290" s="155" t="s">
        <v>335</v>
      </c>
      <c r="G290" s="112" t="s">
        <v>126</v>
      </c>
      <c r="H290" s="163">
        <f t="shared" si="11"/>
        <v>19054</v>
      </c>
      <c r="I290" s="140"/>
      <c r="J290" s="140">
        <v>19054</v>
      </c>
      <c r="K290" s="133"/>
      <c r="L290" s="133"/>
    </row>
    <row r="291" spans="1:12" ht="55.5" customHeight="1">
      <c r="A291" s="121"/>
      <c r="B291" s="158" t="s">
        <v>354</v>
      </c>
      <c r="C291" s="158"/>
      <c r="D291" s="155" t="s">
        <v>89</v>
      </c>
      <c r="E291" s="155" t="s">
        <v>46</v>
      </c>
      <c r="F291" s="155" t="s">
        <v>344</v>
      </c>
      <c r="G291" s="155"/>
      <c r="H291" s="163">
        <f t="shared" si="11"/>
        <v>53397.6</v>
      </c>
      <c r="I291" s="140"/>
      <c r="J291" s="140">
        <f>J292+J293</f>
        <v>53397.6</v>
      </c>
      <c r="K291" s="133"/>
      <c r="L291" s="133"/>
    </row>
    <row r="292" spans="1:12" ht="12.75">
      <c r="A292" s="121"/>
      <c r="B292" s="158" t="s">
        <v>125</v>
      </c>
      <c r="C292" s="158"/>
      <c r="D292" s="155" t="s">
        <v>89</v>
      </c>
      <c r="E292" s="155" t="s">
        <v>46</v>
      </c>
      <c r="F292" s="155" t="s">
        <v>344</v>
      </c>
      <c r="G292" s="155" t="s">
        <v>126</v>
      </c>
      <c r="H292" s="163">
        <f t="shared" si="11"/>
        <v>46390.6</v>
      </c>
      <c r="I292" s="140"/>
      <c r="J292" s="140">
        <v>46390.6</v>
      </c>
      <c r="K292" s="133"/>
      <c r="L292" s="133"/>
    </row>
    <row r="293" spans="1:12" ht="25.5">
      <c r="A293" s="121"/>
      <c r="B293" s="158" t="s">
        <v>117</v>
      </c>
      <c r="C293" s="158"/>
      <c r="D293" s="155" t="s">
        <v>89</v>
      </c>
      <c r="E293" s="155" t="s">
        <v>46</v>
      </c>
      <c r="F293" s="155" t="s">
        <v>344</v>
      </c>
      <c r="G293" s="155" t="s">
        <v>32</v>
      </c>
      <c r="H293" s="163">
        <f t="shared" si="11"/>
        <v>7007</v>
      </c>
      <c r="I293" s="140"/>
      <c r="J293" s="140">
        <v>7007</v>
      </c>
      <c r="K293" s="133"/>
      <c r="L293" s="133"/>
    </row>
    <row r="294" spans="1:12" ht="25.5">
      <c r="A294" s="121"/>
      <c r="B294" s="158" t="s">
        <v>315</v>
      </c>
      <c r="C294" s="158"/>
      <c r="D294" s="160" t="s">
        <v>89</v>
      </c>
      <c r="E294" s="160" t="s">
        <v>48</v>
      </c>
      <c r="F294" s="155"/>
      <c r="G294" s="155"/>
      <c r="H294" s="163">
        <f t="shared" si="9"/>
        <v>7223.1</v>
      </c>
      <c r="I294" s="108">
        <f>I295</f>
        <v>0</v>
      </c>
      <c r="J294" s="108">
        <f>J295</f>
        <v>7223.1</v>
      </c>
      <c r="K294" s="108">
        <f>K295</f>
        <v>0</v>
      </c>
      <c r="L294" s="108">
        <f>L295</f>
        <v>0</v>
      </c>
    </row>
    <row r="295" spans="1:12" ht="63.75">
      <c r="A295" s="121"/>
      <c r="B295" s="158" t="s">
        <v>113</v>
      </c>
      <c r="C295" s="178"/>
      <c r="D295" s="155" t="s">
        <v>89</v>
      </c>
      <c r="E295" s="155" t="s">
        <v>48</v>
      </c>
      <c r="F295" s="155" t="s">
        <v>114</v>
      </c>
      <c r="G295" s="160"/>
      <c r="H295" s="163">
        <f t="shared" si="9"/>
        <v>7223.1</v>
      </c>
      <c r="I295" s="140"/>
      <c r="J295" s="140">
        <f>J296</f>
        <v>7223.1</v>
      </c>
      <c r="K295" s="140"/>
      <c r="L295" s="140"/>
    </row>
    <row r="296" spans="1:12" ht="12.75">
      <c r="A296" s="121"/>
      <c r="B296" s="140" t="s">
        <v>115</v>
      </c>
      <c r="C296" s="178"/>
      <c r="D296" s="155" t="s">
        <v>89</v>
      </c>
      <c r="E296" s="155" t="s">
        <v>48</v>
      </c>
      <c r="F296" s="155" t="s">
        <v>116</v>
      </c>
      <c r="G296" s="160"/>
      <c r="H296" s="163">
        <f t="shared" si="9"/>
        <v>7223.1</v>
      </c>
      <c r="I296" s="140"/>
      <c r="J296" s="140">
        <f>J297</f>
        <v>7223.1</v>
      </c>
      <c r="K296" s="140"/>
      <c r="L296" s="140"/>
    </row>
    <row r="297" spans="1:12" ht="25.5">
      <c r="A297" s="121"/>
      <c r="B297" s="158" t="s">
        <v>117</v>
      </c>
      <c r="C297" s="178"/>
      <c r="D297" s="155" t="s">
        <v>89</v>
      </c>
      <c r="E297" s="155" t="s">
        <v>48</v>
      </c>
      <c r="F297" s="155" t="s">
        <v>116</v>
      </c>
      <c r="G297" s="155" t="s">
        <v>32</v>
      </c>
      <c r="H297" s="163">
        <f t="shared" si="9"/>
        <v>7223.1</v>
      </c>
      <c r="I297" s="140"/>
      <c r="J297" s="140">
        <v>7223.1</v>
      </c>
      <c r="K297" s="140"/>
      <c r="L297" s="140"/>
    </row>
    <row r="298" spans="1:12" ht="38.25">
      <c r="A298" s="185" t="s">
        <v>11</v>
      </c>
      <c r="B298" s="186" t="s">
        <v>286</v>
      </c>
      <c r="C298" s="189">
        <v>260</v>
      </c>
      <c r="D298" s="188"/>
      <c r="E298" s="188"/>
      <c r="F298" s="188"/>
      <c r="G298" s="188"/>
      <c r="H298" s="189">
        <f t="shared" si="9"/>
        <v>562766.1999999998</v>
      </c>
      <c r="I298" s="189">
        <f>I299+I306+I311+I316</f>
        <v>535418.5999999999</v>
      </c>
      <c r="J298" s="189">
        <f>J299+J311+J316</f>
        <v>27317.6</v>
      </c>
      <c r="K298" s="189">
        <f>K299+K311+K316</f>
        <v>0</v>
      </c>
      <c r="L298" s="189">
        <f>L299+L311+L316</f>
        <v>30</v>
      </c>
    </row>
    <row r="299" spans="1:12" ht="12.75">
      <c r="A299" s="121"/>
      <c r="B299" s="133" t="s">
        <v>41</v>
      </c>
      <c r="C299" s="123"/>
      <c r="D299" s="119" t="s">
        <v>42</v>
      </c>
      <c r="E299" s="119" t="s">
        <v>43</v>
      </c>
      <c r="F299" s="120"/>
      <c r="G299" s="120"/>
      <c r="H299" s="146">
        <f t="shared" si="9"/>
        <v>303</v>
      </c>
      <c r="I299" s="133">
        <f>I300</f>
        <v>303</v>
      </c>
      <c r="J299" s="133">
        <f>J300</f>
        <v>0</v>
      </c>
      <c r="K299" s="133">
        <f>K300</f>
        <v>0</v>
      </c>
      <c r="L299" s="133">
        <f>L300</f>
        <v>0</v>
      </c>
    </row>
    <row r="300" spans="1:12" ht="25.5">
      <c r="A300" s="121"/>
      <c r="B300" s="123" t="s">
        <v>52</v>
      </c>
      <c r="C300" s="123"/>
      <c r="D300" s="119" t="s">
        <v>42</v>
      </c>
      <c r="E300" s="119" t="s">
        <v>232</v>
      </c>
      <c r="F300" s="120"/>
      <c r="G300" s="120"/>
      <c r="H300" s="146">
        <f t="shared" si="9"/>
        <v>303</v>
      </c>
      <c r="I300" s="133">
        <f>I301+I304</f>
        <v>303</v>
      </c>
      <c r="J300" s="133"/>
      <c r="K300" s="133"/>
      <c r="L300" s="133"/>
    </row>
    <row r="301" spans="1:12" ht="51">
      <c r="A301" s="121"/>
      <c r="B301" s="166" t="s">
        <v>325</v>
      </c>
      <c r="C301" s="123"/>
      <c r="D301" s="120" t="s">
        <v>42</v>
      </c>
      <c r="E301" s="120" t="s">
        <v>232</v>
      </c>
      <c r="F301" s="167" t="s">
        <v>461</v>
      </c>
      <c r="G301" s="120"/>
      <c r="H301" s="146">
        <f t="shared" si="9"/>
        <v>244</v>
      </c>
      <c r="I301" s="133">
        <f>I302</f>
        <v>244</v>
      </c>
      <c r="J301" s="133"/>
      <c r="K301" s="133"/>
      <c r="L301" s="133"/>
    </row>
    <row r="302" spans="1:12" ht="25.5">
      <c r="A302" s="121"/>
      <c r="B302" s="150" t="s">
        <v>462</v>
      </c>
      <c r="C302" s="123"/>
      <c r="D302" s="120" t="s">
        <v>42</v>
      </c>
      <c r="E302" s="120" t="s">
        <v>232</v>
      </c>
      <c r="F302" s="167" t="s">
        <v>463</v>
      </c>
      <c r="G302" s="120"/>
      <c r="H302" s="146">
        <f t="shared" si="9"/>
        <v>244</v>
      </c>
      <c r="I302" s="133">
        <f>I303</f>
        <v>244</v>
      </c>
      <c r="J302" s="133"/>
      <c r="K302" s="133"/>
      <c r="L302" s="133"/>
    </row>
    <row r="303" spans="1:12" ht="25.5">
      <c r="A303" s="121"/>
      <c r="B303" s="123" t="s">
        <v>117</v>
      </c>
      <c r="C303" s="123"/>
      <c r="D303" s="120" t="s">
        <v>42</v>
      </c>
      <c r="E303" s="120" t="s">
        <v>232</v>
      </c>
      <c r="F303" s="120" t="s">
        <v>463</v>
      </c>
      <c r="G303" s="120" t="s">
        <v>32</v>
      </c>
      <c r="H303" s="146">
        <f t="shared" si="9"/>
        <v>244</v>
      </c>
      <c r="I303" s="133">
        <v>244</v>
      </c>
      <c r="J303" s="133"/>
      <c r="K303" s="133"/>
      <c r="L303" s="133"/>
    </row>
    <row r="304" spans="1:12" ht="25.5">
      <c r="A304" s="121"/>
      <c r="B304" s="123" t="s">
        <v>109</v>
      </c>
      <c r="C304" s="165"/>
      <c r="D304" s="120" t="s">
        <v>42</v>
      </c>
      <c r="E304" s="120" t="s">
        <v>232</v>
      </c>
      <c r="F304" s="120" t="s">
        <v>110</v>
      </c>
      <c r="G304" s="120"/>
      <c r="H304" s="146">
        <f t="shared" si="9"/>
        <v>59</v>
      </c>
      <c r="I304" s="133">
        <f>I305</f>
        <v>59</v>
      </c>
      <c r="J304" s="142"/>
      <c r="K304" s="133"/>
      <c r="L304" s="133"/>
    </row>
    <row r="305" spans="1:12" ht="25.5">
      <c r="A305" s="121"/>
      <c r="B305" s="136" t="s">
        <v>117</v>
      </c>
      <c r="C305" s="165"/>
      <c r="D305" s="120" t="s">
        <v>42</v>
      </c>
      <c r="E305" s="120" t="s">
        <v>232</v>
      </c>
      <c r="F305" s="120" t="s">
        <v>110</v>
      </c>
      <c r="G305" s="120" t="s">
        <v>32</v>
      </c>
      <c r="H305" s="146">
        <f t="shared" si="9"/>
        <v>59</v>
      </c>
      <c r="I305" s="133">
        <v>59</v>
      </c>
      <c r="J305" s="142"/>
      <c r="K305" s="133"/>
      <c r="L305" s="133"/>
    </row>
    <row r="306" spans="1:12" ht="12.75">
      <c r="A306" s="121"/>
      <c r="B306" s="133" t="s">
        <v>245</v>
      </c>
      <c r="C306" s="165"/>
      <c r="D306" s="119" t="s">
        <v>46</v>
      </c>
      <c r="E306" s="119" t="s">
        <v>43</v>
      </c>
      <c r="F306" s="119"/>
      <c r="G306" s="119"/>
      <c r="H306" s="146">
        <f t="shared" si="9"/>
        <v>116</v>
      </c>
      <c r="I306" s="146">
        <f>I307</f>
        <v>116</v>
      </c>
      <c r="J306" s="146">
        <f>J307</f>
        <v>0</v>
      </c>
      <c r="K306" s="146">
        <f>K307</f>
        <v>0</v>
      </c>
      <c r="L306" s="146">
        <f>L307</f>
        <v>0</v>
      </c>
    </row>
    <row r="307" spans="1:12" ht="12.75">
      <c r="A307" s="121"/>
      <c r="B307" s="115" t="s">
        <v>336</v>
      </c>
      <c r="C307" s="169"/>
      <c r="D307" s="119" t="s">
        <v>46</v>
      </c>
      <c r="E307" s="119" t="s">
        <v>89</v>
      </c>
      <c r="F307" s="120"/>
      <c r="G307" s="120"/>
      <c r="H307" s="146">
        <f>I307+J307+K307+L307</f>
        <v>116</v>
      </c>
      <c r="I307" s="133">
        <f>I308</f>
        <v>116</v>
      </c>
      <c r="J307" s="133"/>
      <c r="K307" s="133"/>
      <c r="L307" s="133"/>
    </row>
    <row r="308" spans="1:12" ht="25.5">
      <c r="A308" s="121"/>
      <c r="B308" s="170" t="s">
        <v>436</v>
      </c>
      <c r="C308" s="169"/>
      <c r="D308" s="120" t="s">
        <v>46</v>
      </c>
      <c r="E308" s="120" t="s">
        <v>89</v>
      </c>
      <c r="F308" s="151" t="s">
        <v>437</v>
      </c>
      <c r="G308" s="120"/>
      <c r="H308" s="146">
        <f>I308+J308+K308+L308</f>
        <v>116</v>
      </c>
      <c r="I308" s="133">
        <f>I309</f>
        <v>116</v>
      </c>
      <c r="J308" s="133"/>
      <c r="K308" s="133"/>
      <c r="L308" s="133"/>
    </row>
    <row r="309" spans="1:12" ht="51">
      <c r="A309" s="135"/>
      <c r="B309" s="150" t="s">
        <v>479</v>
      </c>
      <c r="C309" s="169"/>
      <c r="D309" s="120" t="s">
        <v>46</v>
      </c>
      <c r="E309" s="120" t="s">
        <v>89</v>
      </c>
      <c r="F309" s="151" t="s">
        <v>480</v>
      </c>
      <c r="G309" s="120"/>
      <c r="H309" s="146">
        <f>I309+J309+K309+L309</f>
        <v>116</v>
      </c>
      <c r="I309" s="133">
        <f>I310</f>
        <v>116</v>
      </c>
      <c r="J309" s="133"/>
      <c r="K309" s="133"/>
      <c r="L309" s="133"/>
    </row>
    <row r="310" spans="1:12" ht="25.5">
      <c r="A310" s="121"/>
      <c r="B310" s="136" t="s">
        <v>117</v>
      </c>
      <c r="C310" s="169"/>
      <c r="D310" s="120" t="s">
        <v>46</v>
      </c>
      <c r="E310" s="120" t="s">
        <v>89</v>
      </c>
      <c r="F310" s="151" t="s">
        <v>480</v>
      </c>
      <c r="G310" s="120" t="s">
        <v>32</v>
      </c>
      <c r="H310" s="146">
        <f>I310+J310+K310+L310</f>
        <v>116</v>
      </c>
      <c r="I310" s="133">
        <v>116</v>
      </c>
      <c r="J310" s="133"/>
      <c r="K310" s="133"/>
      <c r="L310" s="133"/>
    </row>
    <row r="311" spans="1:12" ht="12.75">
      <c r="A311" s="121"/>
      <c r="B311" s="123" t="s">
        <v>71</v>
      </c>
      <c r="C311" s="123"/>
      <c r="D311" s="119" t="s">
        <v>50</v>
      </c>
      <c r="E311" s="119" t="s">
        <v>43</v>
      </c>
      <c r="F311" s="119"/>
      <c r="G311" s="119"/>
      <c r="H311" s="146">
        <f t="shared" si="9"/>
        <v>30</v>
      </c>
      <c r="I311" s="146">
        <f aca="true" t="shared" si="12" ref="I311:L312">I312</f>
        <v>0</v>
      </c>
      <c r="J311" s="146">
        <f t="shared" si="12"/>
        <v>0</v>
      </c>
      <c r="K311" s="146">
        <f t="shared" si="12"/>
        <v>0</v>
      </c>
      <c r="L311" s="146">
        <f t="shared" si="12"/>
        <v>30</v>
      </c>
    </row>
    <row r="312" spans="1:12" ht="25.5">
      <c r="A312" s="114"/>
      <c r="B312" s="115" t="s">
        <v>77</v>
      </c>
      <c r="C312" s="115"/>
      <c r="D312" s="109" t="s">
        <v>50</v>
      </c>
      <c r="E312" s="109" t="s">
        <v>50</v>
      </c>
      <c r="F312" s="109"/>
      <c r="G312" s="109"/>
      <c r="H312" s="108">
        <f t="shared" si="9"/>
        <v>30</v>
      </c>
      <c r="I312" s="108">
        <f t="shared" si="12"/>
        <v>0</v>
      </c>
      <c r="J312" s="108">
        <f t="shared" si="12"/>
        <v>0</v>
      </c>
      <c r="K312" s="108">
        <f t="shared" si="12"/>
        <v>0</v>
      </c>
      <c r="L312" s="108">
        <f t="shared" si="12"/>
        <v>30</v>
      </c>
    </row>
    <row r="313" spans="1:12" ht="16.5" customHeight="1">
      <c r="A313" s="114"/>
      <c r="B313" s="149" t="s">
        <v>175</v>
      </c>
      <c r="C313" s="115"/>
      <c r="D313" s="112" t="s">
        <v>50</v>
      </c>
      <c r="E313" s="112" t="s">
        <v>50</v>
      </c>
      <c r="F313" s="112" t="s">
        <v>176</v>
      </c>
      <c r="G313" s="112"/>
      <c r="H313" s="108">
        <f>I313+J313+K313+L313</f>
        <v>30</v>
      </c>
      <c r="I313" s="113"/>
      <c r="J313" s="113"/>
      <c r="K313" s="113"/>
      <c r="L313" s="113">
        <f>L314</f>
        <v>30</v>
      </c>
    </row>
    <row r="314" spans="1:12" ht="25.5">
      <c r="A314" s="114"/>
      <c r="B314" s="115" t="s">
        <v>470</v>
      </c>
      <c r="C314" s="115"/>
      <c r="D314" s="112" t="s">
        <v>50</v>
      </c>
      <c r="E314" s="112" t="s">
        <v>50</v>
      </c>
      <c r="F314" s="112" t="s">
        <v>471</v>
      </c>
      <c r="G314" s="112"/>
      <c r="H314" s="108">
        <f>I314+J314+K314+L314</f>
        <v>30</v>
      </c>
      <c r="I314" s="113"/>
      <c r="J314" s="113"/>
      <c r="K314" s="113"/>
      <c r="L314" s="113">
        <f>L315</f>
        <v>30</v>
      </c>
    </row>
    <row r="315" spans="1:12" ht="38.25">
      <c r="A315" s="114"/>
      <c r="B315" s="115" t="s">
        <v>111</v>
      </c>
      <c r="C315" s="115"/>
      <c r="D315" s="112" t="s">
        <v>50</v>
      </c>
      <c r="E315" s="112" t="s">
        <v>50</v>
      </c>
      <c r="F315" s="112" t="s">
        <v>471</v>
      </c>
      <c r="G315" s="112" t="s">
        <v>112</v>
      </c>
      <c r="H315" s="108">
        <f>I315+J315+K315+L315</f>
        <v>30</v>
      </c>
      <c r="I315" s="113"/>
      <c r="J315" s="113"/>
      <c r="K315" s="113"/>
      <c r="L315" s="113">
        <v>30</v>
      </c>
    </row>
    <row r="316" spans="1:12" ht="25.5">
      <c r="A316" s="121"/>
      <c r="B316" s="123" t="s">
        <v>30</v>
      </c>
      <c r="C316" s="133"/>
      <c r="D316" s="119" t="s">
        <v>54</v>
      </c>
      <c r="E316" s="119" t="s">
        <v>43</v>
      </c>
      <c r="F316" s="120"/>
      <c r="G316" s="120"/>
      <c r="H316" s="146">
        <f t="shared" si="9"/>
        <v>562317.1999999998</v>
      </c>
      <c r="I316" s="146">
        <f>I317+I321+I325+I331+I335</f>
        <v>534999.5999999999</v>
      </c>
      <c r="J316" s="146">
        <f>J317+J321+J325+J331+J335</f>
        <v>27317.6</v>
      </c>
      <c r="K316" s="146">
        <f>K317+K321+K325+K331+K335</f>
        <v>0</v>
      </c>
      <c r="L316" s="146">
        <f>L317+L321+L325+L331+L335</f>
        <v>0</v>
      </c>
    </row>
    <row r="317" spans="1:12" ht="12.75">
      <c r="A317" s="121"/>
      <c r="B317" s="133" t="s">
        <v>148</v>
      </c>
      <c r="C317" s="133"/>
      <c r="D317" s="119" t="s">
        <v>54</v>
      </c>
      <c r="E317" s="119" t="s">
        <v>42</v>
      </c>
      <c r="F317" s="120"/>
      <c r="G317" s="120"/>
      <c r="H317" s="146">
        <f t="shared" si="9"/>
        <v>485967.89999999997</v>
      </c>
      <c r="I317" s="146">
        <f aca="true" t="shared" si="13" ref="I317:L319">I318</f>
        <v>471869.99999999994</v>
      </c>
      <c r="J317" s="146">
        <f t="shared" si="13"/>
        <v>14097.9</v>
      </c>
      <c r="K317" s="146">
        <f t="shared" si="13"/>
        <v>0</v>
      </c>
      <c r="L317" s="146">
        <f t="shared" si="13"/>
        <v>0</v>
      </c>
    </row>
    <row r="318" spans="1:12" ht="25.5">
      <c r="A318" s="190"/>
      <c r="B318" s="191" t="s">
        <v>149</v>
      </c>
      <c r="C318" s="192"/>
      <c r="D318" s="188" t="s">
        <v>54</v>
      </c>
      <c r="E318" s="188" t="s">
        <v>42</v>
      </c>
      <c r="F318" s="188" t="s">
        <v>150</v>
      </c>
      <c r="G318" s="188"/>
      <c r="H318" s="189">
        <f t="shared" si="9"/>
        <v>485967.89999999997</v>
      </c>
      <c r="I318" s="192">
        <f t="shared" si="13"/>
        <v>471869.99999999994</v>
      </c>
      <c r="J318" s="192">
        <f t="shared" si="13"/>
        <v>14097.9</v>
      </c>
      <c r="K318" s="192"/>
      <c r="L318" s="192"/>
    </row>
    <row r="319" spans="1:12" ht="25.5">
      <c r="A319" s="121"/>
      <c r="B319" s="123" t="s">
        <v>94</v>
      </c>
      <c r="C319" s="133"/>
      <c r="D319" s="120" t="s">
        <v>54</v>
      </c>
      <c r="E319" s="120" t="s">
        <v>42</v>
      </c>
      <c r="F319" s="120" t="s">
        <v>151</v>
      </c>
      <c r="G319" s="120"/>
      <c r="H319" s="146">
        <f t="shared" si="9"/>
        <v>485967.89999999997</v>
      </c>
      <c r="I319" s="133">
        <f t="shared" si="13"/>
        <v>471869.99999999994</v>
      </c>
      <c r="J319" s="133">
        <f t="shared" si="13"/>
        <v>14097.9</v>
      </c>
      <c r="K319" s="133"/>
      <c r="L319" s="133"/>
    </row>
    <row r="320" spans="1:12" ht="25.5">
      <c r="A320" s="121"/>
      <c r="B320" s="123" t="s">
        <v>95</v>
      </c>
      <c r="C320" s="133"/>
      <c r="D320" s="120" t="s">
        <v>54</v>
      </c>
      <c r="E320" s="120" t="s">
        <v>42</v>
      </c>
      <c r="F320" s="120" t="s">
        <v>151</v>
      </c>
      <c r="G320" s="120" t="s">
        <v>99</v>
      </c>
      <c r="H320" s="146">
        <f t="shared" si="9"/>
        <v>485967.89999999997</v>
      </c>
      <c r="I320" s="133">
        <f>461698.3+1805+211+23.1+23.1+891.9+1.6-562.2-56.6+3580+1265.8+2078.9+14.5-1012+740+1167.6</f>
        <v>471869.99999999994</v>
      </c>
      <c r="J320" s="133">
        <f>11597.9+2500</f>
        <v>14097.9</v>
      </c>
      <c r="K320" s="133"/>
      <c r="L320" s="133"/>
    </row>
    <row r="321" spans="1:12" ht="12.75">
      <c r="A321" s="121"/>
      <c r="B321" s="133" t="s">
        <v>163</v>
      </c>
      <c r="C321" s="133"/>
      <c r="D321" s="119" t="s">
        <v>54</v>
      </c>
      <c r="E321" s="119" t="s">
        <v>44</v>
      </c>
      <c r="F321" s="120"/>
      <c r="G321" s="120"/>
      <c r="H321" s="146">
        <f t="shared" si="9"/>
        <v>51906.3</v>
      </c>
      <c r="I321" s="146">
        <f>I322</f>
        <v>43426.6</v>
      </c>
      <c r="J321" s="146">
        <f>J322</f>
        <v>8479.7</v>
      </c>
      <c r="K321" s="146">
        <f>K322</f>
        <v>0</v>
      </c>
      <c r="L321" s="146">
        <f>L322</f>
        <v>0</v>
      </c>
    </row>
    <row r="322" spans="1:12" ht="25.5">
      <c r="A322" s="121"/>
      <c r="B322" s="123" t="s">
        <v>164</v>
      </c>
      <c r="C322" s="133"/>
      <c r="D322" s="120" t="s">
        <v>54</v>
      </c>
      <c r="E322" s="120" t="s">
        <v>44</v>
      </c>
      <c r="F322" s="120" t="s">
        <v>165</v>
      </c>
      <c r="G322" s="120"/>
      <c r="H322" s="146">
        <f t="shared" si="9"/>
        <v>51906.3</v>
      </c>
      <c r="I322" s="133">
        <f>I323</f>
        <v>43426.6</v>
      </c>
      <c r="J322" s="133">
        <f>J323</f>
        <v>8479.7</v>
      </c>
      <c r="K322" s="133"/>
      <c r="L322" s="133"/>
    </row>
    <row r="323" spans="1:12" ht="25.5">
      <c r="A323" s="121"/>
      <c r="B323" s="123" t="s">
        <v>94</v>
      </c>
      <c r="C323" s="133"/>
      <c r="D323" s="120" t="s">
        <v>54</v>
      </c>
      <c r="E323" s="120" t="s">
        <v>44</v>
      </c>
      <c r="F323" s="120" t="s">
        <v>166</v>
      </c>
      <c r="G323" s="120"/>
      <c r="H323" s="146">
        <f t="shared" si="9"/>
        <v>51906.3</v>
      </c>
      <c r="I323" s="133">
        <f>I324</f>
        <v>43426.6</v>
      </c>
      <c r="J323" s="133">
        <f>J324</f>
        <v>8479.7</v>
      </c>
      <c r="K323" s="133"/>
      <c r="L323" s="133"/>
    </row>
    <row r="324" spans="1:12" ht="25.5">
      <c r="A324" s="121"/>
      <c r="B324" s="123" t="s">
        <v>95</v>
      </c>
      <c r="C324" s="133"/>
      <c r="D324" s="120" t="s">
        <v>54</v>
      </c>
      <c r="E324" s="120" t="s">
        <v>44</v>
      </c>
      <c r="F324" s="120" t="s">
        <v>166</v>
      </c>
      <c r="G324" s="120" t="s">
        <v>99</v>
      </c>
      <c r="H324" s="146">
        <f t="shared" si="9"/>
        <v>51906.3</v>
      </c>
      <c r="I324" s="133">
        <f>43331+53+23.1-52.8+16.4+55.9</f>
        <v>43426.6</v>
      </c>
      <c r="J324" s="133">
        <v>8479.7</v>
      </c>
      <c r="K324" s="133"/>
      <c r="L324" s="133"/>
    </row>
    <row r="325" spans="1:12" ht="12.75">
      <c r="A325" s="121"/>
      <c r="B325" s="133" t="s">
        <v>152</v>
      </c>
      <c r="C325" s="133"/>
      <c r="D325" s="119" t="s">
        <v>54</v>
      </c>
      <c r="E325" s="119" t="s">
        <v>46</v>
      </c>
      <c r="F325" s="120"/>
      <c r="G325" s="120"/>
      <c r="H325" s="146">
        <f t="shared" si="9"/>
        <v>4740</v>
      </c>
      <c r="I325" s="146">
        <f>I326</f>
        <v>0</v>
      </c>
      <c r="J325" s="146">
        <f>J326</f>
        <v>4740</v>
      </c>
      <c r="K325" s="146">
        <f>K326</f>
        <v>0</v>
      </c>
      <c r="L325" s="146">
        <f>L326</f>
        <v>0</v>
      </c>
    </row>
    <row r="326" spans="1:12" ht="25.5">
      <c r="A326" s="121"/>
      <c r="B326" s="123" t="s">
        <v>104</v>
      </c>
      <c r="C326" s="133"/>
      <c r="D326" s="120" t="s">
        <v>54</v>
      </c>
      <c r="E326" s="120" t="s">
        <v>46</v>
      </c>
      <c r="F326" s="120" t="s">
        <v>105</v>
      </c>
      <c r="G326" s="120"/>
      <c r="H326" s="146">
        <f t="shared" si="9"/>
        <v>4740</v>
      </c>
      <c r="I326" s="133"/>
      <c r="J326" s="133">
        <f>J327</f>
        <v>4740</v>
      </c>
      <c r="K326" s="133"/>
      <c r="L326" s="133"/>
    </row>
    <row r="327" spans="1:12" ht="76.5">
      <c r="A327" s="121"/>
      <c r="B327" s="123" t="s">
        <v>153</v>
      </c>
      <c r="C327" s="133"/>
      <c r="D327" s="120" t="s">
        <v>54</v>
      </c>
      <c r="E327" s="120" t="s">
        <v>46</v>
      </c>
      <c r="F327" s="120" t="s">
        <v>154</v>
      </c>
      <c r="G327" s="120"/>
      <c r="H327" s="146">
        <f t="shared" si="9"/>
        <v>4740</v>
      </c>
      <c r="I327" s="133"/>
      <c r="J327" s="133">
        <f>J328</f>
        <v>4740</v>
      </c>
      <c r="K327" s="133"/>
      <c r="L327" s="133"/>
    </row>
    <row r="328" spans="1:12" ht="25.5">
      <c r="A328" s="121"/>
      <c r="B328" s="123" t="s">
        <v>95</v>
      </c>
      <c r="C328" s="133"/>
      <c r="D328" s="120" t="s">
        <v>54</v>
      </c>
      <c r="E328" s="120" t="s">
        <v>46</v>
      </c>
      <c r="F328" s="120" t="s">
        <v>154</v>
      </c>
      <c r="G328" s="120" t="s">
        <v>99</v>
      </c>
      <c r="H328" s="146">
        <f t="shared" si="9"/>
        <v>4740</v>
      </c>
      <c r="I328" s="133"/>
      <c r="J328" s="133">
        <f>J329+J330</f>
        <v>4740</v>
      </c>
      <c r="K328" s="133"/>
      <c r="L328" s="133"/>
    </row>
    <row r="329" spans="1:12" ht="12.75">
      <c r="A329" s="121"/>
      <c r="B329" s="123" t="s">
        <v>273</v>
      </c>
      <c r="C329" s="133"/>
      <c r="D329" s="120" t="s">
        <v>54</v>
      </c>
      <c r="E329" s="120" t="s">
        <v>46</v>
      </c>
      <c r="F329" s="120" t="s">
        <v>274</v>
      </c>
      <c r="G329" s="120" t="s">
        <v>99</v>
      </c>
      <c r="H329" s="146">
        <f t="shared" si="9"/>
        <v>0</v>
      </c>
      <c r="I329" s="133"/>
      <c r="J329" s="133">
        <v>0</v>
      </c>
      <c r="K329" s="142"/>
      <c r="L329" s="133"/>
    </row>
    <row r="330" spans="1:12" ht="12.75">
      <c r="A330" s="121"/>
      <c r="B330" s="123" t="s">
        <v>275</v>
      </c>
      <c r="C330" s="133"/>
      <c r="D330" s="120" t="s">
        <v>54</v>
      </c>
      <c r="E330" s="120" t="s">
        <v>46</v>
      </c>
      <c r="F330" s="120" t="s">
        <v>276</v>
      </c>
      <c r="G330" s="120" t="s">
        <v>99</v>
      </c>
      <c r="H330" s="146">
        <f t="shared" si="9"/>
        <v>4740</v>
      </c>
      <c r="I330" s="133"/>
      <c r="J330" s="133">
        <v>4740</v>
      </c>
      <c r="K330" s="133"/>
      <c r="L330" s="133"/>
    </row>
    <row r="331" spans="1:12" ht="38.25" customHeight="1">
      <c r="A331" s="121"/>
      <c r="B331" s="123" t="s">
        <v>155</v>
      </c>
      <c r="C331" s="133"/>
      <c r="D331" s="119" t="s">
        <v>54</v>
      </c>
      <c r="E331" s="119" t="s">
        <v>48</v>
      </c>
      <c r="F331" s="120"/>
      <c r="G331" s="120"/>
      <c r="H331" s="146">
        <f t="shared" si="9"/>
        <v>6311</v>
      </c>
      <c r="I331" s="146">
        <f>I332</f>
        <v>6311</v>
      </c>
      <c r="J331" s="146">
        <f>J332</f>
        <v>0</v>
      </c>
      <c r="K331" s="146">
        <f>K332</f>
        <v>0</v>
      </c>
      <c r="L331" s="146">
        <f>L332</f>
        <v>0</v>
      </c>
    </row>
    <row r="332" spans="1:12" ht="25.5">
      <c r="A332" s="121"/>
      <c r="B332" s="123" t="s">
        <v>156</v>
      </c>
      <c r="C332" s="133"/>
      <c r="D332" s="120" t="s">
        <v>54</v>
      </c>
      <c r="E332" s="120" t="s">
        <v>48</v>
      </c>
      <c r="F332" s="120" t="s">
        <v>157</v>
      </c>
      <c r="G332" s="120"/>
      <c r="H332" s="146">
        <f t="shared" si="9"/>
        <v>6311</v>
      </c>
      <c r="I332" s="133">
        <f>I333</f>
        <v>6311</v>
      </c>
      <c r="J332" s="133"/>
      <c r="K332" s="133"/>
      <c r="L332" s="133"/>
    </row>
    <row r="333" spans="1:12" ht="25.5">
      <c r="A333" s="121"/>
      <c r="B333" s="123" t="s">
        <v>94</v>
      </c>
      <c r="C333" s="133"/>
      <c r="D333" s="120" t="s">
        <v>54</v>
      </c>
      <c r="E333" s="120" t="s">
        <v>48</v>
      </c>
      <c r="F333" s="120" t="s">
        <v>158</v>
      </c>
      <c r="G333" s="120"/>
      <c r="H333" s="146">
        <f t="shared" si="9"/>
        <v>6311</v>
      </c>
      <c r="I333" s="133">
        <f>I334</f>
        <v>6311</v>
      </c>
      <c r="J333" s="133"/>
      <c r="K333" s="133"/>
      <c r="L333" s="133"/>
    </row>
    <row r="334" spans="1:12" ht="25.5">
      <c r="A334" s="121"/>
      <c r="B334" s="123" t="s">
        <v>95</v>
      </c>
      <c r="C334" s="133"/>
      <c r="D334" s="120" t="s">
        <v>54</v>
      </c>
      <c r="E334" s="120" t="s">
        <v>48</v>
      </c>
      <c r="F334" s="120" t="s">
        <v>158</v>
      </c>
      <c r="G334" s="120" t="s">
        <v>99</v>
      </c>
      <c r="H334" s="146">
        <f t="shared" si="9"/>
        <v>6311</v>
      </c>
      <c r="I334" s="133">
        <v>6311</v>
      </c>
      <c r="J334" s="133"/>
      <c r="K334" s="133"/>
      <c r="L334" s="133"/>
    </row>
    <row r="335" spans="1:12" ht="38.25">
      <c r="A335" s="121"/>
      <c r="B335" s="123" t="s">
        <v>159</v>
      </c>
      <c r="C335" s="123"/>
      <c r="D335" s="119" t="s">
        <v>54</v>
      </c>
      <c r="E335" s="119" t="s">
        <v>89</v>
      </c>
      <c r="F335" s="120"/>
      <c r="G335" s="119"/>
      <c r="H335" s="146">
        <f t="shared" si="9"/>
        <v>13392</v>
      </c>
      <c r="I335" s="146">
        <f>I336+I339+I342</f>
        <v>13392</v>
      </c>
      <c r="J335" s="146">
        <f>J336+J339+J342</f>
        <v>0</v>
      </c>
      <c r="K335" s="146">
        <f>K336+K339+K342</f>
        <v>0</v>
      </c>
      <c r="L335" s="146">
        <f>L336+L339+L342</f>
        <v>0</v>
      </c>
    </row>
    <row r="336" spans="1:12" ht="63.75">
      <c r="A336" s="121"/>
      <c r="B336" s="123" t="s">
        <v>113</v>
      </c>
      <c r="C336" s="123"/>
      <c r="D336" s="120" t="s">
        <v>54</v>
      </c>
      <c r="E336" s="120" t="s">
        <v>89</v>
      </c>
      <c r="F336" s="120" t="s">
        <v>114</v>
      </c>
      <c r="G336" s="119"/>
      <c r="H336" s="146">
        <f t="shared" si="9"/>
        <v>6692</v>
      </c>
      <c r="I336" s="133">
        <f>I337</f>
        <v>6692</v>
      </c>
      <c r="J336" s="133"/>
      <c r="K336" s="133"/>
      <c r="L336" s="133"/>
    </row>
    <row r="337" spans="1:12" ht="12.75">
      <c r="A337" s="121"/>
      <c r="B337" s="133" t="s">
        <v>115</v>
      </c>
      <c r="C337" s="123"/>
      <c r="D337" s="120" t="s">
        <v>54</v>
      </c>
      <c r="E337" s="120" t="s">
        <v>89</v>
      </c>
      <c r="F337" s="120" t="s">
        <v>116</v>
      </c>
      <c r="G337" s="119"/>
      <c r="H337" s="146">
        <f t="shared" si="9"/>
        <v>6692</v>
      </c>
      <c r="I337" s="133">
        <f>I338</f>
        <v>6692</v>
      </c>
      <c r="J337" s="133"/>
      <c r="K337" s="133"/>
      <c r="L337" s="133"/>
    </row>
    <row r="338" spans="1:12" ht="25.5">
      <c r="A338" s="121"/>
      <c r="B338" s="123" t="s">
        <v>117</v>
      </c>
      <c r="C338" s="123"/>
      <c r="D338" s="120" t="s">
        <v>54</v>
      </c>
      <c r="E338" s="120" t="s">
        <v>89</v>
      </c>
      <c r="F338" s="120" t="s">
        <v>116</v>
      </c>
      <c r="G338" s="120" t="s">
        <v>32</v>
      </c>
      <c r="H338" s="146">
        <f t="shared" si="9"/>
        <v>6692</v>
      </c>
      <c r="I338" s="133">
        <f>7280-228-360</f>
        <v>6692</v>
      </c>
      <c r="J338" s="133"/>
      <c r="K338" s="133"/>
      <c r="L338" s="133"/>
    </row>
    <row r="339" spans="1:12" ht="90.75" customHeight="1">
      <c r="A339" s="121"/>
      <c r="B339" s="123" t="s">
        <v>160</v>
      </c>
      <c r="C339" s="133"/>
      <c r="D339" s="120" t="s">
        <v>54</v>
      </c>
      <c r="E339" s="120" t="s">
        <v>89</v>
      </c>
      <c r="F339" s="120" t="s">
        <v>161</v>
      </c>
      <c r="G339" s="120"/>
      <c r="H339" s="146">
        <f t="shared" si="9"/>
        <v>6200</v>
      </c>
      <c r="I339" s="133">
        <f>I340</f>
        <v>6200</v>
      </c>
      <c r="J339" s="133"/>
      <c r="K339" s="133"/>
      <c r="L339" s="133"/>
    </row>
    <row r="340" spans="1:12" ht="25.5">
      <c r="A340" s="121"/>
      <c r="B340" s="123" t="s">
        <v>94</v>
      </c>
      <c r="C340" s="133"/>
      <c r="D340" s="120" t="s">
        <v>54</v>
      </c>
      <c r="E340" s="120" t="s">
        <v>89</v>
      </c>
      <c r="F340" s="120" t="s">
        <v>162</v>
      </c>
      <c r="G340" s="120"/>
      <c r="H340" s="146">
        <f t="shared" si="9"/>
        <v>6200</v>
      </c>
      <c r="I340" s="133">
        <f>I341</f>
        <v>6200</v>
      </c>
      <c r="J340" s="133"/>
      <c r="K340" s="133"/>
      <c r="L340" s="133"/>
    </row>
    <row r="341" spans="1:12" ht="25.5">
      <c r="A341" s="121"/>
      <c r="B341" s="123" t="s">
        <v>95</v>
      </c>
      <c r="C341" s="133"/>
      <c r="D341" s="120" t="s">
        <v>54</v>
      </c>
      <c r="E341" s="120" t="s">
        <v>89</v>
      </c>
      <c r="F341" s="120" t="s">
        <v>162</v>
      </c>
      <c r="G341" s="120" t="s">
        <v>99</v>
      </c>
      <c r="H341" s="146">
        <f t="shared" si="9"/>
        <v>6200</v>
      </c>
      <c r="I341" s="133">
        <v>6200</v>
      </c>
      <c r="J341" s="133"/>
      <c r="K341" s="133"/>
      <c r="L341" s="133"/>
    </row>
    <row r="342" spans="1:12" ht="25.5">
      <c r="A342" s="121"/>
      <c r="B342" s="123" t="s">
        <v>109</v>
      </c>
      <c r="C342" s="133"/>
      <c r="D342" s="120" t="s">
        <v>54</v>
      </c>
      <c r="E342" s="120" t="s">
        <v>89</v>
      </c>
      <c r="F342" s="120" t="s">
        <v>110</v>
      </c>
      <c r="G342" s="120"/>
      <c r="H342" s="146">
        <f t="shared" si="9"/>
        <v>500</v>
      </c>
      <c r="I342" s="133">
        <f>I343</f>
        <v>500</v>
      </c>
      <c r="J342" s="133"/>
      <c r="K342" s="133"/>
      <c r="L342" s="133"/>
    </row>
    <row r="343" spans="1:12" ht="38.25">
      <c r="A343" s="121"/>
      <c r="B343" s="123" t="s">
        <v>301</v>
      </c>
      <c r="C343" s="133"/>
      <c r="D343" s="120" t="s">
        <v>54</v>
      </c>
      <c r="E343" s="120" t="s">
        <v>89</v>
      </c>
      <c r="F343" s="120" t="s">
        <v>110</v>
      </c>
      <c r="G343" s="120" t="s">
        <v>302</v>
      </c>
      <c r="H343" s="146">
        <f aca="true" t="shared" si="14" ref="H343:H482">I343+J343+K343+L343</f>
        <v>500</v>
      </c>
      <c r="I343" s="133">
        <v>500</v>
      </c>
      <c r="J343" s="133"/>
      <c r="K343" s="133"/>
      <c r="L343" s="133"/>
    </row>
    <row r="344" spans="1:12" ht="38.25">
      <c r="A344" s="185" t="s">
        <v>12</v>
      </c>
      <c r="B344" s="208" t="s">
        <v>292</v>
      </c>
      <c r="C344" s="189">
        <v>460</v>
      </c>
      <c r="D344" s="188"/>
      <c r="E344" s="188"/>
      <c r="F344" s="188"/>
      <c r="G344" s="188"/>
      <c r="H344" s="209">
        <f t="shared" si="14"/>
        <v>610595.3</v>
      </c>
      <c r="I344" s="209">
        <f>I345+I355+I363+I377+I391+I407+I420</f>
        <v>331135.2</v>
      </c>
      <c r="J344" s="209">
        <f>J345+J355+J363+J377+J391+J407+J420</f>
        <v>7602.2</v>
      </c>
      <c r="K344" s="209">
        <f>K345+K355+K363+K377+K391+K407+K420</f>
        <v>270537.9</v>
      </c>
      <c r="L344" s="209">
        <f>L345+L355+L363+L377+L391+L407+L420</f>
        <v>1320</v>
      </c>
    </row>
    <row r="345" spans="1:12" ht="12.75">
      <c r="A345" s="121"/>
      <c r="B345" s="133" t="s">
        <v>41</v>
      </c>
      <c r="C345" s="123"/>
      <c r="D345" s="119" t="s">
        <v>42</v>
      </c>
      <c r="E345" s="119" t="s">
        <v>43</v>
      </c>
      <c r="F345" s="120"/>
      <c r="G345" s="120"/>
      <c r="H345" s="146">
        <f t="shared" si="14"/>
        <v>687.8</v>
      </c>
      <c r="I345" s="146">
        <f>I346</f>
        <v>687.8</v>
      </c>
      <c r="J345" s="146">
        <f>J346</f>
        <v>0</v>
      </c>
      <c r="K345" s="146">
        <f>K346</f>
        <v>0</v>
      </c>
      <c r="L345" s="146">
        <f>L346</f>
        <v>0</v>
      </c>
    </row>
    <row r="346" spans="1:12" ht="25.5">
      <c r="A346" s="121"/>
      <c r="B346" s="123" t="s">
        <v>52</v>
      </c>
      <c r="C346" s="123"/>
      <c r="D346" s="119" t="s">
        <v>42</v>
      </c>
      <c r="E346" s="119" t="s">
        <v>232</v>
      </c>
      <c r="F346" s="120"/>
      <c r="G346" s="120"/>
      <c r="H346" s="146">
        <f t="shared" si="14"/>
        <v>687.8</v>
      </c>
      <c r="I346" s="133">
        <f>I347+I350+I353</f>
        <v>687.8</v>
      </c>
      <c r="J346" s="133">
        <f>J347+J353</f>
        <v>0</v>
      </c>
      <c r="K346" s="133">
        <f>K347+K353</f>
        <v>0</v>
      </c>
      <c r="L346" s="133">
        <f>L347+L353</f>
        <v>0</v>
      </c>
    </row>
    <row r="347" spans="1:12" ht="41.25" customHeight="1">
      <c r="A347" s="121"/>
      <c r="B347" s="123" t="s">
        <v>342</v>
      </c>
      <c r="C347" s="169"/>
      <c r="D347" s="120" t="s">
        <v>42</v>
      </c>
      <c r="E347" s="120" t="s">
        <v>232</v>
      </c>
      <c r="F347" s="120" t="s">
        <v>343</v>
      </c>
      <c r="G347" s="120"/>
      <c r="H347" s="146">
        <f t="shared" si="14"/>
        <v>0</v>
      </c>
      <c r="I347" s="133">
        <f>I348</f>
        <v>0</v>
      </c>
      <c r="J347" s="133"/>
      <c r="K347" s="133"/>
      <c r="L347" s="133"/>
    </row>
    <row r="348" spans="1:12" ht="51">
      <c r="A348" s="121"/>
      <c r="B348" s="123" t="s">
        <v>340</v>
      </c>
      <c r="C348" s="169"/>
      <c r="D348" s="120" t="s">
        <v>42</v>
      </c>
      <c r="E348" s="120" t="s">
        <v>232</v>
      </c>
      <c r="F348" s="120" t="s">
        <v>341</v>
      </c>
      <c r="G348" s="120"/>
      <c r="H348" s="146">
        <f t="shared" si="14"/>
        <v>0</v>
      </c>
      <c r="I348" s="133">
        <f>I349</f>
        <v>0</v>
      </c>
      <c r="J348" s="133"/>
      <c r="K348" s="133"/>
      <c r="L348" s="133"/>
    </row>
    <row r="349" spans="1:12" ht="12.75">
      <c r="A349" s="121"/>
      <c r="B349" s="133" t="s">
        <v>181</v>
      </c>
      <c r="C349" s="169"/>
      <c r="D349" s="120" t="s">
        <v>42</v>
      </c>
      <c r="E349" s="120" t="s">
        <v>232</v>
      </c>
      <c r="F349" s="120" t="s">
        <v>341</v>
      </c>
      <c r="G349" s="120" t="s">
        <v>182</v>
      </c>
      <c r="H349" s="146">
        <f t="shared" si="14"/>
        <v>0</v>
      </c>
      <c r="I349" s="133">
        <f>30-30</f>
        <v>0</v>
      </c>
      <c r="J349" s="133"/>
      <c r="K349" s="133"/>
      <c r="L349" s="133"/>
    </row>
    <row r="350" spans="1:12" ht="51">
      <c r="A350" s="121"/>
      <c r="B350" s="166" t="s">
        <v>325</v>
      </c>
      <c r="C350" s="123"/>
      <c r="D350" s="120" t="s">
        <v>42</v>
      </c>
      <c r="E350" s="120" t="s">
        <v>232</v>
      </c>
      <c r="F350" s="167" t="s">
        <v>461</v>
      </c>
      <c r="G350" s="120"/>
      <c r="H350" s="146">
        <f t="shared" si="14"/>
        <v>653.8</v>
      </c>
      <c r="I350" s="133">
        <f>I351</f>
        <v>653.8</v>
      </c>
      <c r="J350" s="133"/>
      <c r="K350" s="133"/>
      <c r="L350" s="133"/>
    </row>
    <row r="351" spans="1:12" ht="25.5">
      <c r="A351" s="121"/>
      <c r="B351" s="150" t="s">
        <v>462</v>
      </c>
      <c r="C351" s="123"/>
      <c r="D351" s="120" t="s">
        <v>42</v>
      </c>
      <c r="E351" s="120" t="s">
        <v>232</v>
      </c>
      <c r="F351" s="167" t="s">
        <v>463</v>
      </c>
      <c r="G351" s="120"/>
      <c r="H351" s="146">
        <f t="shared" si="14"/>
        <v>653.8</v>
      </c>
      <c r="I351" s="133">
        <f>I352</f>
        <v>653.8</v>
      </c>
      <c r="J351" s="133"/>
      <c r="K351" s="133"/>
      <c r="L351" s="133"/>
    </row>
    <row r="352" spans="1:12" ht="25.5">
      <c r="A352" s="121"/>
      <c r="B352" s="123" t="s">
        <v>117</v>
      </c>
      <c r="C352" s="123"/>
      <c r="D352" s="120" t="s">
        <v>42</v>
      </c>
      <c r="E352" s="120" t="s">
        <v>232</v>
      </c>
      <c r="F352" s="120" t="s">
        <v>463</v>
      </c>
      <c r="G352" s="120" t="s">
        <v>32</v>
      </c>
      <c r="H352" s="146">
        <f t="shared" si="14"/>
        <v>653.8</v>
      </c>
      <c r="I352" s="133">
        <v>653.8</v>
      </c>
      <c r="J352" s="133"/>
      <c r="K352" s="133"/>
      <c r="L352" s="133"/>
    </row>
    <row r="353" spans="1:12" ht="25.5">
      <c r="A353" s="121"/>
      <c r="B353" s="123" t="s">
        <v>109</v>
      </c>
      <c r="C353" s="165"/>
      <c r="D353" s="120" t="s">
        <v>42</v>
      </c>
      <c r="E353" s="120" t="s">
        <v>232</v>
      </c>
      <c r="F353" s="120" t="s">
        <v>110</v>
      </c>
      <c r="G353" s="120"/>
      <c r="H353" s="146">
        <f t="shared" si="14"/>
        <v>34</v>
      </c>
      <c r="I353" s="133">
        <f>I354</f>
        <v>34</v>
      </c>
      <c r="J353" s="142"/>
      <c r="K353" s="133"/>
      <c r="L353" s="133"/>
    </row>
    <row r="354" spans="1:12" ht="25.5">
      <c r="A354" s="121"/>
      <c r="B354" s="136" t="s">
        <v>117</v>
      </c>
      <c r="C354" s="165"/>
      <c r="D354" s="120" t="s">
        <v>42</v>
      </c>
      <c r="E354" s="120" t="s">
        <v>232</v>
      </c>
      <c r="F354" s="120" t="s">
        <v>110</v>
      </c>
      <c r="G354" s="120" t="s">
        <v>32</v>
      </c>
      <c r="H354" s="146">
        <f t="shared" si="14"/>
        <v>34</v>
      </c>
      <c r="I354" s="133">
        <v>34</v>
      </c>
      <c r="J354" s="142"/>
      <c r="K354" s="133"/>
      <c r="L354" s="133"/>
    </row>
    <row r="355" spans="1:12" ht="25.5">
      <c r="A355" s="121"/>
      <c r="B355" s="123" t="s">
        <v>6</v>
      </c>
      <c r="C355" s="123"/>
      <c r="D355" s="119" t="s">
        <v>45</v>
      </c>
      <c r="E355" s="119" t="s">
        <v>43</v>
      </c>
      <c r="F355" s="120"/>
      <c r="G355" s="120"/>
      <c r="H355" s="146">
        <f t="shared" si="14"/>
        <v>2000</v>
      </c>
      <c r="I355" s="133">
        <f>I356+I360</f>
        <v>2000</v>
      </c>
      <c r="J355" s="133">
        <f>J356+J360</f>
        <v>0</v>
      </c>
      <c r="K355" s="133">
        <f>K356+K360</f>
        <v>0</v>
      </c>
      <c r="L355" s="133">
        <f>L356+L360</f>
        <v>0</v>
      </c>
    </row>
    <row r="356" spans="1:12" ht="12.75">
      <c r="A356" s="121"/>
      <c r="B356" s="224" t="s">
        <v>53</v>
      </c>
      <c r="C356" s="129"/>
      <c r="D356" s="119" t="s">
        <v>45</v>
      </c>
      <c r="E356" s="119" t="s">
        <v>44</v>
      </c>
      <c r="F356" s="120"/>
      <c r="G356" s="120"/>
      <c r="H356" s="146">
        <f t="shared" si="14"/>
        <v>2000</v>
      </c>
      <c r="I356" s="133">
        <f>I357</f>
        <v>2000</v>
      </c>
      <c r="J356" s="133"/>
      <c r="K356" s="133"/>
      <c r="L356" s="133"/>
    </row>
    <row r="357" spans="1:12" ht="39" customHeight="1">
      <c r="A357" s="121"/>
      <c r="B357" s="8" t="s">
        <v>342</v>
      </c>
      <c r="C357" s="129"/>
      <c r="D357" s="120" t="s">
        <v>45</v>
      </c>
      <c r="E357" s="120" t="s">
        <v>44</v>
      </c>
      <c r="F357" s="12" t="s">
        <v>343</v>
      </c>
      <c r="G357" s="120"/>
      <c r="H357" s="146">
        <f t="shared" si="14"/>
        <v>2000</v>
      </c>
      <c r="I357" s="133">
        <f>I358</f>
        <v>2000</v>
      </c>
      <c r="J357" s="133"/>
      <c r="K357" s="133"/>
      <c r="L357" s="133"/>
    </row>
    <row r="358" spans="1:12" ht="89.25">
      <c r="A358" s="121"/>
      <c r="B358" s="223" t="s">
        <v>481</v>
      </c>
      <c r="C358" s="129"/>
      <c r="D358" s="120" t="s">
        <v>45</v>
      </c>
      <c r="E358" s="120" t="s">
        <v>44</v>
      </c>
      <c r="F358" s="12" t="s">
        <v>482</v>
      </c>
      <c r="G358" s="120"/>
      <c r="H358" s="146">
        <f t="shared" si="14"/>
        <v>2000</v>
      </c>
      <c r="I358" s="133">
        <f>I359</f>
        <v>2000</v>
      </c>
      <c r="J358" s="133"/>
      <c r="K358" s="133"/>
      <c r="L358" s="133"/>
    </row>
    <row r="359" spans="1:12" ht="12.75">
      <c r="A359" s="225"/>
      <c r="B359" s="192" t="s">
        <v>181</v>
      </c>
      <c r="C359" s="226"/>
      <c r="D359" s="188" t="s">
        <v>45</v>
      </c>
      <c r="E359" s="188" t="s">
        <v>44</v>
      </c>
      <c r="F359" s="214" t="s">
        <v>482</v>
      </c>
      <c r="G359" s="188" t="s">
        <v>182</v>
      </c>
      <c r="H359" s="189">
        <f t="shared" si="14"/>
        <v>2000</v>
      </c>
      <c r="I359" s="192">
        <v>2000</v>
      </c>
      <c r="J359" s="192"/>
      <c r="K359" s="192"/>
      <c r="L359" s="192"/>
    </row>
    <row r="360" spans="1:12" ht="38.25">
      <c r="A360" s="179"/>
      <c r="B360" s="123" t="s">
        <v>306</v>
      </c>
      <c r="C360" s="180"/>
      <c r="D360" s="119" t="s">
        <v>45</v>
      </c>
      <c r="E360" s="119" t="s">
        <v>232</v>
      </c>
      <c r="F360" s="120"/>
      <c r="G360" s="120"/>
      <c r="H360" s="146">
        <f t="shared" si="14"/>
        <v>0</v>
      </c>
      <c r="I360" s="133">
        <f>I361</f>
        <v>0</v>
      </c>
      <c r="J360" s="133"/>
      <c r="K360" s="133"/>
      <c r="L360" s="133"/>
    </row>
    <row r="361" spans="1:12" ht="25.5">
      <c r="A361" s="121"/>
      <c r="B361" s="123" t="s">
        <v>109</v>
      </c>
      <c r="C361" s="165"/>
      <c r="D361" s="120" t="s">
        <v>45</v>
      </c>
      <c r="E361" s="120" t="s">
        <v>232</v>
      </c>
      <c r="F361" s="120" t="s">
        <v>110</v>
      </c>
      <c r="G361" s="119"/>
      <c r="H361" s="146">
        <f t="shared" si="14"/>
        <v>0</v>
      </c>
      <c r="I361" s="133">
        <f>I362</f>
        <v>0</v>
      </c>
      <c r="J361" s="133"/>
      <c r="K361" s="133"/>
      <c r="L361" s="133"/>
    </row>
    <row r="362" spans="1:12" ht="12.75">
      <c r="A362" s="121"/>
      <c r="B362" s="123" t="s">
        <v>181</v>
      </c>
      <c r="C362" s="169"/>
      <c r="D362" s="120" t="s">
        <v>45</v>
      </c>
      <c r="E362" s="120" t="s">
        <v>232</v>
      </c>
      <c r="F362" s="120" t="s">
        <v>110</v>
      </c>
      <c r="G362" s="120" t="s">
        <v>32</v>
      </c>
      <c r="H362" s="146">
        <f t="shared" si="14"/>
        <v>0</v>
      </c>
      <c r="I362" s="133">
        <v>0</v>
      </c>
      <c r="J362" s="133"/>
      <c r="K362" s="133"/>
      <c r="L362" s="133"/>
    </row>
    <row r="363" spans="1:12" ht="12.75">
      <c r="A363" s="121"/>
      <c r="B363" s="133" t="s">
        <v>245</v>
      </c>
      <c r="C363" s="165"/>
      <c r="D363" s="119" t="s">
        <v>46</v>
      </c>
      <c r="E363" s="119" t="s">
        <v>43</v>
      </c>
      <c r="F363" s="119"/>
      <c r="G363" s="119"/>
      <c r="H363" s="146">
        <f t="shared" si="14"/>
        <v>55500.49999999999</v>
      </c>
      <c r="I363" s="146">
        <f>I365+I368</f>
        <v>55500.49999999999</v>
      </c>
      <c r="J363" s="146">
        <f>J365+J368</f>
        <v>0</v>
      </c>
      <c r="K363" s="146">
        <f>K365+K368</f>
        <v>0</v>
      </c>
      <c r="L363" s="146">
        <f>L365+L368</f>
        <v>0</v>
      </c>
    </row>
    <row r="364" spans="1:12" ht="12.75">
      <c r="A364" s="121"/>
      <c r="B364" s="115" t="s">
        <v>336</v>
      </c>
      <c r="C364" s="169"/>
      <c r="D364" s="119" t="s">
        <v>46</v>
      </c>
      <c r="E364" s="119" t="s">
        <v>89</v>
      </c>
      <c r="F364" s="120"/>
      <c r="G364" s="120"/>
      <c r="H364" s="146">
        <f t="shared" si="14"/>
        <v>318.1</v>
      </c>
      <c r="I364" s="133">
        <f>I365</f>
        <v>318.1</v>
      </c>
      <c r="J364" s="133"/>
      <c r="K364" s="133"/>
      <c r="L364" s="133"/>
    </row>
    <row r="365" spans="1:12" ht="25.5">
      <c r="A365" s="121"/>
      <c r="B365" s="170" t="s">
        <v>436</v>
      </c>
      <c r="C365" s="169"/>
      <c r="D365" s="120" t="s">
        <v>46</v>
      </c>
      <c r="E365" s="120" t="s">
        <v>89</v>
      </c>
      <c r="F365" s="151" t="s">
        <v>437</v>
      </c>
      <c r="G365" s="120"/>
      <c r="H365" s="146">
        <f t="shared" si="14"/>
        <v>318.1</v>
      </c>
      <c r="I365" s="133">
        <f>I366</f>
        <v>318.1</v>
      </c>
      <c r="J365" s="133"/>
      <c r="K365" s="133"/>
      <c r="L365" s="133"/>
    </row>
    <row r="366" spans="1:12" ht="51">
      <c r="A366" s="135"/>
      <c r="B366" s="150" t="s">
        <v>479</v>
      </c>
      <c r="C366" s="169"/>
      <c r="D366" s="120" t="s">
        <v>46</v>
      </c>
      <c r="E366" s="120" t="s">
        <v>89</v>
      </c>
      <c r="F366" s="151" t="s">
        <v>480</v>
      </c>
      <c r="G366" s="120"/>
      <c r="H366" s="146">
        <f t="shared" si="14"/>
        <v>318.1</v>
      </c>
      <c r="I366" s="133">
        <f>I367</f>
        <v>318.1</v>
      </c>
      <c r="J366" s="133"/>
      <c r="K366" s="133"/>
      <c r="L366" s="133"/>
    </row>
    <row r="367" spans="1:12" ht="25.5">
      <c r="A367" s="121"/>
      <c r="B367" s="136" t="s">
        <v>117</v>
      </c>
      <c r="C367" s="169"/>
      <c r="D367" s="120" t="s">
        <v>46</v>
      </c>
      <c r="E367" s="120" t="s">
        <v>89</v>
      </c>
      <c r="F367" s="151" t="s">
        <v>480</v>
      </c>
      <c r="G367" s="120" t="s">
        <v>32</v>
      </c>
      <c r="H367" s="146">
        <f t="shared" si="14"/>
        <v>318.1</v>
      </c>
      <c r="I367" s="133">
        <v>318.1</v>
      </c>
      <c r="J367" s="133"/>
      <c r="K367" s="133"/>
      <c r="L367" s="133"/>
    </row>
    <row r="368" spans="1:12" ht="25.5">
      <c r="A368" s="121"/>
      <c r="B368" s="123" t="s">
        <v>62</v>
      </c>
      <c r="C368" s="146"/>
      <c r="D368" s="119" t="s">
        <v>46</v>
      </c>
      <c r="E368" s="119" t="s">
        <v>227</v>
      </c>
      <c r="F368" s="119"/>
      <c r="G368" s="119"/>
      <c r="H368" s="146">
        <f t="shared" si="14"/>
        <v>55182.399999999994</v>
      </c>
      <c r="I368" s="146">
        <f>I369+I372+I375</f>
        <v>55182.399999999994</v>
      </c>
      <c r="J368" s="146">
        <f>J369+J372+J375</f>
        <v>0</v>
      </c>
      <c r="K368" s="146">
        <f>K369+K372+K375</f>
        <v>0</v>
      </c>
      <c r="L368" s="146">
        <f>L369+L372+L375</f>
        <v>0</v>
      </c>
    </row>
    <row r="369" spans="1:12" ht="63.75">
      <c r="A369" s="121"/>
      <c r="B369" s="123" t="s">
        <v>113</v>
      </c>
      <c r="C369" s="146"/>
      <c r="D369" s="120" t="s">
        <v>46</v>
      </c>
      <c r="E369" s="120" t="s">
        <v>227</v>
      </c>
      <c r="F369" s="120" t="s">
        <v>114</v>
      </c>
      <c r="G369" s="120"/>
      <c r="H369" s="146">
        <f t="shared" si="14"/>
        <v>16467.1</v>
      </c>
      <c r="I369" s="133">
        <f>I370</f>
        <v>16467.1</v>
      </c>
      <c r="J369" s="133"/>
      <c r="K369" s="133"/>
      <c r="L369" s="133"/>
    </row>
    <row r="370" spans="1:12" ht="12.75">
      <c r="A370" s="121"/>
      <c r="B370" s="133" t="s">
        <v>115</v>
      </c>
      <c r="C370" s="146"/>
      <c r="D370" s="120" t="s">
        <v>46</v>
      </c>
      <c r="E370" s="120" t="s">
        <v>227</v>
      </c>
      <c r="F370" s="120" t="s">
        <v>116</v>
      </c>
      <c r="G370" s="120"/>
      <c r="H370" s="146">
        <f t="shared" si="14"/>
        <v>16467.1</v>
      </c>
      <c r="I370" s="133">
        <f>I371</f>
        <v>16467.1</v>
      </c>
      <c r="J370" s="133"/>
      <c r="K370" s="133"/>
      <c r="L370" s="133"/>
    </row>
    <row r="371" spans="1:12" ht="25.5">
      <c r="A371" s="121"/>
      <c r="B371" s="123" t="s">
        <v>117</v>
      </c>
      <c r="C371" s="146"/>
      <c r="D371" s="120" t="s">
        <v>46</v>
      </c>
      <c r="E371" s="120" t="s">
        <v>227</v>
      </c>
      <c r="F371" s="120" t="s">
        <v>116</v>
      </c>
      <c r="G371" s="120" t="s">
        <v>32</v>
      </c>
      <c r="H371" s="146">
        <f t="shared" si="14"/>
        <v>16467.1</v>
      </c>
      <c r="I371" s="133">
        <f>17923+2749-2835+31-429-971.9</f>
        <v>16467.1</v>
      </c>
      <c r="J371" s="133"/>
      <c r="K371" s="133"/>
      <c r="L371" s="133"/>
    </row>
    <row r="372" spans="1:12" ht="51">
      <c r="A372" s="121"/>
      <c r="B372" s="115" t="s">
        <v>325</v>
      </c>
      <c r="C372" s="181"/>
      <c r="D372" s="120" t="s">
        <v>46</v>
      </c>
      <c r="E372" s="120" t="s">
        <v>227</v>
      </c>
      <c r="F372" s="120" t="s">
        <v>326</v>
      </c>
      <c r="G372" s="120"/>
      <c r="H372" s="146">
        <f t="shared" si="14"/>
        <v>29156.600000000002</v>
      </c>
      <c r="I372" s="133">
        <f>I373</f>
        <v>29156.600000000002</v>
      </c>
      <c r="J372" s="133"/>
      <c r="K372" s="133"/>
      <c r="L372" s="133"/>
    </row>
    <row r="373" spans="1:12" ht="25.5">
      <c r="A373" s="121"/>
      <c r="B373" s="123" t="s">
        <v>94</v>
      </c>
      <c r="C373" s="146"/>
      <c r="D373" s="120" t="s">
        <v>46</v>
      </c>
      <c r="E373" s="120" t="s">
        <v>227</v>
      </c>
      <c r="F373" s="120" t="s">
        <v>326</v>
      </c>
      <c r="G373" s="120"/>
      <c r="H373" s="146">
        <f t="shared" si="14"/>
        <v>29156.600000000002</v>
      </c>
      <c r="I373" s="133">
        <f>I374</f>
        <v>29156.600000000002</v>
      </c>
      <c r="J373" s="133"/>
      <c r="K373" s="133"/>
      <c r="L373" s="133"/>
    </row>
    <row r="374" spans="1:12" ht="25.5">
      <c r="A374" s="190"/>
      <c r="B374" s="191" t="s">
        <v>95</v>
      </c>
      <c r="C374" s="189"/>
      <c r="D374" s="188" t="s">
        <v>46</v>
      </c>
      <c r="E374" s="188" t="s">
        <v>227</v>
      </c>
      <c r="F374" s="188" t="s">
        <v>326</v>
      </c>
      <c r="G374" s="188" t="s">
        <v>99</v>
      </c>
      <c r="H374" s="189">
        <f t="shared" si="14"/>
        <v>29156.600000000002</v>
      </c>
      <c r="I374" s="192">
        <f>19240-2319+2319+2114.8+35.9+2000+5260+505.9</f>
        <v>29156.600000000002</v>
      </c>
      <c r="J374" s="192"/>
      <c r="K374" s="192"/>
      <c r="L374" s="192"/>
    </row>
    <row r="375" spans="1:12" ht="25.5">
      <c r="A375" s="121"/>
      <c r="B375" s="123" t="s">
        <v>109</v>
      </c>
      <c r="C375" s="146"/>
      <c r="D375" s="120" t="s">
        <v>46</v>
      </c>
      <c r="E375" s="120" t="s">
        <v>227</v>
      </c>
      <c r="F375" s="120" t="s">
        <v>110</v>
      </c>
      <c r="G375" s="120"/>
      <c r="H375" s="146">
        <f t="shared" si="14"/>
        <v>9558.7</v>
      </c>
      <c r="I375" s="133">
        <f>I376</f>
        <v>9558.7</v>
      </c>
      <c r="J375" s="133"/>
      <c r="K375" s="133"/>
      <c r="L375" s="133"/>
    </row>
    <row r="376" spans="1:12" ht="25.5">
      <c r="A376" s="121"/>
      <c r="B376" s="111" t="s">
        <v>117</v>
      </c>
      <c r="C376" s="146"/>
      <c r="D376" s="120" t="s">
        <v>46</v>
      </c>
      <c r="E376" s="120" t="s">
        <v>227</v>
      </c>
      <c r="F376" s="120" t="s">
        <v>110</v>
      </c>
      <c r="G376" s="120" t="s">
        <v>32</v>
      </c>
      <c r="H376" s="146">
        <f t="shared" si="14"/>
        <v>9558.7</v>
      </c>
      <c r="I376" s="133">
        <f>4258.7+1200+4100</f>
        <v>9558.7</v>
      </c>
      <c r="J376" s="133"/>
      <c r="K376" s="133"/>
      <c r="L376" s="133"/>
    </row>
    <row r="377" spans="1:12" ht="12.75">
      <c r="A377" s="121"/>
      <c r="B377" s="133" t="s">
        <v>63</v>
      </c>
      <c r="C377" s="165"/>
      <c r="D377" s="119" t="s">
        <v>47</v>
      </c>
      <c r="E377" s="119" t="s">
        <v>43</v>
      </c>
      <c r="F377" s="120"/>
      <c r="G377" s="120"/>
      <c r="H377" s="146">
        <f t="shared" si="14"/>
        <v>236670.4</v>
      </c>
      <c r="I377" s="146">
        <f>I378+I383+I388</f>
        <v>76791.9</v>
      </c>
      <c r="J377" s="146">
        <f>J378+J383+J388</f>
        <v>0</v>
      </c>
      <c r="K377" s="146">
        <f>K378+K383+K388</f>
        <v>158558.5</v>
      </c>
      <c r="L377" s="146">
        <f>L378+L383+L388</f>
        <v>1320</v>
      </c>
    </row>
    <row r="378" spans="1:12" ht="12.75">
      <c r="A378" s="121"/>
      <c r="B378" s="133" t="s">
        <v>65</v>
      </c>
      <c r="C378" s="169"/>
      <c r="D378" s="119" t="s">
        <v>47</v>
      </c>
      <c r="E378" s="119" t="s">
        <v>42</v>
      </c>
      <c r="F378" s="120"/>
      <c r="G378" s="120"/>
      <c r="H378" s="146">
        <f t="shared" si="14"/>
        <v>79401.8</v>
      </c>
      <c r="I378" s="133">
        <f>I379</f>
        <v>16849.2</v>
      </c>
      <c r="J378" s="133">
        <f>J379</f>
        <v>0</v>
      </c>
      <c r="K378" s="133">
        <f>K379</f>
        <v>62552.600000000006</v>
      </c>
      <c r="L378" s="133">
        <f>L379</f>
        <v>0</v>
      </c>
    </row>
    <row r="379" spans="1:12" ht="12.75">
      <c r="A379" s="121"/>
      <c r="B379" s="133" t="s">
        <v>175</v>
      </c>
      <c r="C379" s="133"/>
      <c r="D379" s="120" t="s">
        <v>47</v>
      </c>
      <c r="E379" s="120" t="s">
        <v>42</v>
      </c>
      <c r="F379" s="120" t="s">
        <v>176</v>
      </c>
      <c r="G379" s="119"/>
      <c r="H379" s="146">
        <f>H380</f>
        <v>79401.8</v>
      </c>
      <c r="I379" s="133">
        <f>I380</f>
        <v>16849.2</v>
      </c>
      <c r="J379" s="133"/>
      <c r="K379" s="133">
        <f>K380</f>
        <v>62552.600000000006</v>
      </c>
      <c r="L379" s="133"/>
    </row>
    <row r="380" spans="1:12" ht="12.75">
      <c r="A380" s="121"/>
      <c r="B380" s="133" t="s">
        <v>181</v>
      </c>
      <c r="C380" s="133"/>
      <c r="D380" s="120" t="s">
        <v>47</v>
      </c>
      <c r="E380" s="120" t="s">
        <v>42</v>
      </c>
      <c r="F380" s="120" t="s">
        <v>176</v>
      </c>
      <c r="G380" s="120" t="s">
        <v>182</v>
      </c>
      <c r="H380" s="146">
        <f aca="true" t="shared" si="15" ref="H380:H424">I380+J380+K380+L380</f>
        <v>79401.8</v>
      </c>
      <c r="I380" s="133">
        <f>I381+I382</f>
        <v>16849.2</v>
      </c>
      <c r="J380" s="133"/>
      <c r="K380" s="133">
        <f>K381+K382</f>
        <v>62552.600000000006</v>
      </c>
      <c r="L380" s="133"/>
    </row>
    <row r="381" spans="1:12" ht="51">
      <c r="A381" s="190"/>
      <c r="B381" s="191" t="s">
        <v>35</v>
      </c>
      <c r="C381" s="192"/>
      <c r="D381" s="188" t="s">
        <v>47</v>
      </c>
      <c r="E381" s="188" t="s">
        <v>42</v>
      </c>
      <c r="F381" s="188" t="s">
        <v>271</v>
      </c>
      <c r="G381" s="188" t="s">
        <v>182</v>
      </c>
      <c r="H381" s="189">
        <f t="shared" si="15"/>
        <v>58542.2</v>
      </c>
      <c r="I381" s="192">
        <f>928+3570.2-82.7+2050.8+128.8+115.2-130+2269</f>
        <v>8849.3</v>
      </c>
      <c r="J381" s="192"/>
      <c r="K381" s="210">
        <f>9282.2+1425.2+18564.5+20421</f>
        <v>49692.9</v>
      </c>
      <c r="L381" s="192"/>
    </row>
    <row r="382" spans="1:12" ht="76.5">
      <c r="A382" s="121"/>
      <c r="B382" s="123" t="s">
        <v>307</v>
      </c>
      <c r="C382" s="133"/>
      <c r="D382" s="120" t="s">
        <v>47</v>
      </c>
      <c r="E382" s="120" t="s">
        <v>42</v>
      </c>
      <c r="F382" s="120" t="s">
        <v>270</v>
      </c>
      <c r="G382" s="120" t="s">
        <v>182</v>
      </c>
      <c r="H382" s="146">
        <f t="shared" si="15"/>
        <v>20859.600000000002</v>
      </c>
      <c r="I382" s="133">
        <f>5164.3+1417.8+1417.8</f>
        <v>7999.900000000001</v>
      </c>
      <c r="J382" s="133"/>
      <c r="K382" s="142">
        <f>4253.5+99.2+8507</f>
        <v>12859.7</v>
      </c>
      <c r="L382" s="133"/>
    </row>
    <row r="383" spans="1:12" ht="12.75">
      <c r="A383" s="121"/>
      <c r="B383" s="133" t="s">
        <v>67</v>
      </c>
      <c r="C383" s="133"/>
      <c r="D383" s="119" t="s">
        <v>47</v>
      </c>
      <c r="E383" s="119" t="s">
        <v>44</v>
      </c>
      <c r="F383" s="119"/>
      <c r="G383" s="119"/>
      <c r="H383" s="146">
        <f t="shared" si="15"/>
        <v>107986.90000000001</v>
      </c>
      <c r="I383" s="133">
        <f>I384</f>
        <v>18100</v>
      </c>
      <c r="J383" s="133">
        <f>J384</f>
        <v>0</v>
      </c>
      <c r="K383" s="133">
        <f>K384</f>
        <v>89886.90000000001</v>
      </c>
      <c r="L383" s="133">
        <f>L384</f>
        <v>0</v>
      </c>
    </row>
    <row r="384" spans="1:12" ht="12.75">
      <c r="A384" s="121"/>
      <c r="B384" s="133" t="s">
        <v>175</v>
      </c>
      <c r="C384" s="133"/>
      <c r="D384" s="120" t="s">
        <v>47</v>
      </c>
      <c r="E384" s="120" t="s">
        <v>44</v>
      </c>
      <c r="F384" s="120" t="s">
        <v>176</v>
      </c>
      <c r="G384" s="119"/>
      <c r="H384" s="146">
        <f t="shared" si="15"/>
        <v>107986.90000000001</v>
      </c>
      <c r="I384" s="133">
        <f>I385</f>
        <v>18100</v>
      </c>
      <c r="J384" s="133"/>
      <c r="K384" s="133">
        <f>K385</f>
        <v>89886.90000000001</v>
      </c>
      <c r="L384" s="133"/>
    </row>
    <row r="385" spans="1:12" ht="12.75">
      <c r="A385" s="121"/>
      <c r="B385" s="133" t="s">
        <v>181</v>
      </c>
      <c r="C385" s="133"/>
      <c r="D385" s="120" t="s">
        <v>47</v>
      </c>
      <c r="E385" s="120" t="s">
        <v>44</v>
      </c>
      <c r="F385" s="120" t="s">
        <v>176</v>
      </c>
      <c r="G385" s="120" t="s">
        <v>182</v>
      </c>
      <c r="H385" s="146">
        <f t="shared" si="15"/>
        <v>107986.90000000001</v>
      </c>
      <c r="I385" s="133">
        <f>I386+I387</f>
        <v>18100</v>
      </c>
      <c r="J385" s="133">
        <f>J386+J387</f>
        <v>0</v>
      </c>
      <c r="K385" s="133">
        <f>K386+K387</f>
        <v>89886.90000000001</v>
      </c>
      <c r="L385" s="133">
        <f>L386+L387</f>
        <v>0</v>
      </c>
    </row>
    <row r="386" spans="1:12" ht="63.75">
      <c r="A386" s="121"/>
      <c r="B386" s="123" t="s">
        <v>416</v>
      </c>
      <c r="C386" s="133"/>
      <c r="D386" s="120" t="s">
        <v>47</v>
      </c>
      <c r="E386" s="120" t="s">
        <v>44</v>
      </c>
      <c r="F386" s="120" t="s">
        <v>417</v>
      </c>
      <c r="G386" s="120" t="s">
        <v>182</v>
      </c>
      <c r="H386" s="146">
        <f t="shared" si="15"/>
        <v>2739.1</v>
      </c>
      <c r="I386" s="133"/>
      <c r="J386" s="133"/>
      <c r="K386" s="142">
        <v>2739.1</v>
      </c>
      <c r="L386" s="133"/>
    </row>
    <row r="387" spans="1:12" ht="26.25" customHeight="1">
      <c r="A387" s="121"/>
      <c r="B387" s="123" t="s">
        <v>36</v>
      </c>
      <c r="C387" s="133"/>
      <c r="D387" s="120" t="s">
        <v>47</v>
      </c>
      <c r="E387" s="120" t="s">
        <v>44</v>
      </c>
      <c r="F387" s="120" t="s">
        <v>272</v>
      </c>
      <c r="G387" s="120" t="s">
        <v>182</v>
      </c>
      <c r="H387" s="146">
        <f t="shared" si="15"/>
        <v>105247.8</v>
      </c>
      <c r="I387" s="133">
        <f>3117+11762.4+1142.4+849.2+1229</f>
        <v>18100</v>
      </c>
      <c r="J387" s="133"/>
      <c r="K387" s="142">
        <f>31170.3+40392.3+15585.2</f>
        <v>87147.8</v>
      </c>
      <c r="L387" s="133"/>
    </row>
    <row r="388" spans="1:12" ht="12.75">
      <c r="A388" s="121"/>
      <c r="B388" s="133" t="s">
        <v>194</v>
      </c>
      <c r="C388" s="123"/>
      <c r="D388" s="119" t="s">
        <v>47</v>
      </c>
      <c r="E388" s="119" t="s">
        <v>45</v>
      </c>
      <c r="F388" s="120"/>
      <c r="G388" s="120"/>
      <c r="H388" s="146">
        <f t="shared" si="15"/>
        <v>49281.7</v>
      </c>
      <c r="I388" s="133">
        <f>I389</f>
        <v>41842.7</v>
      </c>
      <c r="J388" s="133">
        <f>J389</f>
        <v>0</v>
      </c>
      <c r="K388" s="133">
        <f>K389</f>
        <v>6119</v>
      </c>
      <c r="L388" s="133">
        <f>L389</f>
        <v>1320</v>
      </c>
    </row>
    <row r="389" spans="1:12" ht="38.25" customHeight="1">
      <c r="A389" s="121"/>
      <c r="B389" s="122" t="s">
        <v>342</v>
      </c>
      <c r="C389" s="133"/>
      <c r="D389" s="120" t="s">
        <v>47</v>
      </c>
      <c r="E389" s="120" t="s">
        <v>45</v>
      </c>
      <c r="F389" s="120" t="s">
        <v>343</v>
      </c>
      <c r="G389" s="120"/>
      <c r="H389" s="146">
        <f>I389+J389+K389+L389</f>
        <v>49281.7</v>
      </c>
      <c r="I389" s="133">
        <f>I390</f>
        <v>41842.7</v>
      </c>
      <c r="J389" s="133"/>
      <c r="K389" s="133">
        <f>K390</f>
        <v>6119</v>
      </c>
      <c r="L389" s="133">
        <f>L390</f>
        <v>1320</v>
      </c>
    </row>
    <row r="390" spans="1:12" ht="51">
      <c r="A390" s="135"/>
      <c r="B390" s="150" t="s">
        <v>340</v>
      </c>
      <c r="C390" s="138"/>
      <c r="D390" s="137" t="s">
        <v>47</v>
      </c>
      <c r="E390" s="137" t="s">
        <v>45</v>
      </c>
      <c r="F390" s="137" t="s">
        <v>341</v>
      </c>
      <c r="G390" s="137" t="s">
        <v>182</v>
      </c>
      <c r="H390" s="182">
        <f>I390+J390+K390+L390</f>
        <v>49281.7</v>
      </c>
      <c r="I390" s="138">
        <f>19000-8102-1000+947.2+31000-2.5</f>
        <v>41842.7</v>
      </c>
      <c r="J390" s="138"/>
      <c r="K390" s="138">
        <v>6119</v>
      </c>
      <c r="L390" s="138">
        <v>1320</v>
      </c>
    </row>
    <row r="391" spans="1:12" ht="12.75">
      <c r="A391" s="121"/>
      <c r="B391" s="123" t="s">
        <v>71</v>
      </c>
      <c r="C391" s="123"/>
      <c r="D391" s="119" t="s">
        <v>50</v>
      </c>
      <c r="E391" s="119" t="s">
        <v>43</v>
      </c>
      <c r="F391" s="120"/>
      <c r="G391" s="120"/>
      <c r="H391" s="146">
        <f>I391+J391+K391+L391</f>
        <v>185363.50000000003</v>
      </c>
      <c r="I391" s="146">
        <f>I392+I396</f>
        <v>177673.80000000002</v>
      </c>
      <c r="J391" s="146">
        <f>J392+J396</f>
        <v>0</v>
      </c>
      <c r="K391" s="146">
        <f>K392+K396</f>
        <v>7689.7</v>
      </c>
      <c r="L391" s="146">
        <f>L392+L396</f>
        <v>0</v>
      </c>
    </row>
    <row r="392" spans="1:12" ht="12.75">
      <c r="A392" s="121"/>
      <c r="B392" s="123" t="s">
        <v>73</v>
      </c>
      <c r="C392" s="123"/>
      <c r="D392" s="119" t="s">
        <v>50</v>
      </c>
      <c r="E392" s="119" t="s">
        <v>42</v>
      </c>
      <c r="F392" s="120"/>
      <c r="G392" s="120"/>
      <c r="H392" s="146">
        <f>I392+J392+K392+L392</f>
        <v>165417.2</v>
      </c>
      <c r="I392" s="133">
        <f>I393</f>
        <v>165417.2</v>
      </c>
      <c r="J392" s="133">
        <f>J393</f>
        <v>0</v>
      </c>
      <c r="K392" s="133">
        <f>K393</f>
        <v>0</v>
      </c>
      <c r="L392" s="133">
        <f>L393</f>
        <v>0</v>
      </c>
    </row>
    <row r="393" spans="1:12" ht="12.75">
      <c r="A393" s="114"/>
      <c r="B393" s="133" t="s">
        <v>175</v>
      </c>
      <c r="C393" s="113"/>
      <c r="D393" s="112" t="s">
        <v>50</v>
      </c>
      <c r="E393" s="112" t="s">
        <v>42</v>
      </c>
      <c r="F393" s="112" t="s">
        <v>176</v>
      </c>
      <c r="G393" s="109"/>
      <c r="H393" s="146">
        <f>H394</f>
        <v>165417.2</v>
      </c>
      <c r="I393" s="133">
        <f>I394</f>
        <v>165417.2</v>
      </c>
      <c r="J393" s="133"/>
      <c r="K393" s="133"/>
      <c r="L393" s="133"/>
    </row>
    <row r="394" spans="1:12" ht="12.75">
      <c r="A394" s="114"/>
      <c r="B394" s="133" t="s">
        <v>181</v>
      </c>
      <c r="C394" s="113"/>
      <c r="D394" s="112" t="s">
        <v>50</v>
      </c>
      <c r="E394" s="112" t="s">
        <v>42</v>
      </c>
      <c r="F394" s="112" t="s">
        <v>176</v>
      </c>
      <c r="G394" s="112" t="s">
        <v>182</v>
      </c>
      <c r="H394" s="146">
        <f aca="true" t="shared" si="16" ref="H394:H401">I394+J394+K394+L394</f>
        <v>165417.2</v>
      </c>
      <c r="I394" s="133">
        <f>I395</f>
        <v>165417.2</v>
      </c>
      <c r="J394" s="133"/>
      <c r="K394" s="133"/>
      <c r="L394" s="133"/>
    </row>
    <row r="395" spans="1:12" ht="51.75" customHeight="1">
      <c r="A395" s="121"/>
      <c r="B395" s="123" t="s">
        <v>419</v>
      </c>
      <c r="C395" s="133"/>
      <c r="D395" s="120" t="s">
        <v>50</v>
      </c>
      <c r="E395" s="120" t="s">
        <v>42</v>
      </c>
      <c r="F395" s="120" t="s">
        <v>420</v>
      </c>
      <c r="G395" s="120" t="s">
        <v>182</v>
      </c>
      <c r="H395" s="146">
        <f t="shared" si="16"/>
        <v>165417.2</v>
      </c>
      <c r="I395" s="133">
        <f>1177.2+169500-5260</f>
        <v>165417.2</v>
      </c>
      <c r="J395" s="133"/>
      <c r="K395" s="133"/>
      <c r="L395" s="133"/>
    </row>
    <row r="396" spans="1:12" ht="12.75">
      <c r="A396" s="121"/>
      <c r="B396" s="133" t="s">
        <v>75</v>
      </c>
      <c r="C396" s="123"/>
      <c r="D396" s="119" t="s">
        <v>50</v>
      </c>
      <c r="E396" s="119" t="s">
        <v>44</v>
      </c>
      <c r="F396" s="120"/>
      <c r="G396" s="120"/>
      <c r="H396" s="146">
        <f t="shared" si="16"/>
        <v>19946.3</v>
      </c>
      <c r="I396" s="133">
        <f>I397+I400+I403</f>
        <v>12256.599999999999</v>
      </c>
      <c r="J396" s="133">
        <f>J397+J400+J403</f>
        <v>0</v>
      </c>
      <c r="K396" s="133">
        <f>K397+K400+K403</f>
        <v>7689.7</v>
      </c>
      <c r="L396" s="133">
        <f>L397+L400+L403</f>
        <v>0</v>
      </c>
    </row>
    <row r="397" spans="1:12" ht="38.25">
      <c r="A397" s="114"/>
      <c r="B397" s="115" t="s">
        <v>96</v>
      </c>
      <c r="C397" s="115"/>
      <c r="D397" s="112" t="s">
        <v>50</v>
      </c>
      <c r="E397" s="112" t="s">
        <v>44</v>
      </c>
      <c r="F397" s="112" t="s">
        <v>100</v>
      </c>
      <c r="G397" s="112"/>
      <c r="H397" s="108">
        <f t="shared" si="16"/>
        <v>5960.799999999999</v>
      </c>
      <c r="I397" s="113">
        <f>I398</f>
        <v>5960.799999999999</v>
      </c>
      <c r="J397" s="113"/>
      <c r="K397" s="113"/>
      <c r="L397" s="113"/>
    </row>
    <row r="398" spans="1:12" ht="25.5">
      <c r="A398" s="114"/>
      <c r="B398" s="115" t="s">
        <v>94</v>
      </c>
      <c r="C398" s="115"/>
      <c r="D398" s="112" t="s">
        <v>50</v>
      </c>
      <c r="E398" s="112" t="s">
        <v>44</v>
      </c>
      <c r="F398" s="112" t="s">
        <v>101</v>
      </c>
      <c r="G398" s="112"/>
      <c r="H398" s="108">
        <f t="shared" si="16"/>
        <v>5960.799999999999</v>
      </c>
      <c r="I398" s="113">
        <f>I399</f>
        <v>5960.799999999999</v>
      </c>
      <c r="J398" s="113"/>
      <c r="K398" s="113"/>
      <c r="L398" s="113"/>
    </row>
    <row r="399" spans="1:12" ht="25.5">
      <c r="A399" s="114"/>
      <c r="B399" s="115" t="s">
        <v>95</v>
      </c>
      <c r="C399" s="115"/>
      <c r="D399" s="112" t="s">
        <v>50</v>
      </c>
      <c r="E399" s="112" t="s">
        <v>44</v>
      </c>
      <c r="F399" s="112" t="s">
        <v>101</v>
      </c>
      <c r="G399" s="112" t="s">
        <v>99</v>
      </c>
      <c r="H399" s="108">
        <f t="shared" si="16"/>
        <v>5960.799999999999</v>
      </c>
      <c r="I399" s="113">
        <f>5962.9-2.1</f>
        <v>5960.799999999999</v>
      </c>
      <c r="J399" s="113"/>
      <c r="K399" s="113"/>
      <c r="L399" s="113"/>
    </row>
    <row r="400" spans="1:12" ht="25.5">
      <c r="A400" s="114"/>
      <c r="B400" s="123" t="s">
        <v>106</v>
      </c>
      <c r="C400" s="115"/>
      <c r="D400" s="112" t="s">
        <v>50</v>
      </c>
      <c r="E400" s="112" t="s">
        <v>44</v>
      </c>
      <c r="F400" s="112" t="s">
        <v>107</v>
      </c>
      <c r="G400" s="112"/>
      <c r="H400" s="108">
        <f t="shared" si="16"/>
        <v>6268.5</v>
      </c>
      <c r="I400" s="113">
        <f>I401</f>
        <v>6268.5</v>
      </c>
      <c r="J400" s="113"/>
      <c r="K400" s="113"/>
      <c r="L400" s="113"/>
    </row>
    <row r="401" spans="1:12" ht="25.5">
      <c r="A401" s="114"/>
      <c r="B401" s="123" t="s">
        <v>94</v>
      </c>
      <c r="C401" s="115"/>
      <c r="D401" s="112" t="s">
        <v>50</v>
      </c>
      <c r="E401" s="112" t="s">
        <v>44</v>
      </c>
      <c r="F401" s="112" t="s">
        <v>108</v>
      </c>
      <c r="G401" s="112"/>
      <c r="H401" s="108">
        <f t="shared" si="16"/>
        <v>6268.5</v>
      </c>
      <c r="I401" s="113">
        <f>I402</f>
        <v>6268.5</v>
      </c>
      <c r="J401" s="113"/>
      <c r="K401" s="113"/>
      <c r="L401" s="113"/>
    </row>
    <row r="402" spans="1:12" ht="25.5">
      <c r="A402" s="114"/>
      <c r="B402" s="123" t="s">
        <v>95</v>
      </c>
      <c r="C402" s="115"/>
      <c r="D402" s="112" t="s">
        <v>50</v>
      </c>
      <c r="E402" s="112" t="s">
        <v>44</v>
      </c>
      <c r="F402" s="112" t="s">
        <v>108</v>
      </c>
      <c r="G402" s="112" t="s">
        <v>99</v>
      </c>
      <c r="H402" s="108">
        <f>I402+J402+K402+L402</f>
        <v>6268.5</v>
      </c>
      <c r="I402" s="113">
        <f>6261.2+7.3</f>
        <v>6268.5</v>
      </c>
      <c r="J402" s="113"/>
      <c r="K402" s="113"/>
      <c r="L402" s="113"/>
    </row>
    <row r="403" spans="1:12" ht="12.75">
      <c r="A403" s="114"/>
      <c r="B403" s="133" t="s">
        <v>175</v>
      </c>
      <c r="C403" s="113"/>
      <c r="D403" s="112" t="s">
        <v>50</v>
      </c>
      <c r="E403" s="112" t="s">
        <v>44</v>
      </c>
      <c r="F403" s="112" t="s">
        <v>176</v>
      </c>
      <c r="G403" s="109"/>
      <c r="H403" s="146">
        <f>H404</f>
        <v>7717</v>
      </c>
      <c r="I403" s="133">
        <f>I404</f>
        <v>27.3</v>
      </c>
      <c r="J403" s="133">
        <f>J404</f>
        <v>0</v>
      </c>
      <c r="K403" s="133">
        <f>K404</f>
        <v>7689.7</v>
      </c>
      <c r="L403" s="133">
        <f>L404</f>
        <v>0</v>
      </c>
    </row>
    <row r="404" spans="1:12" ht="12.75">
      <c r="A404" s="114"/>
      <c r="B404" s="133" t="s">
        <v>181</v>
      </c>
      <c r="C404" s="113"/>
      <c r="D404" s="112" t="s">
        <v>50</v>
      </c>
      <c r="E404" s="112" t="s">
        <v>44</v>
      </c>
      <c r="F404" s="112" t="s">
        <v>176</v>
      </c>
      <c r="G404" s="112" t="s">
        <v>182</v>
      </c>
      <c r="H404" s="146">
        <f>H405+H406</f>
        <v>7717</v>
      </c>
      <c r="I404" s="133">
        <f>I405+I406</f>
        <v>27.3</v>
      </c>
      <c r="J404" s="133">
        <f>J405+J406</f>
        <v>0</v>
      </c>
      <c r="K404" s="133">
        <f>K405+K406</f>
        <v>7689.7</v>
      </c>
      <c r="L404" s="133">
        <f>L405+L406</f>
        <v>0</v>
      </c>
    </row>
    <row r="405" spans="1:12" ht="63.75">
      <c r="A405" s="114"/>
      <c r="B405" s="123" t="s">
        <v>422</v>
      </c>
      <c r="C405" s="113"/>
      <c r="D405" s="112" t="s">
        <v>50</v>
      </c>
      <c r="E405" s="112" t="s">
        <v>44</v>
      </c>
      <c r="F405" s="112" t="s">
        <v>423</v>
      </c>
      <c r="G405" s="112" t="s">
        <v>182</v>
      </c>
      <c r="H405" s="146">
        <f>SUM(I405:L405)</f>
        <v>2000</v>
      </c>
      <c r="I405" s="133">
        <v>27.3</v>
      </c>
      <c r="J405" s="142"/>
      <c r="K405" s="133">
        <v>1972.7</v>
      </c>
      <c r="L405" s="133"/>
    </row>
    <row r="406" spans="1:12" ht="63.75">
      <c r="A406" s="114"/>
      <c r="B406" s="123" t="s">
        <v>424</v>
      </c>
      <c r="C406" s="113"/>
      <c r="D406" s="112" t="s">
        <v>50</v>
      </c>
      <c r="E406" s="112" t="s">
        <v>44</v>
      </c>
      <c r="F406" s="112" t="s">
        <v>425</v>
      </c>
      <c r="G406" s="112" t="s">
        <v>182</v>
      </c>
      <c r="H406" s="146">
        <f>SUM(I406:L406)</f>
        <v>5717</v>
      </c>
      <c r="I406" s="133"/>
      <c r="J406" s="142"/>
      <c r="K406" s="133">
        <v>5717</v>
      </c>
      <c r="L406" s="133"/>
    </row>
    <row r="407" spans="1:12" ht="25.5">
      <c r="A407" s="121"/>
      <c r="B407" s="123" t="s">
        <v>30</v>
      </c>
      <c r="C407" s="133"/>
      <c r="D407" s="119" t="s">
        <v>54</v>
      </c>
      <c r="E407" s="119" t="s">
        <v>43</v>
      </c>
      <c r="F407" s="120"/>
      <c r="G407" s="120"/>
      <c r="H407" s="146">
        <f t="shared" si="15"/>
        <v>122770.9</v>
      </c>
      <c r="I407" s="146">
        <f>I408+I412+I416</f>
        <v>18481.2</v>
      </c>
      <c r="J407" s="146">
        <f>J412+J416</f>
        <v>0</v>
      </c>
      <c r="K407" s="146">
        <f>K412+K416</f>
        <v>104289.7</v>
      </c>
      <c r="L407" s="146">
        <f>L412+L416</f>
        <v>0</v>
      </c>
    </row>
    <row r="408" spans="1:12" ht="12.75">
      <c r="A408" s="121"/>
      <c r="B408" s="133" t="s">
        <v>148</v>
      </c>
      <c r="C408" s="133"/>
      <c r="D408" s="119" t="s">
        <v>54</v>
      </c>
      <c r="E408" s="119" t="s">
        <v>42</v>
      </c>
      <c r="F408" s="120"/>
      <c r="G408" s="120"/>
      <c r="H408" s="146">
        <f t="shared" si="15"/>
        <v>593.0999999999999</v>
      </c>
      <c r="I408" s="133">
        <f aca="true" t="shared" si="17" ref="I408:K410">I409</f>
        <v>593.0999999999999</v>
      </c>
      <c r="J408" s="133">
        <f t="shared" si="17"/>
        <v>0</v>
      </c>
      <c r="K408" s="133">
        <f t="shared" si="17"/>
        <v>0</v>
      </c>
      <c r="L408" s="133"/>
    </row>
    <row r="409" spans="1:12" ht="25.5">
      <c r="A409" s="121"/>
      <c r="B409" s="123" t="s">
        <v>149</v>
      </c>
      <c r="C409" s="133"/>
      <c r="D409" s="120" t="s">
        <v>54</v>
      </c>
      <c r="E409" s="120" t="s">
        <v>42</v>
      </c>
      <c r="F409" s="120" t="s">
        <v>150</v>
      </c>
      <c r="G409" s="120"/>
      <c r="H409" s="146">
        <f t="shared" si="15"/>
        <v>593.0999999999999</v>
      </c>
      <c r="I409" s="133">
        <f t="shared" si="17"/>
        <v>593.0999999999999</v>
      </c>
      <c r="J409" s="133"/>
      <c r="K409" s="133"/>
      <c r="L409" s="133"/>
    </row>
    <row r="410" spans="1:12" ht="25.5">
      <c r="A410" s="121"/>
      <c r="B410" s="123" t="s">
        <v>94</v>
      </c>
      <c r="C410" s="133"/>
      <c r="D410" s="120" t="s">
        <v>54</v>
      </c>
      <c r="E410" s="120" t="s">
        <v>42</v>
      </c>
      <c r="F410" s="120" t="s">
        <v>151</v>
      </c>
      <c r="G410" s="120"/>
      <c r="H410" s="146">
        <f t="shared" si="15"/>
        <v>593.0999999999999</v>
      </c>
      <c r="I410" s="133">
        <f t="shared" si="17"/>
        <v>593.0999999999999</v>
      </c>
      <c r="J410" s="133"/>
      <c r="K410" s="133"/>
      <c r="L410" s="133"/>
    </row>
    <row r="411" spans="1:12" ht="25.5">
      <c r="A411" s="121"/>
      <c r="B411" s="123" t="s">
        <v>95</v>
      </c>
      <c r="C411" s="133"/>
      <c r="D411" s="120" t="s">
        <v>54</v>
      </c>
      <c r="E411" s="120" t="s">
        <v>42</v>
      </c>
      <c r="F411" s="120" t="s">
        <v>151</v>
      </c>
      <c r="G411" s="120" t="s">
        <v>99</v>
      </c>
      <c r="H411" s="146">
        <f t="shared" si="15"/>
        <v>593.0999999999999</v>
      </c>
      <c r="I411" s="133">
        <f>1785.1-1192</f>
        <v>593.0999999999999</v>
      </c>
      <c r="J411" s="133"/>
      <c r="K411" s="133"/>
      <c r="L411" s="133"/>
    </row>
    <row r="412" spans="1:12" ht="12.75">
      <c r="A412" s="121"/>
      <c r="B412" s="123" t="s">
        <v>184</v>
      </c>
      <c r="C412" s="133"/>
      <c r="D412" s="119" t="s">
        <v>54</v>
      </c>
      <c r="E412" s="119" t="s">
        <v>61</v>
      </c>
      <c r="F412" s="120"/>
      <c r="G412" s="120"/>
      <c r="H412" s="146">
        <f t="shared" si="15"/>
        <v>9251.7</v>
      </c>
      <c r="I412" s="133">
        <f>I413</f>
        <v>439.70000000000005</v>
      </c>
      <c r="J412" s="133">
        <f>J413</f>
        <v>0</v>
      </c>
      <c r="K412" s="133">
        <f>K413</f>
        <v>8812</v>
      </c>
      <c r="L412" s="133"/>
    </row>
    <row r="413" spans="1:12" ht="12.75">
      <c r="A413" s="121"/>
      <c r="B413" s="133" t="s">
        <v>175</v>
      </c>
      <c r="C413" s="133"/>
      <c r="D413" s="120" t="s">
        <v>54</v>
      </c>
      <c r="E413" s="120" t="s">
        <v>61</v>
      </c>
      <c r="F413" s="120" t="s">
        <v>176</v>
      </c>
      <c r="G413" s="120"/>
      <c r="H413" s="146">
        <f t="shared" si="15"/>
        <v>9251.7</v>
      </c>
      <c r="I413" s="133">
        <f>I414</f>
        <v>439.70000000000005</v>
      </c>
      <c r="J413" s="133"/>
      <c r="K413" s="133">
        <f>K414</f>
        <v>8812</v>
      </c>
      <c r="L413" s="133"/>
    </row>
    <row r="414" spans="1:12" ht="12.75">
      <c r="A414" s="121"/>
      <c r="B414" s="133" t="s">
        <v>181</v>
      </c>
      <c r="C414" s="133"/>
      <c r="D414" s="120" t="s">
        <v>54</v>
      </c>
      <c r="E414" s="120" t="s">
        <v>61</v>
      </c>
      <c r="F414" s="120" t="s">
        <v>176</v>
      </c>
      <c r="G414" s="120" t="s">
        <v>182</v>
      </c>
      <c r="H414" s="146">
        <f t="shared" si="15"/>
        <v>9251.7</v>
      </c>
      <c r="I414" s="133">
        <f>I415</f>
        <v>439.70000000000005</v>
      </c>
      <c r="J414" s="133"/>
      <c r="K414" s="133">
        <f>K415</f>
        <v>8812</v>
      </c>
      <c r="L414" s="133"/>
    </row>
    <row r="415" spans="1:12" ht="63.75">
      <c r="A415" s="190"/>
      <c r="B415" s="191" t="s">
        <v>428</v>
      </c>
      <c r="C415" s="192"/>
      <c r="D415" s="188" t="s">
        <v>54</v>
      </c>
      <c r="E415" s="188" t="s">
        <v>61</v>
      </c>
      <c r="F415" s="188" t="s">
        <v>429</v>
      </c>
      <c r="G415" s="188" t="s">
        <v>182</v>
      </c>
      <c r="H415" s="192">
        <f t="shared" si="15"/>
        <v>9251.7</v>
      </c>
      <c r="I415" s="192">
        <f>54.3+288+97.4</f>
        <v>439.70000000000005</v>
      </c>
      <c r="J415" s="192"/>
      <c r="K415" s="210">
        <v>8812</v>
      </c>
      <c r="L415" s="218"/>
    </row>
    <row r="416" spans="1:12" ht="38.25">
      <c r="A416" s="121"/>
      <c r="B416" s="123" t="s">
        <v>159</v>
      </c>
      <c r="C416" s="133"/>
      <c r="D416" s="119" t="s">
        <v>54</v>
      </c>
      <c r="E416" s="119" t="s">
        <v>89</v>
      </c>
      <c r="F416" s="120"/>
      <c r="G416" s="120"/>
      <c r="H416" s="146">
        <f t="shared" si="15"/>
        <v>112926.1</v>
      </c>
      <c r="I416" s="133">
        <f>I417</f>
        <v>17448.4</v>
      </c>
      <c r="J416" s="133">
        <f>J417</f>
        <v>0</v>
      </c>
      <c r="K416" s="133">
        <f>K417</f>
        <v>95477.7</v>
      </c>
      <c r="L416" s="133">
        <f>L417</f>
        <v>0</v>
      </c>
    </row>
    <row r="417" spans="1:12" ht="12.75">
      <c r="A417" s="121"/>
      <c r="B417" s="133" t="s">
        <v>175</v>
      </c>
      <c r="C417" s="133"/>
      <c r="D417" s="120" t="s">
        <v>54</v>
      </c>
      <c r="E417" s="120" t="s">
        <v>89</v>
      </c>
      <c r="F417" s="120" t="s">
        <v>176</v>
      </c>
      <c r="G417" s="120"/>
      <c r="H417" s="146">
        <f t="shared" si="15"/>
        <v>112926.1</v>
      </c>
      <c r="I417" s="133">
        <f>I418</f>
        <v>17448.4</v>
      </c>
      <c r="J417" s="133"/>
      <c r="K417" s="133">
        <f>K418</f>
        <v>95477.7</v>
      </c>
      <c r="L417" s="133"/>
    </row>
    <row r="418" spans="1:12" ht="12.75">
      <c r="A418" s="121"/>
      <c r="B418" s="133" t="s">
        <v>181</v>
      </c>
      <c r="C418" s="133"/>
      <c r="D418" s="120" t="s">
        <v>54</v>
      </c>
      <c r="E418" s="120" t="s">
        <v>89</v>
      </c>
      <c r="F418" s="120" t="s">
        <v>176</v>
      </c>
      <c r="G418" s="120" t="s">
        <v>182</v>
      </c>
      <c r="H418" s="146">
        <f t="shared" si="15"/>
        <v>112926.1</v>
      </c>
      <c r="I418" s="133">
        <f>I419</f>
        <v>17448.4</v>
      </c>
      <c r="J418" s="133"/>
      <c r="K418" s="133">
        <f>K419</f>
        <v>95477.7</v>
      </c>
      <c r="L418" s="133"/>
    </row>
    <row r="419" spans="1:12" ht="63.75">
      <c r="A419" s="121"/>
      <c r="B419" s="123" t="s">
        <v>266</v>
      </c>
      <c r="C419" s="133"/>
      <c r="D419" s="120" t="s">
        <v>54</v>
      </c>
      <c r="E419" s="120" t="s">
        <v>89</v>
      </c>
      <c r="F419" s="120" t="s">
        <v>183</v>
      </c>
      <c r="G419" s="120" t="s">
        <v>182</v>
      </c>
      <c r="H419" s="146">
        <f t="shared" si="15"/>
        <v>112926.1</v>
      </c>
      <c r="I419" s="133">
        <f>17430.9-112.5+130</f>
        <v>17448.4</v>
      </c>
      <c r="J419" s="133"/>
      <c r="K419" s="142">
        <f>21737+45801.7+27939</f>
        <v>95477.7</v>
      </c>
      <c r="L419" s="183"/>
    </row>
    <row r="420" spans="1:12" ht="12.75">
      <c r="A420" s="121"/>
      <c r="B420" s="133" t="s">
        <v>88</v>
      </c>
      <c r="C420" s="123"/>
      <c r="D420" s="119" t="s">
        <v>89</v>
      </c>
      <c r="E420" s="119" t="s">
        <v>43</v>
      </c>
      <c r="F420" s="119"/>
      <c r="G420" s="119"/>
      <c r="H420" s="146">
        <f t="shared" si="15"/>
        <v>7602.2</v>
      </c>
      <c r="I420" s="146">
        <f aca="true" t="shared" si="18" ref="I420:L422">I421</f>
        <v>0</v>
      </c>
      <c r="J420" s="146">
        <f t="shared" si="18"/>
        <v>7602.2</v>
      </c>
      <c r="K420" s="146">
        <f t="shared" si="18"/>
        <v>0</v>
      </c>
      <c r="L420" s="146">
        <f t="shared" si="18"/>
        <v>0</v>
      </c>
    </row>
    <row r="421" spans="1:12" ht="12.75">
      <c r="A421" s="121"/>
      <c r="B421" s="133" t="s">
        <v>91</v>
      </c>
      <c r="C421" s="165"/>
      <c r="D421" s="119" t="s">
        <v>89</v>
      </c>
      <c r="E421" s="119" t="s">
        <v>45</v>
      </c>
      <c r="F421" s="119"/>
      <c r="G421" s="119"/>
      <c r="H421" s="146">
        <f t="shared" si="15"/>
        <v>7602.2</v>
      </c>
      <c r="I421" s="133">
        <f t="shared" si="18"/>
        <v>0</v>
      </c>
      <c r="J421" s="133">
        <f t="shared" si="18"/>
        <v>7602.2</v>
      </c>
      <c r="K421" s="133">
        <f t="shared" si="18"/>
        <v>0</v>
      </c>
      <c r="L421" s="133">
        <f t="shared" si="18"/>
        <v>0</v>
      </c>
    </row>
    <row r="422" spans="1:12" ht="12.75">
      <c r="A422" s="121"/>
      <c r="B422" s="133" t="s">
        <v>121</v>
      </c>
      <c r="C422" s="165"/>
      <c r="D422" s="120" t="s">
        <v>89</v>
      </c>
      <c r="E422" s="120" t="s">
        <v>45</v>
      </c>
      <c r="F422" s="120" t="s">
        <v>122</v>
      </c>
      <c r="G422" s="119"/>
      <c r="H422" s="146">
        <f t="shared" si="15"/>
        <v>7602.2</v>
      </c>
      <c r="I422" s="133"/>
      <c r="J422" s="133">
        <f t="shared" si="18"/>
        <v>7602.2</v>
      </c>
      <c r="K422" s="133"/>
      <c r="L422" s="133"/>
    </row>
    <row r="423" spans="1:12" ht="89.25">
      <c r="A423" s="121"/>
      <c r="B423" s="123" t="s">
        <v>258</v>
      </c>
      <c r="C423" s="165"/>
      <c r="D423" s="120" t="s">
        <v>89</v>
      </c>
      <c r="E423" s="120" t="s">
        <v>45</v>
      </c>
      <c r="F423" s="120" t="s">
        <v>259</v>
      </c>
      <c r="G423" s="119"/>
      <c r="H423" s="146">
        <f t="shared" si="15"/>
        <v>7602.2</v>
      </c>
      <c r="I423" s="133"/>
      <c r="J423" s="133">
        <f>J424</f>
        <v>7602.2</v>
      </c>
      <c r="K423" s="133"/>
      <c r="L423" s="133"/>
    </row>
    <row r="424" spans="1:12" ht="12.75">
      <c r="A424" s="121"/>
      <c r="B424" s="133" t="s">
        <v>125</v>
      </c>
      <c r="C424" s="165"/>
      <c r="D424" s="120" t="s">
        <v>89</v>
      </c>
      <c r="E424" s="120" t="s">
        <v>45</v>
      </c>
      <c r="F424" s="120" t="s">
        <v>259</v>
      </c>
      <c r="G424" s="120" t="s">
        <v>126</v>
      </c>
      <c r="H424" s="146">
        <f t="shared" si="15"/>
        <v>7602.2</v>
      </c>
      <c r="I424" s="133"/>
      <c r="J424" s="142">
        <f>6824.9+777.3</f>
        <v>7602.2</v>
      </c>
      <c r="K424" s="133"/>
      <c r="L424" s="133"/>
    </row>
    <row r="425" spans="1:12" ht="38.25">
      <c r="A425" s="185" t="s">
        <v>13</v>
      </c>
      <c r="B425" s="186" t="s">
        <v>285</v>
      </c>
      <c r="C425" s="186">
        <v>480</v>
      </c>
      <c r="D425" s="187"/>
      <c r="E425" s="187"/>
      <c r="F425" s="188"/>
      <c r="G425" s="188"/>
      <c r="H425" s="189">
        <f t="shared" si="14"/>
        <v>245612.7</v>
      </c>
      <c r="I425" s="189">
        <f>I426+I433+I438</f>
        <v>145415.1</v>
      </c>
      <c r="J425" s="189">
        <f>J426+J433+J438</f>
        <v>0</v>
      </c>
      <c r="K425" s="189">
        <f>K426+K433+K438</f>
        <v>100097.59999999999</v>
      </c>
      <c r="L425" s="189">
        <f>L426+L433+L438</f>
        <v>100</v>
      </c>
    </row>
    <row r="426" spans="1:12" ht="12.75">
      <c r="A426" s="121"/>
      <c r="B426" s="133" t="s">
        <v>41</v>
      </c>
      <c r="C426" s="123"/>
      <c r="D426" s="119" t="s">
        <v>42</v>
      </c>
      <c r="E426" s="119" t="s">
        <v>43</v>
      </c>
      <c r="F426" s="120"/>
      <c r="G426" s="120"/>
      <c r="H426" s="146">
        <f aca="true" t="shared" si="19" ref="H426:H437">I426+J426+K426+L426</f>
        <v>982</v>
      </c>
      <c r="I426" s="133">
        <f>I427</f>
        <v>982</v>
      </c>
      <c r="J426" s="133">
        <f>J427</f>
        <v>0</v>
      </c>
      <c r="K426" s="133">
        <f>K427</f>
        <v>0</v>
      </c>
      <c r="L426" s="133">
        <f>L427</f>
        <v>0</v>
      </c>
    </row>
    <row r="427" spans="1:12" ht="25.5">
      <c r="A427" s="121"/>
      <c r="B427" s="123" t="s">
        <v>52</v>
      </c>
      <c r="C427" s="123"/>
      <c r="D427" s="119" t="s">
        <v>42</v>
      </c>
      <c r="E427" s="119" t="s">
        <v>232</v>
      </c>
      <c r="F427" s="120"/>
      <c r="G427" s="120"/>
      <c r="H427" s="146">
        <f t="shared" si="19"/>
        <v>982</v>
      </c>
      <c r="I427" s="133">
        <f>I428+I431</f>
        <v>982</v>
      </c>
      <c r="J427" s="133"/>
      <c r="K427" s="133"/>
      <c r="L427" s="133"/>
    </row>
    <row r="428" spans="1:12" ht="51">
      <c r="A428" s="121"/>
      <c r="B428" s="166" t="s">
        <v>325</v>
      </c>
      <c r="C428" s="123"/>
      <c r="D428" s="120" t="s">
        <v>42</v>
      </c>
      <c r="E428" s="120" t="s">
        <v>232</v>
      </c>
      <c r="F428" s="167" t="s">
        <v>461</v>
      </c>
      <c r="G428" s="120"/>
      <c r="H428" s="146">
        <f t="shared" si="19"/>
        <v>892</v>
      </c>
      <c r="I428" s="133">
        <f>I429</f>
        <v>892</v>
      </c>
      <c r="J428" s="133"/>
      <c r="K428" s="133"/>
      <c r="L428" s="133"/>
    </row>
    <row r="429" spans="1:12" ht="25.5">
      <c r="A429" s="121"/>
      <c r="B429" s="150" t="s">
        <v>462</v>
      </c>
      <c r="C429" s="123"/>
      <c r="D429" s="120" t="s">
        <v>42</v>
      </c>
      <c r="E429" s="120" t="s">
        <v>232</v>
      </c>
      <c r="F429" s="167" t="s">
        <v>463</v>
      </c>
      <c r="G429" s="120"/>
      <c r="H429" s="146">
        <f t="shared" si="19"/>
        <v>892</v>
      </c>
      <c r="I429" s="133">
        <f>I430</f>
        <v>892</v>
      </c>
      <c r="J429" s="133"/>
      <c r="K429" s="133"/>
      <c r="L429" s="133"/>
    </row>
    <row r="430" spans="1:12" ht="25.5">
      <c r="A430" s="121"/>
      <c r="B430" s="123" t="s">
        <v>117</v>
      </c>
      <c r="C430" s="123"/>
      <c r="D430" s="120" t="s">
        <v>42</v>
      </c>
      <c r="E430" s="120" t="s">
        <v>232</v>
      </c>
      <c r="F430" s="120" t="s">
        <v>463</v>
      </c>
      <c r="G430" s="120" t="s">
        <v>32</v>
      </c>
      <c r="H430" s="146">
        <f t="shared" si="19"/>
        <v>892</v>
      </c>
      <c r="I430" s="133">
        <v>892</v>
      </c>
      <c r="J430" s="133"/>
      <c r="K430" s="133"/>
      <c r="L430" s="133"/>
    </row>
    <row r="431" spans="1:12" ht="25.5">
      <c r="A431" s="121"/>
      <c r="B431" s="123" t="s">
        <v>109</v>
      </c>
      <c r="C431" s="165"/>
      <c r="D431" s="120" t="s">
        <v>42</v>
      </c>
      <c r="E431" s="120" t="s">
        <v>232</v>
      </c>
      <c r="F431" s="120" t="s">
        <v>110</v>
      </c>
      <c r="G431" s="120"/>
      <c r="H431" s="146">
        <f t="shared" si="19"/>
        <v>90</v>
      </c>
      <c r="I431" s="133">
        <f>I432</f>
        <v>90</v>
      </c>
      <c r="J431" s="142"/>
      <c r="K431" s="133"/>
      <c r="L431" s="133"/>
    </row>
    <row r="432" spans="1:12" ht="25.5">
      <c r="A432" s="121"/>
      <c r="B432" s="136" t="s">
        <v>117</v>
      </c>
      <c r="C432" s="165"/>
      <c r="D432" s="120" t="s">
        <v>42</v>
      </c>
      <c r="E432" s="120" t="s">
        <v>232</v>
      </c>
      <c r="F432" s="120" t="s">
        <v>110</v>
      </c>
      <c r="G432" s="120" t="s">
        <v>32</v>
      </c>
      <c r="H432" s="146">
        <f t="shared" si="19"/>
        <v>90</v>
      </c>
      <c r="I432" s="133">
        <v>90</v>
      </c>
      <c r="J432" s="142"/>
      <c r="K432" s="133"/>
      <c r="L432" s="133"/>
    </row>
    <row r="433" spans="1:12" ht="12.75">
      <c r="A433" s="121"/>
      <c r="B433" s="133" t="s">
        <v>245</v>
      </c>
      <c r="C433" s="165"/>
      <c r="D433" s="119" t="s">
        <v>46</v>
      </c>
      <c r="E433" s="119" t="s">
        <v>43</v>
      </c>
      <c r="F433" s="119"/>
      <c r="G433" s="119"/>
      <c r="H433" s="146">
        <f t="shared" si="19"/>
        <v>358.7</v>
      </c>
      <c r="I433" s="146">
        <f>I434</f>
        <v>358.7</v>
      </c>
      <c r="J433" s="146">
        <f>J434</f>
        <v>0</v>
      </c>
      <c r="K433" s="146">
        <f>K434</f>
        <v>0</v>
      </c>
      <c r="L433" s="146">
        <f>L434</f>
        <v>0</v>
      </c>
    </row>
    <row r="434" spans="1:12" ht="12.75">
      <c r="A434" s="121"/>
      <c r="B434" s="115" t="s">
        <v>336</v>
      </c>
      <c r="C434" s="169"/>
      <c r="D434" s="119" t="s">
        <v>46</v>
      </c>
      <c r="E434" s="119" t="s">
        <v>89</v>
      </c>
      <c r="F434" s="120"/>
      <c r="G434" s="120"/>
      <c r="H434" s="146">
        <f t="shared" si="19"/>
        <v>358.7</v>
      </c>
      <c r="I434" s="133">
        <f>I435</f>
        <v>358.7</v>
      </c>
      <c r="J434" s="133"/>
      <c r="K434" s="133"/>
      <c r="L434" s="133"/>
    </row>
    <row r="435" spans="1:12" ht="25.5">
      <c r="A435" s="121"/>
      <c r="B435" s="170" t="s">
        <v>436</v>
      </c>
      <c r="C435" s="169"/>
      <c r="D435" s="120" t="s">
        <v>46</v>
      </c>
      <c r="E435" s="120" t="s">
        <v>89</v>
      </c>
      <c r="F435" s="151" t="s">
        <v>437</v>
      </c>
      <c r="G435" s="120"/>
      <c r="H435" s="146">
        <f t="shared" si="19"/>
        <v>358.7</v>
      </c>
      <c r="I435" s="133">
        <f>I436</f>
        <v>358.7</v>
      </c>
      <c r="J435" s="133"/>
      <c r="K435" s="133"/>
      <c r="L435" s="133"/>
    </row>
    <row r="436" spans="1:12" ht="51">
      <c r="A436" s="135"/>
      <c r="B436" s="150" t="s">
        <v>479</v>
      </c>
      <c r="C436" s="169"/>
      <c r="D436" s="120" t="s">
        <v>46</v>
      </c>
      <c r="E436" s="120" t="s">
        <v>89</v>
      </c>
      <c r="F436" s="151" t="s">
        <v>480</v>
      </c>
      <c r="G436" s="120"/>
      <c r="H436" s="146">
        <f t="shared" si="19"/>
        <v>358.7</v>
      </c>
      <c r="I436" s="133">
        <f>I437</f>
        <v>358.7</v>
      </c>
      <c r="J436" s="133"/>
      <c r="K436" s="133"/>
      <c r="L436" s="133"/>
    </row>
    <row r="437" spans="1:12" ht="25.5">
      <c r="A437" s="121"/>
      <c r="B437" s="136" t="s">
        <v>117</v>
      </c>
      <c r="C437" s="169"/>
      <c r="D437" s="120" t="s">
        <v>46</v>
      </c>
      <c r="E437" s="120" t="s">
        <v>89</v>
      </c>
      <c r="F437" s="151" t="s">
        <v>480</v>
      </c>
      <c r="G437" s="120" t="s">
        <v>32</v>
      </c>
      <c r="H437" s="146">
        <f t="shared" si="19"/>
        <v>358.7</v>
      </c>
      <c r="I437" s="133">
        <v>358.7</v>
      </c>
      <c r="J437" s="133"/>
      <c r="K437" s="133"/>
      <c r="L437" s="133"/>
    </row>
    <row r="438" spans="1:12" ht="12.75">
      <c r="A438" s="121"/>
      <c r="B438" s="133" t="s">
        <v>63</v>
      </c>
      <c r="C438" s="123"/>
      <c r="D438" s="119" t="s">
        <v>47</v>
      </c>
      <c r="E438" s="119" t="s">
        <v>43</v>
      </c>
      <c r="F438" s="120"/>
      <c r="G438" s="120"/>
      <c r="H438" s="146">
        <f t="shared" si="14"/>
        <v>244272</v>
      </c>
      <c r="I438" s="146">
        <f>I439+I452+I459+I471</f>
        <v>144074.4</v>
      </c>
      <c r="J438" s="146">
        <f>J439+J452+J459+J471</f>
        <v>0</v>
      </c>
      <c r="K438" s="146">
        <f>K439+K452+K459+K471</f>
        <v>100097.59999999999</v>
      </c>
      <c r="L438" s="146">
        <f>L439+L452+L459+L471</f>
        <v>100</v>
      </c>
    </row>
    <row r="439" spans="1:12" ht="12.75">
      <c r="A439" s="121"/>
      <c r="B439" s="133" t="s">
        <v>65</v>
      </c>
      <c r="C439" s="123"/>
      <c r="D439" s="119" t="s">
        <v>47</v>
      </c>
      <c r="E439" s="119" t="s">
        <v>42</v>
      </c>
      <c r="F439" s="120"/>
      <c r="G439" s="120"/>
      <c r="H439" s="146">
        <f t="shared" si="14"/>
        <v>122190.49999999999</v>
      </c>
      <c r="I439" s="133">
        <f>I440+I447+I450</f>
        <v>22333.2</v>
      </c>
      <c r="J439" s="133">
        <f>J440+J447+J450</f>
        <v>0</v>
      </c>
      <c r="K439" s="133">
        <f>K440+K447+K450</f>
        <v>99857.29999999999</v>
      </c>
      <c r="L439" s="133">
        <f>L440+L447+L450</f>
        <v>0</v>
      </c>
    </row>
    <row r="440" spans="1:12" ht="63.75">
      <c r="A440" s="121"/>
      <c r="B440" s="123" t="s">
        <v>293</v>
      </c>
      <c r="C440" s="123"/>
      <c r="D440" s="120" t="s">
        <v>47</v>
      </c>
      <c r="E440" s="120" t="s">
        <v>42</v>
      </c>
      <c r="F440" s="120" t="s">
        <v>294</v>
      </c>
      <c r="G440" s="120"/>
      <c r="H440" s="146">
        <f t="shared" si="14"/>
        <v>106957.29999999999</v>
      </c>
      <c r="I440" s="133">
        <f>I441+I444</f>
        <v>10100</v>
      </c>
      <c r="J440" s="133"/>
      <c r="K440" s="133">
        <f>K441+K444</f>
        <v>96857.29999999999</v>
      </c>
      <c r="L440" s="133"/>
    </row>
    <row r="441" spans="1:12" ht="114.75" customHeight="1">
      <c r="A441" s="121"/>
      <c r="B441" s="123" t="s">
        <v>308</v>
      </c>
      <c r="C441" s="123"/>
      <c r="D441" s="120" t="s">
        <v>47</v>
      </c>
      <c r="E441" s="120" t="s">
        <v>42</v>
      </c>
      <c r="F441" s="120" t="s">
        <v>309</v>
      </c>
      <c r="G441" s="120"/>
      <c r="H441" s="146">
        <f t="shared" si="14"/>
        <v>77310.2</v>
      </c>
      <c r="I441" s="133"/>
      <c r="J441" s="133"/>
      <c r="K441" s="133">
        <f>K442</f>
        <v>77310.2</v>
      </c>
      <c r="L441" s="133"/>
    </row>
    <row r="442" spans="1:12" ht="89.25" customHeight="1">
      <c r="A442" s="121"/>
      <c r="B442" s="123" t="s">
        <v>310</v>
      </c>
      <c r="C442" s="123"/>
      <c r="D442" s="120" t="s">
        <v>47</v>
      </c>
      <c r="E442" s="120" t="s">
        <v>42</v>
      </c>
      <c r="F442" s="120" t="s">
        <v>311</v>
      </c>
      <c r="G442" s="120"/>
      <c r="H442" s="146">
        <f t="shared" si="14"/>
        <v>77310.2</v>
      </c>
      <c r="I442" s="133"/>
      <c r="J442" s="133"/>
      <c r="K442" s="133">
        <f>K443</f>
        <v>77310.2</v>
      </c>
      <c r="L442" s="133"/>
    </row>
    <row r="443" spans="1:12" ht="12.75">
      <c r="A443" s="121"/>
      <c r="B443" s="133" t="s">
        <v>188</v>
      </c>
      <c r="C443" s="123"/>
      <c r="D443" s="120" t="s">
        <v>47</v>
      </c>
      <c r="E443" s="120" t="s">
        <v>42</v>
      </c>
      <c r="F443" s="120" t="s">
        <v>311</v>
      </c>
      <c r="G443" s="120" t="s">
        <v>189</v>
      </c>
      <c r="H443" s="146">
        <f t="shared" si="14"/>
        <v>77310.2</v>
      </c>
      <c r="I443" s="133"/>
      <c r="J443" s="133"/>
      <c r="K443" s="142">
        <f>90967-13656.8</f>
        <v>77310.2</v>
      </c>
      <c r="L443" s="133"/>
    </row>
    <row r="444" spans="1:12" ht="76.5">
      <c r="A444" s="121"/>
      <c r="B444" s="123" t="s">
        <v>295</v>
      </c>
      <c r="C444" s="123"/>
      <c r="D444" s="120" t="s">
        <v>47</v>
      </c>
      <c r="E444" s="120" t="s">
        <v>42</v>
      </c>
      <c r="F444" s="120" t="s">
        <v>296</v>
      </c>
      <c r="G444" s="120"/>
      <c r="H444" s="146">
        <f t="shared" si="14"/>
        <v>29647.1</v>
      </c>
      <c r="I444" s="133">
        <f>I445</f>
        <v>10100</v>
      </c>
      <c r="J444" s="133"/>
      <c r="K444" s="133">
        <f>K445</f>
        <v>19547.1</v>
      </c>
      <c r="L444" s="133"/>
    </row>
    <row r="445" spans="1:12" ht="51">
      <c r="A445" s="121"/>
      <c r="B445" s="123" t="s">
        <v>297</v>
      </c>
      <c r="C445" s="123"/>
      <c r="D445" s="120" t="s">
        <v>47</v>
      </c>
      <c r="E445" s="120" t="s">
        <v>42</v>
      </c>
      <c r="F445" s="120" t="s">
        <v>298</v>
      </c>
      <c r="G445" s="120"/>
      <c r="H445" s="146">
        <f t="shared" si="14"/>
        <v>29647.1</v>
      </c>
      <c r="I445" s="133">
        <f>I446</f>
        <v>10100</v>
      </c>
      <c r="J445" s="133"/>
      <c r="K445" s="133">
        <f>K446</f>
        <v>19547.1</v>
      </c>
      <c r="L445" s="133"/>
    </row>
    <row r="446" spans="1:12" ht="12.75">
      <c r="A446" s="121"/>
      <c r="B446" s="133" t="s">
        <v>188</v>
      </c>
      <c r="C446" s="123"/>
      <c r="D446" s="120" t="s">
        <v>47</v>
      </c>
      <c r="E446" s="120" t="s">
        <v>42</v>
      </c>
      <c r="F446" s="120" t="s">
        <v>298</v>
      </c>
      <c r="G446" s="120" t="s">
        <v>189</v>
      </c>
      <c r="H446" s="146">
        <f t="shared" si="14"/>
        <v>29647.1</v>
      </c>
      <c r="I446" s="133">
        <f>12500-2400</f>
        <v>10100</v>
      </c>
      <c r="J446" s="133"/>
      <c r="K446" s="133">
        <f>23000-3452.9</f>
        <v>19547.1</v>
      </c>
      <c r="L446" s="133"/>
    </row>
    <row r="447" spans="1:12" ht="12.75">
      <c r="A447" s="121"/>
      <c r="B447" s="133" t="s">
        <v>186</v>
      </c>
      <c r="C447" s="123"/>
      <c r="D447" s="120" t="s">
        <v>47</v>
      </c>
      <c r="E447" s="120" t="s">
        <v>42</v>
      </c>
      <c r="F447" s="120" t="s">
        <v>187</v>
      </c>
      <c r="G447" s="120"/>
      <c r="H447" s="146">
        <f t="shared" si="14"/>
        <v>9738</v>
      </c>
      <c r="I447" s="133">
        <f>I448</f>
        <v>6738</v>
      </c>
      <c r="J447" s="133"/>
      <c r="K447" s="133">
        <f>K448</f>
        <v>3000</v>
      </c>
      <c r="L447" s="133"/>
    </row>
    <row r="448" spans="1:12" ht="25.5">
      <c r="A448" s="190"/>
      <c r="B448" s="191" t="s">
        <v>290</v>
      </c>
      <c r="C448" s="199"/>
      <c r="D448" s="188" t="s">
        <v>47</v>
      </c>
      <c r="E448" s="188" t="s">
        <v>42</v>
      </c>
      <c r="F448" s="188" t="s">
        <v>291</v>
      </c>
      <c r="G448" s="188"/>
      <c r="H448" s="189">
        <f t="shared" si="14"/>
        <v>9738</v>
      </c>
      <c r="I448" s="192">
        <f>I449</f>
        <v>6738</v>
      </c>
      <c r="J448" s="192"/>
      <c r="K448" s="192">
        <f>K449</f>
        <v>3000</v>
      </c>
      <c r="L448" s="192"/>
    </row>
    <row r="449" spans="1:12" ht="25.5">
      <c r="A449" s="121"/>
      <c r="B449" s="123" t="s">
        <v>117</v>
      </c>
      <c r="C449" s="169"/>
      <c r="D449" s="120" t="s">
        <v>47</v>
      </c>
      <c r="E449" s="120" t="s">
        <v>42</v>
      </c>
      <c r="F449" s="120" t="s">
        <v>291</v>
      </c>
      <c r="G449" s="120" t="s">
        <v>32</v>
      </c>
      <c r="H449" s="146">
        <f t="shared" si="14"/>
        <v>9738</v>
      </c>
      <c r="I449" s="133">
        <f>1560+500+190.6+34.6+1970+2400-517.2+100+500</f>
        <v>6738</v>
      </c>
      <c r="J449" s="133"/>
      <c r="K449" s="133">
        <f>1000+2000</f>
        <v>3000</v>
      </c>
      <c r="L449" s="133"/>
    </row>
    <row r="450" spans="1:12" ht="25.5">
      <c r="A450" s="121"/>
      <c r="B450" s="123" t="s">
        <v>109</v>
      </c>
      <c r="C450" s="169"/>
      <c r="D450" s="120" t="s">
        <v>47</v>
      </c>
      <c r="E450" s="120" t="s">
        <v>42</v>
      </c>
      <c r="F450" s="120" t="s">
        <v>110</v>
      </c>
      <c r="G450" s="120"/>
      <c r="H450" s="146">
        <f>I450+J450+K450+L450</f>
        <v>5495.2</v>
      </c>
      <c r="I450" s="133">
        <f>I451</f>
        <v>5495.2</v>
      </c>
      <c r="J450" s="133"/>
      <c r="K450" s="133"/>
      <c r="L450" s="133"/>
    </row>
    <row r="451" spans="1:12" ht="25.5">
      <c r="A451" s="121"/>
      <c r="B451" s="123" t="s">
        <v>117</v>
      </c>
      <c r="C451" s="169"/>
      <c r="D451" s="120" t="s">
        <v>47</v>
      </c>
      <c r="E451" s="120" t="s">
        <v>42</v>
      </c>
      <c r="F451" s="120" t="s">
        <v>110</v>
      </c>
      <c r="G451" s="120" t="s">
        <v>32</v>
      </c>
      <c r="H451" s="146">
        <f>I451+J451+K451+L451</f>
        <v>5495.2</v>
      </c>
      <c r="I451" s="133">
        <f>5000+495.2</f>
        <v>5495.2</v>
      </c>
      <c r="J451" s="133"/>
      <c r="K451" s="133"/>
      <c r="L451" s="133"/>
    </row>
    <row r="452" spans="1:12" ht="12.75">
      <c r="A452" s="121"/>
      <c r="B452" s="133" t="s">
        <v>67</v>
      </c>
      <c r="C452" s="123"/>
      <c r="D452" s="119" t="s">
        <v>47</v>
      </c>
      <c r="E452" s="119" t="s">
        <v>44</v>
      </c>
      <c r="F452" s="120"/>
      <c r="G452" s="120"/>
      <c r="H452" s="146">
        <f t="shared" si="14"/>
        <v>10546.8</v>
      </c>
      <c r="I452" s="133">
        <f>I453+I456</f>
        <v>10510</v>
      </c>
      <c r="J452" s="133">
        <f>J453+J456</f>
        <v>0</v>
      </c>
      <c r="K452" s="133">
        <f>K453+K456</f>
        <v>36.8</v>
      </c>
      <c r="L452" s="133">
        <f>L453+L456</f>
        <v>0</v>
      </c>
    </row>
    <row r="453" spans="1:12" ht="25.5">
      <c r="A453" s="121"/>
      <c r="B453" s="123" t="s">
        <v>190</v>
      </c>
      <c r="C453" s="123"/>
      <c r="D453" s="120" t="s">
        <v>47</v>
      </c>
      <c r="E453" s="120" t="s">
        <v>44</v>
      </c>
      <c r="F453" s="120" t="s">
        <v>191</v>
      </c>
      <c r="G453" s="120"/>
      <c r="H453" s="146">
        <f t="shared" si="14"/>
        <v>10510</v>
      </c>
      <c r="I453" s="133">
        <f>I454</f>
        <v>10510</v>
      </c>
      <c r="J453" s="133"/>
      <c r="K453" s="133"/>
      <c r="L453" s="133"/>
    </row>
    <row r="454" spans="1:12" ht="63" customHeight="1">
      <c r="A454" s="121"/>
      <c r="B454" s="123" t="s">
        <v>193</v>
      </c>
      <c r="C454" s="123"/>
      <c r="D454" s="120" t="s">
        <v>47</v>
      </c>
      <c r="E454" s="120" t="s">
        <v>44</v>
      </c>
      <c r="F454" s="120" t="s">
        <v>192</v>
      </c>
      <c r="G454" s="120"/>
      <c r="H454" s="146">
        <f t="shared" si="14"/>
        <v>10510</v>
      </c>
      <c r="I454" s="133">
        <f>I455</f>
        <v>10510</v>
      </c>
      <c r="J454" s="133"/>
      <c r="K454" s="133"/>
      <c r="L454" s="133"/>
    </row>
    <row r="455" spans="1:12" ht="12.75">
      <c r="A455" s="121"/>
      <c r="B455" s="133" t="s">
        <v>188</v>
      </c>
      <c r="C455" s="123"/>
      <c r="D455" s="120" t="s">
        <v>47</v>
      </c>
      <c r="E455" s="120" t="s">
        <v>44</v>
      </c>
      <c r="F455" s="120" t="s">
        <v>192</v>
      </c>
      <c r="G455" s="120" t="s">
        <v>189</v>
      </c>
      <c r="H455" s="146">
        <f t="shared" si="14"/>
        <v>10510</v>
      </c>
      <c r="I455" s="133">
        <v>10510</v>
      </c>
      <c r="J455" s="133"/>
      <c r="K455" s="133"/>
      <c r="L455" s="133"/>
    </row>
    <row r="456" spans="1:12" ht="12.75">
      <c r="A456" s="121"/>
      <c r="B456" s="133" t="s">
        <v>175</v>
      </c>
      <c r="C456" s="133"/>
      <c r="D456" s="120" t="s">
        <v>47</v>
      </c>
      <c r="E456" s="120" t="s">
        <v>44</v>
      </c>
      <c r="F456" s="120" t="s">
        <v>176</v>
      </c>
      <c r="G456" s="119"/>
      <c r="H456" s="146">
        <f t="shared" si="14"/>
        <v>36.8</v>
      </c>
      <c r="I456" s="133">
        <f aca="true" t="shared" si="20" ref="I456:K457">I457</f>
        <v>0</v>
      </c>
      <c r="J456" s="133">
        <f t="shared" si="20"/>
        <v>0</v>
      </c>
      <c r="K456" s="133">
        <f t="shared" si="20"/>
        <v>36.8</v>
      </c>
      <c r="L456" s="133"/>
    </row>
    <row r="457" spans="1:12" ht="12.75">
      <c r="A457" s="121"/>
      <c r="B457" s="133" t="s">
        <v>188</v>
      </c>
      <c r="C457" s="133"/>
      <c r="D457" s="120" t="s">
        <v>47</v>
      </c>
      <c r="E457" s="120" t="s">
        <v>44</v>
      </c>
      <c r="F457" s="120" t="s">
        <v>176</v>
      </c>
      <c r="G457" s="120" t="s">
        <v>189</v>
      </c>
      <c r="H457" s="146">
        <f t="shared" si="14"/>
        <v>36.8</v>
      </c>
      <c r="I457" s="133">
        <f t="shared" si="20"/>
        <v>0</v>
      </c>
      <c r="J457" s="133">
        <f t="shared" si="20"/>
        <v>0</v>
      </c>
      <c r="K457" s="133">
        <f t="shared" si="20"/>
        <v>36.8</v>
      </c>
      <c r="L457" s="133"/>
    </row>
    <row r="458" spans="1:12" ht="63.75">
      <c r="A458" s="121"/>
      <c r="B458" s="123" t="s">
        <v>416</v>
      </c>
      <c r="C458" s="133"/>
      <c r="D458" s="120" t="s">
        <v>47</v>
      </c>
      <c r="E458" s="120" t="s">
        <v>44</v>
      </c>
      <c r="F458" s="120" t="s">
        <v>417</v>
      </c>
      <c r="G458" s="120" t="s">
        <v>189</v>
      </c>
      <c r="H458" s="146">
        <f t="shared" si="14"/>
        <v>36.8</v>
      </c>
      <c r="I458" s="133"/>
      <c r="J458" s="133"/>
      <c r="K458" s="133">
        <v>36.8</v>
      </c>
      <c r="L458" s="133"/>
    </row>
    <row r="459" spans="1:12" ht="12.75">
      <c r="A459" s="121"/>
      <c r="B459" s="133" t="s">
        <v>194</v>
      </c>
      <c r="C459" s="123"/>
      <c r="D459" s="119" t="s">
        <v>47</v>
      </c>
      <c r="E459" s="119" t="s">
        <v>45</v>
      </c>
      <c r="F459" s="120"/>
      <c r="G459" s="120"/>
      <c r="H459" s="146">
        <f t="shared" si="14"/>
        <v>86954.1</v>
      </c>
      <c r="I459" s="133">
        <f>I460</f>
        <v>86854.1</v>
      </c>
      <c r="J459" s="133">
        <f>J460</f>
        <v>0</v>
      </c>
      <c r="K459" s="133">
        <f>K460</f>
        <v>0</v>
      </c>
      <c r="L459" s="133">
        <f>L460</f>
        <v>100</v>
      </c>
    </row>
    <row r="460" spans="1:12" ht="12.75">
      <c r="A460" s="121"/>
      <c r="B460" s="133" t="s">
        <v>194</v>
      </c>
      <c r="C460" s="123"/>
      <c r="D460" s="120" t="s">
        <v>47</v>
      </c>
      <c r="E460" s="120" t="s">
        <v>45</v>
      </c>
      <c r="F460" s="120" t="s">
        <v>195</v>
      </c>
      <c r="G460" s="120"/>
      <c r="H460" s="146">
        <f t="shared" si="14"/>
        <v>86954.1</v>
      </c>
      <c r="I460" s="133">
        <f>I461+I463+I465+I467+I469</f>
        <v>86854.1</v>
      </c>
      <c r="J460" s="133">
        <f>J461+J463+J465+J467+J469</f>
        <v>0</v>
      </c>
      <c r="K460" s="133">
        <f>K461+K463+K465+K467+K469</f>
        <v>0</v>
      </c>
      <c r="L460" s="133">
        <f>L461+L463+L465+L467+L469</f>
        <v>100</v>
      </c>
    </row>
    <row r="461" spans="1:12" ht="12.75">
      <c r="A461" s="121"/>
      <c r="B461" s="133" t="s">
        <v>196</v>
      </c>
      <c r="C461" s="123"/>
      <c r="D461" s="120" t="s">
        <v>47</v>
      </c>
      <c r="E461" s="120" t="s">
        <v>45</v>
      </c>
      <c r="F461" s="120" t="s">
        <v>197</v>
      </c>
      <c r="G461" s="120"/>
      <c r="H461" s="146">
        <f t="shared" si="14"/>
        <v>15301.1</v>
      </c>
      <c r="I461" s="133">
        <f>I462</f>
        <v>15301.1</v>
      </c>
      <c r="J461" s="133"/>
      <c r="K461" s="133"/>
      <c r="L461" s="133"/>
    </row>
    <row r="462" spans="1:12" ht="25.5">
      <c r="A462" s="121"/>
      <c r="B462" s="123" t="s">
        <v>117</v>
      </c>
      <c r="C462" s="123"/>
      <c r="D462" s="120" t="s">
        <v>47</v>
      </c>
      <c r="E462" s="120" t="s">
        <v>45</v>
      </c>
      <c r="F462" s="120" t="s">
        <v>197</v>
      </c>
      <c r="G462" s="120" t="s">
        <v>32</v>
      </c>
      <c r="H462" s="146">
        <f t="shared" si="14"/>
        <v>15301.1</v>
      </c>
      <c r="I462" s="133">
        <f>7446+8095-239.9</f>
        <v>15301.1</v>
      </c>
      <c r="J462" s="133"/>
      <c r="K462" s="133"/>
      <c r="L462" s="133"/>
    </row>
    <row r="463" spans="1:12" ht="63.75">
      <c r="A463" s="190"/>
      <c r="B463" s="191" t="s">
        <v>198</v>
      </c>
      <c r="C463" s="191"/>
      <c r="D463" s="188" t="s">
        <v>47</v>
      </c>
      <c r="E463" s="188" t="s">
        <v>45</v>
      </c>
      <c r="F463" s="188" t="s">
        <v>199</v>
      </c>
      <c r="G463" s="188"/>
      <c r="H463" s="189">
        <f t="shared" si="14"/>
        <v>45751</v>
      </c>
      <c r="I463" s="192">
        <f>I464</f>
        <v>45751</v>
      </c>
      <c r="J463" s="192"/>
      <c r="K463" s="192"/>
      <c r="L463" s="192"/>
    </row>
    <row r="464" spans="1:12" ht="25.5">
      <c r="A464" s="121"/>
      <c r="B464" s="123" t="s">
        <v>117</v>
      </c>
      <c r="C464" s="123"/>
      <c r="D464" s="120" t="s">
        <v>47</v>
      </c>
      <c r="E464" s="120" t="s">
        <v>45</v>
      </c>
      <c r="F464" s="120" t="s">
        <v>199</v>
      </c>
      <c r="G464" s="120" t="s">
        <v>32</v>
      </c>
      <c r="H464" s="146">
        <f t="shared" si="14"/>
        <v>45751</v>
      </c>
      <c r="I464" s="133">
        <f>38751+5000+2000</f>
        <v>45751</v>
      </c>
      <c r="J464" s="133"/>
      <c r="K464" s="133"/>
      <c r="L464" s="133"/>
    </row>
    <row r="465" spans="1:12" ht="12.75">
      <c r="A465" s="121"/>
      <c r="B465" s="133" t="s">
        <v>200</v>
      </c>
      <c r="C465" s="123"/>
      <c r="D465" s="120" t="s">
        <v>47</v>
      </c>
      <c r="E465" s="120" t="s">
        <v>45</v>
      </c>
      <c r="F465" s="120" t="s">
        <v>201</v>
      </c>
      <c r="G465" s="120"/>
      <c r="H465" s="146">
        <f t="shared" si="14"/>
        <v>6788</v>
      </c>
      <c r="I465" s="133">
        <f>I466</f>
        <v>6788</v>
      </c>
      <c r="J465" s="133"/>
      <c r="K465" s="133"/>
      <c r="L465" s="133"/>
    </row>
    <row r="466" spans="1:12" ht="25.5">
      <c r="A466" s="121"/>
      <c r="B466" s="123" t="s">
        <v>117</v>
      </c>
      <c r="C466" s="123"/>
      <c r="D466" s="120" t="s">
        <v>47</v>
      </c>
      <c r="E466" s="120" t="s">
        <v>45</v>
      </c>
      <c r="F466" s="120" t="s">
        <v>201</v>
      </c>
      <c r="G466" s="120" t="s">
        <v>32</v>
      </c>
      <c r="H466" s="146">
        <f t="shared" si="14"/>
        <v>6788</v>
      </c>
      <c r="I466" s="133">
        <v>6788</v>
      </c>
      <c r="J466" s="133"/>
      <c r="K466" s="133"/>
      <c r="L466" s="133"/>
    </row>
    <row r="467" spans="1:12" ht="25.5">
      <c r="A467" s="121"/>
      <c r="B467" s="123" t="s">
        <v>299</v>
      </c>
      <c r="C467" s="123"/>
      <c r="D467" s="120" t="s">
        <v>47</v>
      </c>
      <c r="E467" s="120" t="s">
        <v>45</v>
      </c>
      <c r="F467" s="120" t="s">
        <v>300</v>
      </c>
      <c r="G467" s="120"/>
      <c r="H467" s="146">
        <f t="shared" si="14"/>
        <v>2435</v>
      </c>
      <c r="I467" s="133">
        <f>I468</f>
        <v>2435</v>
      </c>
      <c r="J467" s="133"/>
      <c r="K467" s="133"/>
      <c r="L467" s="133"/>
    </row>
    <row r="468" spans="1:12" ht="25.5">
      <c r="A468" s="121"/>
      <c r="B468" s="123" t="s">
        <v>117</v>
      </c>
      <c r="C468" s="123"/>
      <c r="D468" s="120" t="s">
        <v>47</v>
      </c>
      <c r="E468" s="120" t="s">
        <v>45</v>
      </c>
      <c r="F468" s="120" t="s">
        <v>300</v>
      </c>
      <c r="G468" s="120" t="s">
        <v>32</v>
      </c>
      <c r="H468" s="146">
        <f t="shared" si="14"/>
        <v>2435</v>
      </c>
      <c r="I468" s="133">
        <v>2435</v>
      </c>
      <c r="J468" s="133"/>
      <c r="K468" s="133"/>
      <c r="L468" s="133"/>
    </row>
    <row r="469" spans="1:12" ht="38.25">
      <c r="A469" s="190"/>
      <c r="B469" s="191" t="s">
        <v>202</v>
      </c>
      <c r="C469" s="191"/>
      <c r="D469" s="188" t="s">
        <v>47</v>
      </c>
      <c r="E469" s="188" t="s">
        <v>45</v>
      </c>
      <c r="F469" s="188" t="s">
        <v>203</v>
      </c>
      <c r="G469" s="188"/>
      <c r="H469" s="189">
        <f t="shared" si="14"/>
        <v>16679</v>
      </c>
      <c r="I469" s="192">
        <f>I470</f>
        <v>16579</v>
      </c>
      <c r="J469" s="192">
        <f>J470</f>
        <v>0</v>
      </c>
      <c r="K469" s="192">
        <f>K470</f>
        <v>0</v>
      </c>
      <c r="L469" s="192">
        <f>L470</f>
        <v>100</v>
      </c>
    </row>
    <row r="470" spans="1:12" ht="25.5">
      <c r="A470" s="121"/>
      <c r="B470" s="123" t="s">
        <v>117</v>
      </c>
      <c r="C470" s="123"/>
      <c r="D470" s="120" t="s">
        <v>47</v>
      </c>
      <c r="E470" s="120" t="s">
        <v>45</v>
      </c>
      <c r="F470" s="120" t="s">
        <v>203</v>
      </c>
      <c r="G470" s="120" t="s">
        <v>32</v>
      </c>
      <c r="H470" s="146">
        <f t="shared" si="14"/>
        <v>16679</v>
      </c>
      <c r="I470" s="133">
        <f>26+6496+4307+71+1080+364+197+501+15+1000+22+500+2000</f>
        <v>16579</v>
      </c>
      <c r="J470" s="133"/>
      <c r="K470" s="133"/>
      <c r="L470" s="133">
        <v>100</v>
      </c>
    </row>
    <row r="471" spans="1:12" ht="24.75" customHeight="1">
      <c r="A471" s="121"/>
      <c r="B471" s="123" t="s">
        <v>69</v>
      </c>
      <c r="C471" s="123"/>
      <c r="D471" s="119" t="s">
        <v>47</v>
      </c>
      <c r="E471" s="119" t="s">
        <v>47</v>
      </c>
      <c r="F471" s="120"/>
      <c r="G471" s="120"/>
      <c r="H471" s="146">
        <f t="shared" si="14"/>
        <v>24580.6</v>
      </c>
      <c r="I471" s="133">
        <f>I472+I475</f>
        <v>24377.1</v>
      </c>
      <c r="J471" s="133"/>
      <c r="K471" s="133">
        <f>K472+K475</f>
        <v>203.5</v>
      </c>
      <c r="L471" s="133"/>
    </row>
    <row r="472" spans="1:12" ht="63.75">
      <c r="A472" s="121"/>
      <c r="B472" s="123" t="s">
        <v>113</v>
      </c>
      <c r="C472" s="123"/>
      <c r="D472" s="120" t="s">
        <v>47</v>
      </c>
      <c r="E472" s="120" t="s">
        <v>47</v>
      </c>
      <c r="F472" s="120" t="s">
        <v>114</v>
      </c>
      <c r="G472" s="120"/>
      <c r="H472" s="146">
        <f t="shared" si="14"/>
        <v>14314.8</v>
      </c>
      <c r="I472" s="133">
        <f>I473</f>
        <v>14314.8</v>
      </c>
      <c r="J472" s="133"/>
      <c r="K472" s="133"/>
      <c r="L472" s="133"/>
    </row>
    <row r="473" spans="1:12" ht="12.75">
      <c r="A473" s="121"/>
      <c r="B473" s="133" t="s">
        <v>115</v>
      </c>
      <c r="C473" s="123"/>
      <c r="D473" s="120" t="s">
        <v>47</v>
      </c>
      <c r="E473" s="120" t="s">
        <v>47</v>
      </c>
      <c r="F473" s="120" t="s">
        <v>116</v>
      </c>
      <c r="G473" s="120"/>
      <c r="H473" s="146">
        <f t="shared" si="14"/>
        <v>14314.8</v>
      </c>
      <c r="I473" s="133">
        <f>I474</f>
        <v>14314.8</v>
      </c>
      <c r="J473" s="133"/>
      <c r="K473" s="133"/>
      <c r="L473" s="133"/>
    </row>
    <row r="474" spans="1:12" ht="25.5">
      <c r="A474" s="121"/>
      <c r="B474" s="123" t="s">
        <v>117</v>
      </c>
      <c r="C474" s="123"/>
      <c r="D474" s="120" t="s">
        <v>47</v>
      </c>
      <c r="E474" s="120" t="s">
        <v>47</v>
      </c>
      <c r="F474" s="120" t="s">
        <v>116</v>
      </c>
      <c r="G474" s="120" t="s">
        <v>32</v>
      </c>
      <c r="H474" s="146">
        <f t="shared" si="14"/>
        <v>14314.8</v>
      </c>
      <c r="I474" s="133">
        <f>15478+26-178.4+239.9-1250.7</f>
        <v>14314.8</v>
      </c>
      <c r="J474" s="133"/>
      <c r="K474" s="133"/>
      <c r="L474" s="133"/>
    </row>
    <row r="475" spans="1:12" ht="25.5">
      <c r="A475" s="121"/>
      <c r="B475" s="123" t="s">
        <v>94</v>
      </c>
      <c r="C475" s="123"/>
      <c r="D475" s="112" t="s">
        <v>47</v>
      </c>
      <c r="E475" s="112" t="s">
        <v>47</v>
      </c>
      <c r="F475" s="112" t="s">
        <v>327</v>
      </c>
      <c r="G475" s="112"/>
      <c r="H475" s="108">
        <f t="shared" si="14"/>
        <v>10265.8</v>
      </c>
      <c r="I475" s="113">
        <f>I476</f>
        <v>10062.3</v>
      </c>
      <c r="J475" s="113"/>
      <c r="K475" s="113">
        <f>K476</f>
        <v>203.5</v>
      </c>
      <c r="L475" s="113"/>
    </row>
    <row r="476" spans="1:12" ht="25.5">
      <c r="A476" s="121"/>
      <c r="B476" s="123" t="s">
        <v>95</v>
      </c>
      <c r="C476" s="123"/>
      <c r="D476" s="112" t="s">
        <v>47</v>
      </c>
      <c r="E476" s="112" t="s">
        <v>47</v>
      </c>
      <c r="F476" s="112" t="s">
        <v>327</v>
      </c>
      <c r="G476" s="112" t="s">
        <v>99</v>
      </c>
      <c r="H476" s="108">
        <f t="shared" si="14"/>
        <v>10265.8</v>
      </c>
      <c r="I476" s="113">
        <f>5952+4080-430+516+7-62.7</f>
        <v>10062.3</v>
      </c>
      <c r="J476" s="113"/>
      <c r="K476" s="113">
        <v>203.5</v>
      </c>
      <c r="L476" s="113"/>
    </row>
    <row r="477" spans="1:12" ht="25.5">
      <c r="A477" s="117" t="s">
        <v>14</v>
      </c>
      <c r="B477" s="124" t="s">
        <v>29</v>
      </c>
      <c r="C477" s="124">
        <v>500</v>
      </c>
      <c r="D477" s="120"/>
      <c r="E477" s="120"/>
      <c r="F477" s="120"/>
      <c r="G477" s="120"/>
      <c r="H477" s="146">
        <f t="shared" si="14"/>
        <v>29125</v>
      </c>
      <c r="I477" s="133">
        <f>I478+I497</f>
        <v>29125</v>
      </c>
      <c r="J477" s="133">
        <f>J478</f>
        <v>0</v>
      </c>
      <c r="K477" s="133">
        <f>K478</f>
        <v>0</v>
      </c>
      <c r="L477" s="133">
        <f>L478</f>
        <v>0</v>
      </c>
    </row>
    <row r="478" spans="1:12" ht="12.75">
      <c r="A478" s="121"/>
      <c r="B478" s="133" t="s">
        <v>41</v>
      </c>
      <c r="C478" s="123"/>
      <c r="D478" s="119" t="s">
        <v>42</v>
      </c>
      <c r="E478" s="119" t="s">
        <v>43</v>
      </c>
      <c r="F478" s="120"/>
      <c r="G478" s="120"/>
      <c r="H478" s="146">
        <f t="shared" si="14"/>
        <v>27721.7</v>
      </c>
      <c r="I478" s="133">
        <f>I479+I483+I487+I491</f>
        <v>27721.7</v>
      </c>
      <c r="J478" s="133">
        <f>J479+J487</f>
        <v>0</v>
      </c>
      <c r="K478" s="133">
        <f>K479+K487</f>
        <v>0</v>
      </c>
      <c r="L478" s="133">
        <f>L479+L487</f>
        <v>0</v>
      </c>
    </row>
    <row r="479" spans="1:12" ht="63.75">
      <c r="A479" s="121"/>
      <c r="B479" s="123" t="s">
        <v>226</v>
      </c>
      <c r="C479" s="123"/>
      <c r="D479" s="119" t="s">
        <v>42</v>
      </c>
      <c r="E479" s="119" t="s">
        <v>48</v>
      </c>
      <c r="F479" s="120"/>
      <c r="G479" s="120"/>
      <c r="H479" s="146">
        <f t="shared" si="14"/>
        <v>21662.7</v>
      </c>
      <c r="I479" s="133">
        <f>I480</f>
        <v>21662.7</v>
      </c>
      <c r="J479" s="133"/>
      <c r="K479" s="133"/>
      <c r="L479" s="133"/>
    </row>
    <row r="480" spans="1:12" ht="63.75">
      <c r="A480" s="121"/>
      <c r="B480" s="123" t="s">
        <v>113</v>
      </c>
      <c r="C480" s="123"/>
      <c r="D480" s="120" t="s">
        <v>42</v>
      </c>
      <c r="E480" s="120" t="s">
        <v>48</v>
      </c>
      <c r="F480" s="120" t="s">
        <v>114</v>
      </c>
      <c r="G480" s="120"/>
      <c r="H480" s="146">
        <f t="shared" si="14"/>
        <v>21662.7</v>
      </c>
      <c r="I480" s="133">
        <f>I481</f>
        <v>21662.7</v>
      </c>
      <c r="J480" s="133"/>
      <c r="K480" s="133"/>
      <c r="L480" s="133"/>
    </row>
    <row r="481" spans="1:12" ht="12.75">
      <c r="A481" s="121"/>
      <c r="B481" s="133" t="s">
        <v>115</v>
      </c>
      <c r="C481" s="123"/>
      <c r="D481" s="120" t="s">
        <v>42</v>
      </c>
      <c r="E481" s="120" t="s">
        <v>48</v>
      </c>
      <c r="F481" s="120" t="s">
        <v>116</v>
      </c>
      <c r="G481" s="120"/>
      <c r="H481" s="146">
        <f t="shared" si="14"/>
        <v>21662.7</v>
      </c>
      <c r="I481" s="133">
        <f>I482</f>
        <v>21662.7</v>
      </c>
      <c r="J481" s="133"/>
      <c r="K481" s="133"/>
      <c r="L481" s="133"/>
    </row>
    <row r="482" spans="1:12" ht="25.5">
      <c r="A482" s="121"/>
      <c r="B482" s="123" t="s">
        <v>117</v>
      </c>
      <c r="C482" s="123"/>
      <c r="D482" s="120" t="s">
        <v>42</v>
      </c>
      <c r="E482" s="120" t="s">
        <v>48</v>
      </c>
      <c r="F482" s="120" t="s">
        <v>116</v>
      </c>
      <c r="G482" s="120" t="s">
        <v>32</v>
      </c>
      <c r="H482" s="146">
        <f t="shared" si="14"/>
        <v>21662.7</v>
      </c>
      <c r="I482" s="133">
        <f>24938-60-3215.3</f>
        <v>21662.7</v>
      </c>
      <c r="J482" s="133"/>
      <c r="K482" s="133"/>
      <c r="L482" s="133"/>
    </row>
    <row r="483" spans="1:12" ht="25.5">
      <c r="A483" s="121"/>
      <c r="B483" s="123" t="s">
        <v>316</v>
      </c>
      <c r="C483" s="123"/>
      <c r="D483" s="119" t="s">
        <v>42</v>
      </c>
      <c r="E483" s="119" t="s">
        <v>317</v>
      </c>
      <c r="F483" s="120"/>
      <c r="G483" s="120"/>
      <c r="H483" s="146">
        <f aca="true" t="shared" si="21" ref="H483:H501">I483+J483+K483+L483</f>
        <v>3000</v>
      </c>
      <c r="I483" s="133">
        <f>I484</f>
        <v>3000</v>
      </c>
      <c r="J483" s="133"/>
      <c r="K483" s="133"/>
      <c r="L483" s="133"/>
    </row>
    <row r="484" spans="1:12" ht="25.5">
      <c r="A484" s="121"/>
      <c r="B484" s="123" t="s">
        <v>320</v>
      </c>
      <c r="C484" s="123"/>
      <c r="D484" s="120" t="s">
        <v>42</v>
      </c>
      <c r="E484" s="120" t="s">
        <v>317</v>
      </c>
      <c r="F484" s="120" t="s">
        <v>321</v>
      </c>
      <c r="G484" s="120"/>
      <c r="H484" s="146">
        <f t="shared" si="21"/>
        <v>3000</v>
      </c>
      <c r="I484" s="133">
        <f>I485</f>
        <v>3000</v>
      </c>
      <c r="J484" s="133"/>
      <c r="K484" s="133"/>
      <c r="L484" s="133"/>
    </row>
    <row r="485" spans="1:12" ht="25.5">
      <c r="A485" s="121"/>
      <c r="B485" s="123" t="s">
        <v>318</v>
      </c>
      <c r="C485" s="123"/>
      <c r="D485" s="120" t="s">
        <v>42</v>
      </c>
      <c r="E485" s="120" t="s">
        <v>317</v>
      </c>
      <c r="F485" s="120" t="s">
        <v>319</v>
      </c>
      <c r="G485" s="120"/>
      <c r="H485" s="146">
        <f t="shared" si="21"/>
        <v>3000</v>
      </c>
      <c r="I485" s="133">
        <f>I486</f>
        <v>3000</v>
      </c>
      <c r="J485" s="133"/>
      <c r="K485" s="133"/>
      <c r="L485" s="133"/>
    </row>
    <row r="486" spans="1:12" ht="12.75">
      <c r="A486" s="121"/>
      <c r="B486" s="123" t="s">
        <v>230</v>
      </c>
      <c r="C486" s="123"/>
      <c r="D486" s="120" t="s">
        <v>42</v>
      </c>
      <c r="E486" s="120" t="s">
        <v>317</v>
      </c>
      <c r="F486" s="120" t="s">
        <v>319</v>
      </c>
      <c r="G486" s="120" t="s">
        <v>231</v>
      </c>
      <c r="H486" s="146">
        <f t="shared" si="21"/>
        <v>3000</v>
      </c>
      <c r="I486" s="133">
        <f>15000-10000-2000</f>
        <v>3000</v>
      </c>
      <c r="J486" s="133"/>
      <c r="K486" s="133"/>
      <c r="L486" s="133"/>
    </row>
    <row r="487" spans="1:12" ht="12.75">
      <c r="A487" s="121"/>
      <c r="B487" s="133" t="s">
        <v>51</v>
      </c>
      <c r="C487" s="123"/>
      <c r="D487" s="119" t="s">
        <v>42</v>
      </c>
      <c r="E487" s="119" t="s">
        <v>227</v>
      </c>
      <c r="F487" s="120"/>
      <c r="G487" s="120"/>
      <c r="H487" s="146">
        <f t="shared" si="21"/>
        <v>1105</v>
      </c>
      <c r="I487" s="133">
        <f>I490</f>
        <v>1105</v>
      </c>
      <c r="J487" s="133"/>
      <c r="K487" s="133"/>
      <c r="L487" s="133"/>
    </row>
    <row r="488" spans="1:12" ht="12.75">
      <c r="A488" s="121"/>
      <c r="B488" s="133" t="s">
        <v>51</v>
      </c>
      <c r="C488" s="123"/>
      <c r="D488" s="120" t="s">
        <v>42</v>
      </c>
      <c r="E488" s="120" t="s">
        <v>227</v>
      </c>
      <c r="F488" s="120" t="s">
        <v>260</v>
      </c>
      <c r="G488" s="120"/>
      <c r="H488" s="146">
        <f t="shared" si="21"/>
        <v>1105</v>
      </c>
      <c r="I488" s="133">
        <f>I489</f>
        <v>1105</v>
      </c>
      <c r="J488" s="133"/>
      <c r="K488" s="133"/>
      <c r="L488" s="133"/>
    </row>
    <row r="489" spans="1:12" ht="25.5">
      <c r="A489" s="121"/>
      <c r="B489" s="123" t="s">
        <v>228</v>
      </c>
      <c r="C489" s="123"/>
      <c r="D489" s="120" t="s">
        <v>42</v>
      </c>
      <c r="E489" s="120" t="s">
        <v>227</v>
      </c>
      <c r="F489" s="120" t="s">
        <v>261</v>
      </c>
      <c r="G489" s="120"/>
      <c r="H489" s="146">
        <f t="shared" si="21"/>
        <v>1105</v>
      </c>
      <c r="I489" s="133">
        <f>I490</f>
        <v>1105</v>
      </c>
      <c r="J489" s="133"/>
      <c r="K489" s="133"/>
      <c r="L489" s="133"/>
    </row>
    <row r="490" spans="1:12" ht="12.75">
      <c r="A490" s="121"/>
      <c r="B490" s="133" t="s">
        <v>230</v>
      </c>
      <c r="C490" s="123"/>
      <c r="D490" s="120" t="s">
        <v>42</v>
      </c>
      <c r="E490" s="120" t="s">
        <v>227</v>
      </c>
      <c r="F490" s="120" t="s">
        <v>261</v>
      </c>
      <c r="G490" s="120" t="s">
        <v>231</v>
      </c>
      <c r="H490" s="146">
        <f t="shared" si="21"/>
        <v>1105</v>
      </c>
      <c r="I490" s="133">
        <f>3000-1000-500-395</f>
        <v>1105</v>
      </c>
      <c r="J490" s="133"/>
      <c r="K490" s="133"/>
      <c r="L490" s="133"/>
    </row>
    <row r="491" spans="1:12" ht="25.5">
      <c r="A491" s="121"/>
      <c r="B491" s="123" t="s">
        <v>52</v>
      </c>
      <c r="C491" s="123"/>
      <c r="D491" s="119" t="s">
        <v>42</v>
      </c>
      <c r="E491" s="119" t="s">
        <v>232</v>
      </c>
      <c r="F491" s="120"/>
      <c r="G491" s="120"/>
      <c r="H491" s="146">
        <f t="shared" si="21"/>
        <v>1954</v>
      </c>
      <c r="I491" s="133">
        <f>I492+I495</f>
        <v>1954</v>
      </c>
      <c r="J491" s="133"/>
      <c r="K491" s="133"/>
      <c r="L491" s="133"/>
    </row>
    <row r="492" spans="1:12" ht="51">
      <c r="A492" s="121"/>
      <c r="B492" s="166" t="s">
        <v>325</v>
      </c>
      <c r="C492" s="123"/>
      <c r="D492" s="120" t="s">
        <v>42</v>
      </c>
      <c r="E492" s="120" t="s">
        <v>232</v>
      </c>
      <c r="F492" s="167" t="s">
        <v>461</v>
      </c>
      <c r="G492" s="120"/>
      <c r="H492" s="146">
        <f t="shared" si="21"/>
        <v>1812</v>
      </c>
      <c r="I492" s="133">
        <f>I493</f>
        <v>1812</v>
      </c>
      <c r="J492" s="133"/>
      <c r="K492" s="133"/>
      <c r="L492" s="133"/>
    </row>
    <row r="493" spans="1:12" ht="25.5">
      <c r="A493" s="121"/>
      <c r="B493" s="150" t="s">
        <v>462</v>
      </c>
      <c r="C493" s="123"/>
      <c r="D493" s="120" t="s">
        <v>42</v>
      </c>
      <c r="E493" s="120" t="s">
        <v>232</v>
      </c>
      <c r="F493" s="167" t="s">
        <v>463</v>
      </c>
      <c r="G493" s="120"/>
      <c r="H493" s="146">
        <f t="shared" si="21"/>
        <v>1812</v>
      </c>
      <c r="I493" s="133">
        <f>I494</f>
        <v>1812</v>
      </c>
      <c r="J493" s="133"/>
      <c r="K493" s="133"/>
      <c r="L493" s="133"/>
    </row>
    <row r="494" spans="1:12" ht="25.5">
      <c r="A494" s="121"/>
      <c r="B494" s="123" t="s">
        <v>117</v>
      </c>
      <c r="C494" s="123"/>
      <c r="D494" s="120" t="s">
        <v>42</v>
      </c>
      <c r="E494" s="120" t="s">
        <v>232</v>
      </c>
      <c r="F494" s="120" t="s">
        <v>463</v>
      </c>
      <c r="G494" s="120" t="s">
        <v>32</v>
      </c>
      <c r="H494" s="146">
        <f t="shared" si="21"/>
        <v>1812</v>
      </c>
      <c r="I494" s="133">
        <v>1812</v>
      </c>
      <c r="J494" s="133"/>
      <c r="K494" s="133"/>
      <c r="L494" s="133"/>
    </row>
    <row r="495" spans="1:12" ht="25.5">
      <c r="A495" s="121"/>
      <c r="B495" s="123" t="s">
        <v>109</v>
      </c>
      <c r="C495" s="165"/>
      <c r="D495" s="120" t="s">
        <v>42</v>
      </c>
      <c r="E495" s="120" t="s">
        <v>232</v>
      </c>
      <c r="F495" s="120" t="s">
        <v>110</v>
      </c>
      <c r="G495" s="120"/>
      <c r="H495" s="146">
        <f t="shared" si="21"/>
        <v>142</v>
      </c>
      <c r="I495" s="133">
        <f>I496</f>
        <v>142</v>
      </c>
      <c r="J495" s="142"/>
      <c r="K495" s="133"/>
      <c r="L495" s="133"/>
    </row>
    <row r="496" spans="1:12" ht="25.5">
      <c r="A496" s="121"/>
      <c r="B496" s="136" t="s">
        <v>117</v>
      </c>
      <c r="C496" s="165"/>
      <c r="D496" s="120" t="s">
        <v>42</v>
      </c>
      <c r="E496" s="120" t="s">
        <v>232</v>
      </c>
      <c r="F496" s="120" t="s">
        <v>110</v>
      </c>
      <c r="G496" s="120" t="s">
        <v>32</v>
      </c>
      <c r="H496" s="146">
        <f t="shared" si="21"/>
        <v>142</v>
      </c>
      <c r="I496" s="133">
        <v>142</v>
      </c>
      <c r="J496" s="142"/>
      <c r="K496" s="133"/>
      <c r="L496" s="133"/>
    </row>
    <row r="497" spans="1:12" ht="12.75">
      <c r="A497" s="121"/>
      <c r="B497" s="133" t="s">
        <v>245</v>
      </c>
      <c r="C497" s="165"/>
      <c r="D497" s="119" t="s">
        <v>46</v>
      </c>
      <c r="E497" s="119" t="s">
        <v>43</v>
      </c>
      <c r="F497" s="119"/>
      <c r="G497" s="119"/>
      <c r="H497" s="146">
        <f t="shared" si="21"/>
        <v>1403.3</v>
      </c>
      <c r="I497" s="146">
        <f>I498</f>
        <v>1403.3</v>
      </c>
      <c r="J497" s="146">
        <f>J498</f>
        <v>0</v>
      </c>
      <c r="K497" s="146">
        <f>K498</f>
        <v>0</v>
      </c>
      <c r="L497" s="146">
        <f>L498</f>
        <v>0</v>
      </c>
    </row>
    <row r="498" spans="1:12" ht="12.75">
      <c r="A498" s="121"/>
      <c r="B498" s="115" t="s">
        <v>336</v>
      </c>
      <c r="C498" s="169"/>
      <c r="D498" s="119" t="s">
        <v>46</v>
      </c>
      <c r="E498" s="119" t="s">
        <v>89</v>
      </c>
      <c r="F498" s="120"/>
      <c r="G498" s="120"/>
      <c r="H498" s="146">
        <f t="shared" si="21"/>
        <v>1403.3</v>
      </c>
      <c r="I498" s="133">
        <f>I499</f>
        <v>1403.3</v>
      </c>
      <c r="J498" s="133"/>
      <c r="K498" s="133"/>
      <c r="L498" s="133"/>
    </row>
    <row r="499" spans="1:12" ht="25.5">
      <c r="A499" s="121"/>
      <c r="B499" s="170" t="s">
        <v>436</v>
      </c>
      <c r="C499" s="169"/>
      <c r="D499" s="120" t="s">
        <v>46</v>
      </c>
      <c r="E499" s="120" t="s">
        <v>89</v>
      </c>
      <c r="F499" s="151" t="s">
        <v>437</v>
      </c>
      <c r="G499" s="120"/>
      <c r="H499" s="146">
        <f t="shared" si="21"/>
        <v>1403.3</v>
      </c>
      <c r="I499" s="133">
        <f>I500</f>
        <v>1403.3</v>
      </c>
      <c r="J499" s="133"/>
      <c r="K499" s="133"/>
      <c r="L499" s="133"/>
    </row>
    <row r="500" spans="1:12" ht="51">
      <c r="A500" s="135"/>
      <c r="B500" s="150" t="s">
        <v>479</v>
      </c>
      <c r="C500" s="169"/>
      <c r="D500" s="120" t="s">
        <v>46</v>
      </c>
      <c r="E500" s="120" t="s">
        <v>89</v>
      </c>
      <c r="F500" s="151" t="s">
        <v>480</v>
      </c>
      <c r="G500" s="120"/>
      <c r="H500" s="146">
        <f t="shared" si="21"/>
        <v>1403.3</v>
      </c>
      <c r="I500" s="133">
        <f>I501</f>
        <v>1403.3</v>
      </c>
      <c r="J500" s="133"/>
      <c r="K500" s="133"/>
      <c r="L500" s="133"/>
    </row>
    <row r="501" spans="1:12" ht="25.5">
      <c r="A501" s="121"/>
      <c r="B501" s="136" t="s">
        <v>117</v>
      </c>
      <c r="C501" s="169"/>
      <c r="D501" s="120" t="s">
        <v>46</v>
      </c>
      <c r="E501" s="120" t="s">
        <v>89</v>
      </c>
      <c r="F501" s="151" t="s">
        <v>480</v>
      </c>
      <c r="G501" s="120" t="s">
        <v>32</v>
      </c>
      <c r="H501" s="146">
        <f t="shared" si="21"/>
        <v>1403.3</v>
      </c>
      <c r="I501" s="133">
        <v>1403.3</v>
      </c>
      <c r="J501" s="133"/>
      <c r="K501" s="133"/>
      <c r="L501" s="133"/>
    </row>
    <row r="502" spans="1:13" ht="13.5" customHeight="1">
      <c r="A502" s="41"/>
      <c r="B502" s="42" t="s">
        <v>0</v>
      </c>
      <c r="C502" s="42"/>
      <c r="D502" s="43"/>
      <c r="E502" s="43"/>
      <c r="F502" s="43"/>
      <c r="G502" s="43"/>
      <c r="H502" s="44">
        <f>H10+H35+H205+H219+H298+H344+H425+H477</f>
        <v>3092046.8</v>
      </c>
      <c r="I502" s="44">
        <f>I10+I35+I205+I219+I298+I344+I425+I477</f>
        <v>1971328.2</v>
      </c>
      <c r="J502" s="44">
        <f>J10+J35+J205+J219+J298+J344+J425+J477</f>
        <v>447759.7</v>
      </c>
      <c r="K502" s="44">
        <f>K10+K35+K205+K219+K298+K344+K425+K477</f>
        <v>648152.9</v>
      </c>
      <c r="L502" s="44">
        <f>L10+L35+L205+L219+L298+L344+L425+L477</f>
        <v>24806</v>
      </c>
      <c r="M502" s="23"/>
    </row>
    <row r="503" spans="1:13" ht="13.5" customHeight="1">
      <c r="A503" s="85"/>
      <c r="B503" s="86"/>
      <c r="C503" s="86"/>
      <c r="D503" s="87"/>
      <c r="E503" s="87"/>
      <c r="F503" s="87"/>
      <c r="G503" s="87"/>
      <c r="H503" s="88"/>
      <c r="I503" s="88"/>
      <c r="J503" s="88"/>
      <c r="K503" s="88"/>
      <c r="L503" s="88"/>
      <c r="M503" s="23"/>
    </row>
    <row r="504" spans="1:12" ht="15.75">
      <c r="A504" s="19"/>
      <c r="B504" s="19"/>
      <c r="C504" s="19"/>
      <c r="D504" s="19"/>
      <c r="E504" s="19"/>
      <c r="F504" s="47"/>
      <c r="G504" s="19"/>
      <c r="H504" s="47"/>
      <c r="I504" s="47"/>
      <c r="J504" s="47"/>
      <c r="K504" s="47"/>
      <c r="L504" s="47"/>
    </row>
    <row r="505" spans="1:12" ht="15.75">
      <c r="A505" s="19"/>
      <c r="B505" s="19"/>
      <c r="C505" s="19"/>
      <c r="D505" s="19"/>
      <c r="E505" s="19"/>
      <c r="F505" s="47"/>
      <c r="G505" s="19"/>
      <c r="H505" s="47"/>
      <c r="I505" s="47"/>
      <c r="J505" s="47"/>
      <c r="K505" s="47"/>
      <c r="L505" s="47"/>
    </row>
    <row r="506" spans="6:12" ht="12.75">
      <c r="F506" s="63"/>
      <c r="G506" s="63"/>
      <c r="H506" s="89"/>
      <c r="I506" s="63"/>
      <c r="J506" s="63"/>
      <c r="K506" s="63"/>
      <c r="L506" s="63"/>
    </row>
    <row r="507" spans="8:12" ht="12.75">
      <c r="H507" s="47"/>
      <c r="I507" s="1"/>
      <c r="J507" s="1"/>
      <c r="K507" s="1"/>
      <c r="L507" s="1"/>
    </row>
    <row r="508" spans="6:12" ht="12.75">
      <c r="F508" s="101"/>
      <c r="H508" s="89"/>
      <c r="I508" s="62"/>
      <c r="J508" s="62"/>
      <c r="K508" s="62"/>
      <c r="L508" s="62"/>
    </row>
    <row r="509" spans="8:12" ht="12.75">
      <c r="H509" s="47"/>
      <c r="I509" s="1"/>
      <c r="J509" s="1"/>
      <c r="K509" s="1"/>
      <c r="L509" s="1"/>
    </row>
    <row r="510" spans="8:12" ht="12.75">
      <c r="H510" s="89"/>
      <c r="I510" s="1"/>
      <c r="J510" s="1"/>
      <c r="K510" s="1"/>
      <c r="L510" s="1"/>
    </row>
    <row r="511" spans="8:12" ht="12.75">
      <c r="H511" s="47"/>
      <c r="I511" s="1"/>
      <c r="J511" s="1"/>
      <c r="K511" s="1"/>
      <c r="L511" s="1"/>
    </row>
    <row r="512" spans="6:12" ht="12.75">
      <c r="F512" s="101"/>
      <c r="H512" s="89"/>
      <c r="I512" s="62"/>
      <c r="J512" s="62"/>
      <c r="K512" s="62"/>
      <c r="L512" s="62"/>
    </row>
    <row r="513" ht="12.75">
      <c r="F513" s="47"/>
    </row>
    <row r="514" spans="6:12" ht="12.75">
      <c r="F514" s="101"/>
      <c r="H514" s="89"/>
      <c r="I514" s="62"/>
      <c r="J514" s="62"/>
      <c r="K514" s="62"/>
      <c r="L514" s="62"/>
    </row>
    <row r="515" spans="6:8" ht="12.75">
      <c r="F515" s="47"/>
      <c r="H515" s="104"/>
    </row>
    <row r="516" spans="6:12" ht="12.75">
      <c r="F516" s="101"/>
      <c r="H516" s="89"/>
      <c r="I516" s="62"/>
      <c r="J516" s="62"/>
      <c r="K516" s="62"/>
      <c r="L516" s="62"/>
    </row>
    <row r="517" spans="6:8" ht="12.75">
      <c r="F517" s="47"/>
      <c r="H517" s="104"/>
    </row>
    <row r="518" spans="6:12" ht="12.75">
      <c r="F518" s="101"/>
      <c r="H518" s="89"/>
      <c r="I518" s="62"/>
      <c r="J518" s="62"/>
      <c r="K518" s="62"/>
      <c r="L518" s="62"/>
    </row>
  </sheetData>
  <sheetProtection/>
  <mergeCells count="2">
    <mergeCell ref="A5:L5"/>
    <mergeCell ref="A6:L6"/>
  </mergeCells>
  <printOptions/>
  <pageMargins left="1.1811023622047245" right="0.5905511811023623" top="0.7874015748031497" bottom="0.7874015748031497" header="0.5118110236220472" footer="0.5118110236220472"/>
  <pageSetup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30"/>
  <sheetViews>
    <sheetView tabSelected="1" zoomScalePageLayoutView="0" workbookViewId="0" topLeftCell="A1">
      <pane xSplit="1" ySplit="7" topLeftCell="B11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124" sqref="B124"/>
    </sheetView>
  </sheetViews>
  <sheetFormatPr defaultColWidth="9.140625" defaultRowHeight="12.75"/>
  <cols>
    <col min="1" max="1" width="3.7109375" style="0" customWidth="1"/>
    <col min="2" max="2" width="67.28125" style="0" customWidth="1"/>
    <col min="3" max="3" width="8.57421875" style="0" customWidth="1"/>
    <col min="4" max="4" width="4.28125" style="0" customWidth="1"/>
    <col min="5" max="5" width="4.57421875" style="0" customWidth="1"/>
    <col min="6" max="6" width="4.7109375" style="0" customWidth="1"/>
    <col min="7" max="7" width="5.00390625" style="0" customWidth="1"/>
    <col min="8" max="8" width="11.28125" style="0" customWidth="1"/>
  </cols>
  <sheetData>
    <row r="1" spans="1:9" ht="12.75">
      <c r="A1" s="1"/>
      <c r="B1" s="16"/>
      <c r="C1" s="16"/>
      <c r="D1" s="228"/>
      <c r="E1" s="228"/>
      <c r="F1" s="228"/>
      <c r="G1" s="228"/>
      <c r="H1" s="228" t="s">
        <v>442</v>
      </c>
      <c r="I1" s="1"/>
    </row>
    <row r="2" spans="1:9" ht="12.75">
      <c r="A2" s="1"/>
      <c r="B2" s="16"/>
      <c r="C2" s="16"/>
      <c r="D2" s="228"/>
      <c r="E2" s="228"/>
      <c r="F2" s="228"/>
      <c r="G2" s="228"/>
      <c r="H2" s="228" t="s">
        <v>27</v>
      </c>
      <c r="I2" s="1"/>
    </row>
    <row r="3" spans="1:9" ht="12.75">
      <c r="A3" s="1"/>
      <c r="B3" s="16"/>
      <c r="C3" s="16"/>
      <c r="D3" s="228"/>
      <c r="E3" s="228"/>
      <c r="F3" s="228"/>
      <c r="G3" s="228"/>
      <c r="H3" s="228" t="s">
        <v>483</v>
      </c>
      <c r="I3" s="1"/>
    </row>
    <row r="4" spans="1:9" ht="12.75">
      <c r="A4" s="1"/>
      <c r="B4" s="16"/>
      <c r="C4" s="16"/>
      <c r="D4" s="228"/>
      <c r="E4" s="228"/>
      <c r="F4" s="228"/>
      <c r="G4" s="228"/>
      <c r="H4" s="228"/>
      <c r="I4" s="1"/>
    </row>
    <row r="5" spans="1:9" ht="15.75">
      <c r="A5" s="229" t="s">
        <v>357</v>
      </c>
      <c r="B5" s="233"/>
      <c r="C5" s="233"/>
      <c r="D5" s="233"/>
      <c r="E5" s="233"/>
      <c r="F5" s="233"/>
      <c r="G5" s="233"/>
      <c r="H5" s="233"/>
      <c r="I5" s="1"/>
    </row>
    <row r="6" spans="1:9" ht="12.75">
      <c r="A6" s="1"/>
      <c r="B6" s="1"/>
      <c r="C6" s="1"/>
      <c r="D6" s="1"/>
      <c r="E6" s="1"/>
      <c r="F6" s="1"/>
      <c r="G6" s="1"/>
      <c r="H6" s="48" t="s">
        <v>24</v>
      </c>
      <c r="I6" s="1"/>
    </row>
    <row r="7" spans="1:9" ht="25.5">
      <c r="A7" s="49" t="s">
        <v>1</v>
      </c>
      <c r="B7" s="5" t="s">
        <v>15</v>
      </c>
      <c r="C7" s="5" t="s">
        <v>21</v>
      </c>
      <c r="D7" s="5" t="s">
        <v>19</v>
      </c>
      <c r="E7" s="5" t="s">
        <v>20</v>
      </c>
      <c r="F7" s="5" t="s">
        <v>22</v>
      </c>
      <c r="G7" s="5" t="s">
        <v>23</v>
      </c>
      <c r="H7" s="50" t="s">
        <v>358</v>
      </c>
      <c r="I7" s="1"/>
    </row>
    <row r="8" spans="1:9" ht="12.75">
      <c r="A8" s="70" t="s">
        <v>2</v>
      </c>
      <c r="B8" s="21" t="s">
        <v>410</v>
      </c>
      <c r="C8" s="10" t="s">
        <v>408</v>
      </c>
      <c r="D8" s="73"/>
      <c r="E8" s="73"/>
      <c r="F8" s="73"/>
      <c r="G8" s="73"/>
      <c r="H8" s="93">
        <f>H9</f>
        <v>44180.2</v>
      </c>
      <c r="I8" s="1"/>
    </row>
    <row r="9" spans="1:9" ht="12.75">
      <c r="A9" s="51"/>
      <c r="B9" s="11" t="s">
        <v>63</v>
      </c>
      <c r="C9" s="12" t="s">
        <v>408</v>
      </c>
      <c r="D9" s="12" t="s">
        <v>47</v>
      </c>
      <c r="E9" s="12"/>
      <c r="F9" s="8"/>
      <c r="G9" s="94"/>
      <c r="H9" s="95">
        <f>H10</f>
        <v>44180.2</v>
      </c>
      <c r="I9" s="1"/>
    </row>
    <row r="10" spans="1:9" ht="12.75">
      <c r="A10" s="51"/>
      <c r="B10" s="11" t="s">
        <v>65</v>
      </c>
      <c r="C10" s="12" t="s">
        <v>408</v>
      </c>
      <c r="D10" s="12" t="s">
        <v>47</v>
      </c>
      <c r="E10" s="12" t="s">
        <v>42</v>
      </c>
      <c r="F10" s="8"/>
      <c r="G10" s="73"/>
      <c r="H10" s="96">
        <f>H11</f>
        <v>44180.2</v>
      </c>
      <c r="I10" s="1"/>
    </row>
    <row r="11" spans="1:9" ht="12.75">
      <c r="A11" s="51"/>
      <c r="B11" s="20" t="s">
        <v>181</v>
      </c>
      <c r="C11" s="12" t="s">
        <v>408</v>
      </c>
      <c r="D11" s="12" t="s">
        <v>47</v>
      </c>
      <c r="E11" s="12" t="s">
        <v>42</v>
      </c>
      <c r="F11" s="12" t="s">
        <v>182</v>
      </c>
      <c r="G11" s="97"/>
      <c r="H11" s="98">
        <f>H12</f>
        <v>44180.2</v>
      </c>
      <c r="I11" s="1"/>
    </row>
    <row r="12" spans="1:9" ht="12.75">
      <c r="A12" s="70"/>
      <c r="B12" s="57" t="s">
        <v>367</v>
      </c>
      <c r="C12" s="12" t="s">
        <v>408</v>
      </c>
      <c r="D12" s="12" t="s">
        <v>47</v>
      </c>
      <c r="E12" s="12" t="s">
        <v>42</v>
      </c>
      <c r="F12" s="12" t="s">
        <v>182</v>
      </c>
      <c r="G12" s="97"/>
      <c r="H12" s="96">
        <f>Лист2!H111</f>
        <v>44180.2</v>
      </c>
      <c r="I12" s="1"/>
    </row>
    <row r="13" spans="1:9" ht="12.75">
      <c r="A13" s="79" t="s">
        <v>5</v>
      </c>
      <c r="B13" s="9" t="s">
        <v>470</v>
      </c>
      <c r="C13" s="10" t="s">
        <v>471</v>
      </c>
      <c r="D13" s="12"/>
      <c r="E13" s="12"/>
      <c r="F13" s="12"/>
      <c r="G13" s="53"/>
      <c r="H13" s="80">
        <f>H14</f>
        <v>450</v>
      </c>
      <c r="I13" s="1"/>
    </row>
    <row r="14" spans="1:9" ht="12.75">
      <c r="A14" s="60"/>
      <c r="B14" s="11" t="s">
        <v>71</v>
      </c>
      <c r="C14" s="12" t="s">
        <v>471</v>
      </c>
      <c r="D14" s="12" t="s">
        <v>50</v>
      </c>
      <c r="E14" s="12"/>
      <c r="F14" s="8"/>
      <c r="G14" s="8"/>
      <c r="H14" s="61">
        <f>H15</f>
        <v>450</v>
      </c>
      <c r="I14" s="1"/>
    </row>
    <row r="15" spans="1:9" ht="12.75">
      <c r="A15" s="60"/>
      <c r="B15" s="8" t="s">
        <v>77</v>
      </c>
      <c r="C15" s="12" t="s">
        <v>471</v>
      </c>
      <c r="D15" s="12" t="s">
        <v>50</v>
      </c>
      <c r="E15" s="12" t="s">
        <v>50</v>
      </c>
      <c r="F15" s="8"/>
      <c r="G15" s="8"/>
      <c r="H15" s="61">
        <f>H16</f>
        <v>450</v>
      </c>
      <c r="I15" s="1"/>
    </row>
    <row r="16" spans="1:9" ht="12.75">
      <c r="A16" s="60"/>
      <c r="B16" s="8" t="s">
        <v>111</v>
      </c>
      <c r="C16" s="12" t="s">
        <v>471</v>
      </c>
      <c r="D16" s="12" t="s">
        <v>50</v>
      </c>
      <c r="E16" s="12" t="s">
        <v>50</v>
      </c>
      <c r="F16" s="12" t="s">
        <v>112</v>
      </c>
      <c r="G16" s="8"/>
      <c r="H16" s="61">
        <f>H17+H18+H19</f>
        <v>450</v>
      </c>
      <c r="I16" s="1"/>
    </row>
    <row r="17" spans="1:9" ht="12.75">
      <c r="A17" s="60"/>
      <c r="B17" s="57" t="s">
        <v>367</v>
      </c>
      <c r="C17" s="12" t="s">
        <v>471</v>
      </c>
      <c r="D17" s="12" t="s">
        <v>50</v>
      </c>
      <c r="E17" s="12" t="s">
        <v>50</v>
      </c>
      <c r="F17" s="12" t="s">
        <v>112</v>
      </c>
      <c r="G17" s="53" t="s">
        <v>284</v>
      </c>
      <c r="H17" s="61">
        <f>Лист2!H142</f>
        <v>200</v>
      </c>
      <c r="I17" s="1"/>
    </row>
    <row r="18" spans="1:9" ht="12.75">
      <c r="A18" s="60"/>
      <c r="B18" s="8" t="s">
        <v>331</v>
      </c>
      <c r="C18" s="12" t="s">
        <v>471</v>
      </c>
      <c r="D18" s="12" t="s">
        <v>50</v>
      </c>
      <c r="E18" s="12" t="s">
        <v>50</v>
      </c>
      <c r="F18" s="12" t="s">
        <v>112</v>
      </c>
      <c r="G18" s="53" t="s">
        <v>369</v>
      </c>
      <c r="H18" s="61">
        <f>Лист2!H263</f>
        <v>220</v>
      </c>
      <c r="I18" s="1"/>
    </row>
    <row r="19" spans="1:9" ht="12.75">
      <c r="A19" s="60"/>
      <c r="B19" s="14" t="s">
        <v>286</v>
      </c>
      <c r="C19" s="12" t="s">
        <v>471</v>
      </c>
      <c r="D19" s="12" t="s">
        <v>50</v>
      </c>
      <c r="E19" s="12" t="s">
        <v>50</v>
      </c>
      <c r="F19" s="12" t="s">
        <v>112</v>
      </c>
      <c r="G19" s="53" t="s">
        <v>370</v>
      </c>
      <c r="H19" s="61">
        <f>Лист2!H315</f>
        <v>30</v>
      </c>
      <c r="I19" s="1"/>
    </row>
    <row r="20" spans="1:9" ht="25.5">
      <c r="A20" s="105" t="s">
        <v>9</v>
      </c>
      <c r="B20" s="106" t="s">
        <v>402</v>
      </c>
      <c r="C20" s="10" t="s">
        <v>401</v>
      </c>
      <c r="D20" s="10"/>
      <c r="E20" s="10"/>
      <c r="F20" s="10"/>
      <c r="G20" s="10"/>
      <c r="H20" s="72">
        <f>H21</f>
        <v>736.5999999999999</v>
      </c>
      <c r="I20" s="1"/>
    </row>
    <row r="21" spans="1:9" ht="12.75">
      <c r="A21" s="56"/>
      <c r="B21" s="57" t="s">
        <v>365</v>
      </c>
      <c r="C21" s="12" t="s">
        <v>401</v>
      </c>
      <c r="D21" s="12" t="s">
        <v>46</v>
      </c>
      <c r="E21" s="12"/>
      <c r="F21" s="12"/>
      <c r="G21" s="12"/>
      <c r="H21" s="58">
        <f>H22</f>
        <v>736.5999999999999</v>
      </c>
      <c r="I21" s="1"/>
    </row>
    <row r="22" spans="1:9" ht="12.75">
      <c r="A22" s="56"/>
      <c r="B22" s="8" t="s">
        <v>366</v>
      </c>
      <c r="C22" s="12" t="s">
        <v>401</v>
      </c>
      <c r="D22" s="12" t="s">
        <v>46</v>
      </c>
      <c r="E22" s="12" t="s">
        <v>227</v>
      </c>
      <c r="F22" s="12"/>
      <c r="G22" s="12"/>
      <c r="H22" s="58">
        <f>H23</f>
        <v>736.5999999999999</v>
      </c>
      <c r="I22" s="1"/>
    </row>
    <row r="23" spans="1:9" ht="12.75">
      <c r="A23" s="56"/>
      <c r="B23" s="59" t="s">
        <v>117</v>
      </c>
      <c r="C23" s="12" t="s">
        <v>401</v>
      </c>
      <c r="D23" s="12" t="s">
        <v>46</v>
      </c>
      <c r="E23" s="12" t="s">
        <v>227</v>
      </c>
      <c r="F23" s="12" t="s">
        <v>32</v>
      </c>
      <c r="G23" s="12"/>
      <c r="H23" s="58">
        <f>H24</f>
        <v>736.5999999999999</v>
      </c>
      <c r="I23" s="1"/>
    </row>
    <row r="24" spans="1:9" ht="12.75">
      <c r="A24" s="56"/>
      <c r="B24" s="57" t="s">
        <v>367</v>
      </c>
      <c r="C24" s="12" t="s">
        <v>401</v>
      </c>
      <c r="D24" s="12" t="s">
        <v>46</v>
      </c>
      <c r="E24" s="12" t="s">
        <v>227</v>
      </c>
      <c r="F24" s="12" t="s">
        <v>32</v>
      </c>
      <c r="G24" s="12" t="s">
        <v>284</v>
      </c>
      <c r="H24" s="58">
        <f>Лист2!L103</f>
        <v>736.5999999999999</v>
      </c>
      <c r="I24" s="1"/>
    </row>
    <row r="25" spans="1:9" ht="38.25">
      <c r="A25" s="73" t="s">
        <v>10</v>
      </c>
      <c r="B25" s="74" t="s">
        <v>279</v>
      </c>
      <c r="C25" s="10" t="s">
        <v>280</v>
      </c>
      <c r="D25" s="8"/>
      <c r="E25" s="8"/>
      <c r="F25" s="8"/>
      <c r="G25" s="8"/>
      <c r="H25" s="75">
        <f>H26</f>
        <v>129</v>
      </c>
      <c r="I25" s="1"/>
    </row>
    <row r="26" spans="1:9" ht="12.75">
      <c r="A26" s="51"/>
      <c r="B26" s="11" t="s">
        <v>41</v>
      </c>
      <c r="C26" s="12" t="s">
        <v>280</v>
      </c>
      <c r="D26" s="12" t="s">
        <v>42</v>
      </c>
      <c r="E26" s="12"/>
      <c r="F26" s="8"/>
      <c r="G26" s="8"/>
      <c r="H26" s="52">
        <f>H27</f>
        <v>129</v>
      </c>
      <c r="I26" s="1"/>
    </row>
    <row r="27" spans="1:9" ht="12.75">
      <c r="A27" s="51"/>
      <c r="B27" s="8" t="s">
        <v>52</v>
      </c>
      <c r="C27" s="12" t="s">
        <v>280</v>
      </c>
      <c r="D27" s="12" t="s">
        <v>42</v>
      </c>
      <c r="E27" s="12" t="s">
        <v>232</v>
      </c>
      <c r="F27" s="8"/>
      <c r="G27" s="8"/>
      <c r="H27" s="52">
        <f>H28</f>
        <v>129</v>
      </c>
      <c r="I27" s="1"/>
    </row>
    <row r="28" spans="1:9" ht="12.75">
      <c r="A28" s="51"/>
      <c r="B28" s="24" t="s">
        <v>117</v>
      </c>
      <c r="C28" s="12" t="s">
        <v>280</v>
      </c>
      <c r="D28" s="12" t="s">
        <v>42</v>
      </c>
      <c r="E28" s="12" t="s">
        <v>232</v>
      </c>
      <c r="F28" s="12" t="s">
        <v>32</v>
      </c>
      <c r="G28" s="8"/>
      <c r="H28" s="52">
        <f>H29</f>
        <v>129</v>
      </c>
      <c r="I28" s="1"/>
    </row>
    <row r="29" spans="1:9" ht="12.75">
      <c r="A29" s="51"/>
      <c r="B29" s="8" t="s">
        <v>33</v>
      </c>
      <c r="C29" s="12" t="s">
        <v>280</v>
      </c>
      <c r="D29" s="12" t="s">
        <v>42</v>
      </c>
      <c r="E29" s="12" t="s">
        <v>232</v>
      </c>
      <c r="F29" s="12" t="s">
        <v>32</v>
      </c>
      <c r="G29" s="53" t="s">
        <v>284</v>
      </c>
      <c r="H29" s="52">
        <f>'[1]Лист2'!H51</f>
        <v>129</v>
      </c>
      <c r="I29" s="1"/>
    </row>
    <row r="30" spans="1:9" ht="25.5">
      <c r="A30" s="73" t="s">
        <v>11</v>
      </c>
      <c r="B30" s="102" t="s">
        <v>455</v>
      </c>
      <c r="C30" s="10" t="s">
        <v>457</v>
      </c>
      <c r="D30" s="8"/>
      <c r="E30" s="8"/>
      <c r="F30" s="8"/>
      <c r="G30" s="8"/>
      <c r="H30" s="99">
        <f>H31</f>
        <v>216.5</v>
      </c>
      <c r="I30" s="1"/>
    </row>
    <row r="31" spans="1:9" ht="38.25">
      <c r="A31" s="51" t="s">
        <v>70</v>
      </c>
      <c r="B31" s="14" t="s">
        <v>456</v>
      </c>
      <c r="C31" s="40" t="s">
        <v>458</v>
      </c>
      <c r="D31" s="8"/>
      <c r="E31" s="8"/>
      <c r="F31" s="8"/>
      <c r="G31" s="8"/>
      <c r="H31" s="55">
        <f>H32</f>
        <v>216.5</v>
      </c>
      <c r="I31" s="1"/>
    </row>
    <row r="32" spans="1:9" ht="12.75">
      <c r="A32" s="51"/>
      <c r="B32" s="11" t="s">
        <v>71</v>
      </c>
      <c r="C32" s="40" t="s">
        <v>458</v>
      </c>
      <c r="D32" s="12" t="s">
        <v>50</v>
      </c>
      <c r="E32" s="12"/>
      <c r="F32" s="8"/>
      <c r="G32" s="8"/>
      <c r="H32" s="55">
        <f>H33</f>
        <v>216.5</v>
      </c>
      <c r="I32" s="1"/>
    </row>
    <row r="33" spans="1:9" ht="12.75">
      <c r="A33" s="51"/>
      <c r="B33" s="11" t="s">
        <v>78</v>
      </c>
      <c r="C33" s="40" t="s">
        <v>458</v>
      </c>
      <c r="D33" s="12" t="s">
        <v>50</v>
      </c>
      <c r="E33" s="12" t="s">
        <v>54</v>
      </c>
      <c r="F33" s="8"/>
      <c r="G33" s="8"/>
      <c r="H33" s="55">
        <f>H34</f>
        <v>216.5</v>
      </c>
      <c r="I33" s="1"/>
    </row>
    <row r="34" spans="1:9" ht="12.75">
      <c r="A34" s="51"/>
      <c r="B34" s="14" t="s">
        <v>118</v>
      </c>
      <c r="C34" s="40" t="s">
        <v>458</v>
      </c>
      <c r="D34" s="12" t="s">
        <v>50</v>
      </c>
      <c r="E34" s="12" t="s">
        <v>54</v>
      </c>
      <c r="F34" s="12" t="s">
        <v>119</v>
      </c>
      <c r="G34" s="8"/>
      <c r="H34" s="55">
        <f>H35</f>
        <v>216.5</v>
      </c>
      <c r="I34" s="1"/>
    </row>
    <row r="35" spans="1:9" ht="12.75">
      <c r="A35" s="51"/>
      <c r="B35" s="8" t="s">
        <v>331</v>
      </c>
      <c r="C35" s="40" t="s">
        <v>458</v>
      </c>
      <c r="D35" s="12" t="s">
        <v>50</v>
      </c>
      <c r="E35" s="12" t="s">
        <v>54</v>
      </c>
      <c r="F35" s="12" t="s">
        <v>119</v>
      </c>
      <c r="G35" s="53" t="s">
        <v>369</v>
      </c>
      <c r="H35" s="55">
        <f>Лист2!H271</f>
        <v>216.5</v>
      </c>
      <c r="I35" s="1"/>
    </row>
    <row r="36" spans="1:9" ht="25.5">
      <c r="A36" s="73" t="s">
        <v>12</v>
      </c>
      <c r="B36" s="9" t="s">
        <v>418</v>
      </c>
      <c r="C36" s="10" t="s">
        <v>417</v>
      </c>
      <c r="D36" s="9"/>
      <c r="E36" s="9"/>
      <c r="F36" s="9"/>
      <c r="G36" s="9"/>
      <c r="H36" s="99">
        <f>H37</f>
        <v>2775.9</v>
      </c>
      <c r="I36" s="1"/>
    </row>
    <row r="37" spans="1:9" ht="12.75">
      <c r="A37" s="73"/>
      <c r="B37" s="11" t="s">
        <v>63</v>
      </c>
      <c r="C37" s="12" t="s">
        <v>417</v>
      </c>
      <c r="D37" s="12" t="s">
        <v>47</v>
      </c>
      <c r="E37" s="12"/>
      <c r="F37" s="8"/>
      <c r="G37" s="8"/>
      <c r="H37" s="55">
        <f>H38</f>
        <v>2775.9</v>
      </c>
      <c r="I37" s="1"/>
    </row>
    <row r="38" spans="1:9" ht="12.75">
      <c r="A38" s="73"/>
      <c r="B38" s="11" t="s">
        <v>67</v>
      </c>
      <c r="C38" s="12" t="s">
        <v>417</v>
      </c>
      <c r="D38" s="12" t="s">
        <v>47</v>
      </c>
      <c r="E38" s="12" t="s">
        <v>44</v>
      </c>
      <c r="F38" s="8"/>
      <c r="G38" s="8"/>
      <c r="H38" s="55">
        <f>H39+H41</f>
        <v>2775.9</v>
      </c>
      <c r="I38" s="1"/>
    </row>
    <row r="39" spans="1:9" ht="12.75">
      <c r="A39" s="73"/>
      <c r="B39" s="20" t="s">
        <v>181</v>
      </c>
      <c r="C39" s="12" t="s">
        <v>417</v>
      </c>
      <c r="D39" s="12" t="s">
        <v>47</v>
      </c>
      <c r="E39" s="12" t="s">
        <v>44</v>
      </c>
      <c r="F39" s="12" t="s">
        <v>182</v>
      </c>
      <c r="G39" s="8"/>
      <c r="H39" s="55">
        <f>H40</f>
        <v>2739.1</v>
      </c>
      <c r="I39" s="1"/>
    </row>
    <row r="40" spans="1:9" ht="12.75">
      <c r="A40" s="73"/>
      <c r="B40" s="54" t="s">
        <v>292</v>
      </c>
      <c r="C40" s="12" t="s">
        <v>417</v>
      </c>
      <c r="D40" s="12" t="s">
        <v>47</v>
      </c>
      <c r="E40" s="12" t="s">
        <v>44</v>
      </c>
      <c r="F40" s="12" t="s">
        <v>182</v>
      </c>
      <c r="G40" s="53" t="s">
        <v>361</v>
      </c>
      <c r="H40" s="55">
        <f>Лист2!H386</f>
        <v>2739.1</v>
      </c>
      <c r="I40" s="1"/>
    </row>
    <row r="41" spans="1:9" ht="12.75">
      <c r="A41" s="73"/>
      <c r="B41" s="20" t="s">
        <v>188</v>
      </c>
      <c r="C41" s="12" t="s">
        <v>417</v>
      </c>
      <c r="D41" s="12" t="s">
        <v>47</v>
      </c>
      <c r="E41" s="12" t="s">
        <v>44</v>
      </c>
      <c r="F41" s="12" t="s">
        <v>189</v>
      </c>
      <c r="G41" s="53"/>
      <c r="H41" s="55">
        <f>H42</f>
        <v>36.8</v>
      </c>
      <c r="I41" s="1"/>
    </row>
    <row r="42" spans="1:9" ht="25.5">
      <c r="A42" s="73"/>
      <c r="B42" s="14" t="s">
        <v>285</v>
      </c>
      <c r="C42" s="12" t="s">
        <v>417</v>
      </c>
      <c r="D42" s="12" t="s">
        <v>47</v>
      </c>
      <c r="E42" s="12" t="s">
        <v>44</v>
      </c>
      <c r="F42" s="12" t="s">
        <v>189</v>
      </c>
      <c r="G42" s="53" t="s">
        <v>371</v>
      </c>
      <c r="H42" s="55">
        <f>Лист2!H458</f>
        <v>36.8</v>
      </c>
      <c r="I42" s="1"/>
    </row>
    <row r="43" spans="1:9" ht="25.5">
      <c r="A43" s="220" t="s">
        <v>13</v>
      </c>
      <c r="B43" s="221" t="s">
        <v>359</v>
      </c>
      <c r="C43" s="221">
        <v>5222600</v>
      </c>
      <c r="D43" s="221"/>
      <c r="E43" s="221"/>
      <c r="F43" s="221"/>
      <c r="G43" s="221"/>
      <c r="H43" s="222">
        <f>H44+H49+H54+H59</f>
        <v>129894.8</v>
      </c>
      <c r="I43" s="1"/>
    </row>
    <row r="44" spans="1:9" ht="25.5">
      <c r="A44" s="51" t="s">
        <v>80</v>
      </c>
      <c r="B44" s="8" t="s">
        <v>426</v>
      </c>
      <c r="C44" s="92">
        <v>5222601</v>
      </c>
      <c r="D44" s="8"/>
      <c r="E44" s="8"/>
      <c r="F44" s="8"/>
      <c r="G44" s="8"/>
      <c r="H44" s="55">
        <f>H45</f>
        <v>2000</v>
      </c>
      <c r="I44" s="1"/>
    </row>
    <row r="45" spans="1:9" ht="12.75">
      <c r="A45" s="51"/>
      <c r="B45" s="11" t="s">
        <v>71</v>
      </c>
      <c r="C45" s="92">
        <v>5222601</v>
      </c>
      <c r="D45" s="12" t="s">
        <v>50</v>
      </c>
      <c r="E45" s="12"/>
      <c r="F45" s="8"/>
      <c r="G45" s="8"/>
      <c r="H45" s="55">
        <f>H46</f>
        <v>2000</v>
      </c>
      <c r="I45" s="1"/>
    </row>
    <row r="46" spans="1:9" ht="12.75">
      <c r="A46" s="51"/>
      <c r="B46" s="11" t="s">
        <v>75</v>
      </c>
      <c r="C46" s="92">
        <v>5222601</v>
      </c>
      <c r="D46" s="12" t="s">
        <v>50</v>
      </c>
      <c r="E46" s="12" t="s">
        <v>44</v>
      </c>
      <c r="F46" s="8"/>
      <c r="G46" s="8"/>
      <c r="H46" s="55">
        <f>H47</f>
        <v>2000</v>
      </c>
      <c r="I46" s="1"/>
    </row>
    <row r="47" spans="1:9" ht="12.75">
      <c r="A47" s="51"/>
      <c r="B47" s="20" t="s">
        <v>181</v>
      </c>
      <c r="C47" s="92">
        <v>5222601</v>
      </c>
      <c r="D47" s="12" t="s">
        <v>50</v>
      </c>
      <c r="E47" s="12" t="s">
        <v>44</v>
      </c>
      <c r="F47" s="12" t="s">
        <v>182</v>
      </c>
      <c r="G47" s="8"/>
      <c r="H47" s="55">
        <f>H48</f>
        <v>2000</v>
      </c>
      <c r="I47" s="1"/>
    </row>
    <row r="48" spans="1:9" ht="12.75">
      <c r="A48" s="51"/>
      <c r="B48" s="54" t="s">
        <v>292</v>
      </c>
      <c r="C48" s="92">
        <v>5222601</v>
      </c>
      <c r="D48" s="12" t="s">
        <v>50</v>
      </c>
      <c r="E48" s="12" t="s">
        <v>44</v>
      </c>
      <c r="F48" s="12" t="s">
        <v>182</v>
      </c>
      <c r="G48" s="53" t="s">
        <v>361</v>
      </c>
      <c r="H48" s="55">
        <f>Лист2!H405</f>
        <v>2000</v>
      </c>
      <c r="I48" s="1"/>
    </row>
    <row r="49" spans="1:9" ht="25.5">
      <c r="A49" s="51" t="s">
        <v>82</v>
      </c>
      <c r="B49" s="8" t="s">
        <v>427</v>
      </c>
      <c r="C49" s="92">
        <v>5222603</v>
      </c>
      <c r="D49" s="8"/>
      <c r="E49" s="8"/>
      <c r="F49" s="8"/>
      <c r="G49" s="8"/>
      <c r="H49" s="55">
        <f>H50</f>
        <v>5717</v>
      </c>
      <c r="I49" s="1"/>
    </row>
    <row r="50" spans="1:9" ht="12.75">
      <c r="A50" s="51"/>
      <c r="B50" s="11" t="s">
        <v>71</v>
      </c>
      <c r="C50" s="92">
        <v>5222603</v>
      </c>
      <c r="D50" s="12" t="s">
        <v>50</v>
      </c>
      <c r="E50" s="12"/>
      <c r="F50" s="8"/>
      <c r="G50" s="8"/>
      <c r="H50" s="55">
        <f>H51</f>
        <v>5717</v>
      </c>
      <c r="I50" s="1"/>
    </row>
    <row r="51" spans="1:9" ht="12.75">
      <c r="A51" s="51"/>
      <c r="B51" s="11" t="s">
        <v>75</v>
      </c>
      <c r="C51" s="92">
        <v>5222603</v>
      </c>
      <c r="D51" s="12" t="s">
        <v>50</v>
      </c>
      <c r="E51" s="12" t="s">
        <v>44</v>
      </c>
      <c r="F51" s="8"/>
      <c r="G51" s="8"/>
      <c r="H51" s="55">
        <f>H52</f>
        <v>5717</v>
      </c>
      <c r="I51" s="1"/>
    </row>
    <row r="52" spans="1:9" ht="12.75">
      <c r="A52" s="51"/>
      <c r="B52" s="20" t="s">
        <v>181</v>
      </c>
      <c r="C52" s="92">
        <v>5222603</v>
      </c>
      <c r="D52" s="12" t="s">
        <v>50</v>
      </c>
      <c r="E52" s="12" t="s">
        <v>44</v>
      </c>
      <c r="F52" s="12" t="s">
        <v>182</v>
      </c>
      <c r="G52" s="8"/>
      <c r="H52" s="55">
        <f>H53</f>
        <v>5717</v>
      </c>
      <c r="I52" s="1"/>
    </row>
    <row r="53" spans="1:9" ht="12.75">
      <c r="A53" s="51"/>
      <c r="B53" s="54" t="s">
        <v>292</v>
      </c>
      <c r="C53" s="92">
        <v>5222603</v>
      </c>
      <c r="D53" s="12" t="s">
        <v>50</v>
      </c>
      <c r="E53" s="12" t="s">
        <v>44</v>
      </c>
      <c r="F53" s="12" t="s">
        <v>182</v>
      </c>
      <c r="G53" s="53" t="s">
        <v>361</v>
      </c>
      <c r="H53" s="55">
        <f>Лист2!H406</f>
        <v>5717</v>
      </c>
      <c r="I53" s="1"/>
    </row>
    <row r="54" spans="1:9" ht="26.25" customHeight="1">
      <c r="A54" s="51" t="s">
        <v>83</v>
      </c>
      <c r="B54" s="8" t="s">
        <v>360</v>
      </c>
      <c r="C54" s="8">
        <v>5222604</v>
      </c>
      <c r="D54" s="8"/>
      <c r="E54" s="8"/>
      <c r="F54" s="8"/>
      <c r="G54" s="8"/>
      <c r="H54" s="55">
        <f>H55</f>
        <v>112926.1</v>
      </c>
      <c r="I54" s="1"/>
    </row>
    <row r="55" spans="1:9" ht="14.25" customHeight="1">
      <c r="A55" s="51"/>
      <c r="B55" s="14" t="s">
        <v>30</v>
      </c>
      <c r="C55" s="8">
        <v>5222604</v>
      </c>
      <c r="D55" s="12" t="s">
        <v>54</v>
      </c>
      <c r="E55" s="12"/>
      <c r="F55" s="8"/>
      <c r="G55" s="8"/>
      <c r="H55" s="55">
        <f>H56</f>
        <v>112926.1</v>
      </c>
      <c r="I55" s="1"/>
    </row>
    <row r="56" spans="1:9" ht="12.75">
      <c r="A56" s="51"/>
      <c r="B56" s="8" t="s">
        <v>159</v>
      </c>
      <c r="C56" s="8">
        <v>5222604</v>
      </c>
      <c r="D56" s="12" t="s">
        <v>54</v>
      </c>
      <c r="E56" s="12" t="s">
        <v>89</v>
      </c>
      <c r="F56" s="8"/>
      <c r="G56" s="8"/>
      <c r="H56" s="55">
        <f>H57</f>
        <v>112926.1</v>
      </c>
      <c r="I56" s="1"/>
    </row>
    <row r="57" spans="1:9" ht="12.75">
      <c r="A57" s="51"/>
      <c r="B57" s="11" t="s">
        <v>181</v>
      </c>
      <c r="C57" s="8">
        <v>5222604</v>
      </c>
      <c r="D57" s="12" t="s">
        <v>54</v>
      </c>
      <c r="E57" s="12" t="s">
        <v>89</v>
      </c>
      <c r="F57" s="12" t="s">
        <v>182</v>
      </c>
      <c r="G57" s="8"/>
      <c r="H57" s="55">
        <f>H58</f>
        <v>112926.1</v>
      </c>
      <c r="I57" s="1"/>
    </row>
    <row r="58" spans="1:9" ht="12.75">
      <c r="A58" s="51"/>
      <c r="B58" s="54" t="s">
        <v>292</v>
      </c>
      <c r="C58" s="8">
        <v>5222604</v>
      </c>
      <c r="D58" s="12" t="s">
        <v>54</v>
      </c>
      <c r="E58" s="12" t="s">
        <v>89</v>
      </c>
      <c r="F58" s="12" t="s">
        <v>182</v>
      </c>
      <c r="G58" s="53" t="s">
        <v>361</v>
      </c>
      <c r="H58" s="55">
        <f>Лист2!H419</f>
        <v>112926.1</v>
      </c>
      <c r="I58" s="1"/>
    </row>
    <row r="59" spans="1:9" ht="38.25">
      <c r="A59" s="212" t="s">
        <v>212</v>
      </c>
      <c r="B59" s="213" t="s">
        <v>430</v>
      </c>
      <c r="C59" s="219">
        <v>5222605</v>
      </c>
      <c r="D59" s="213"/>
      <c r="E59" s="213"/>
      <c r="F59" s="213"/>
      <c r="G59" s="213"/>
      <c r="H59" s="215">
        <f>H60</f>
        <v>9251.7</v>
      </c>
      <c r="I59" s="1"/>
    </row>
    <row r="60" spans="1:9" ht="12.75">
      <c r="A60" s="51"/>
      <c r="B60" s="14" t="s">
        <v>30</v>
      </c>
      <c r="C60" s="92">
        <v>5222605</v>
      </c>
      <c r="D60" s="12" t="s">
        <v>54</v>
      </c>
      <c r="E60" s="12"/>
      <c r="F60" s="8"/>
      <c r="G60" s="8"/>
      <c r="H60" s="55">
        <f>H61</f>
        <v>9251.7</v>
      </c>
      <c r="I60" s="1"/>
    </row>
    <row r="61" spans="1:9" ht="12.75">
      <c r="A61" s="51"/>
      <c r="B61" s="20" t="s">
        <v>184</v>
      </c>
      <c r="C61" s="92">
        <v>5222605</v>
      </c>
      <c r="D61" s="12" t="s">
        <v>54</v>
      </c>
      <c r="E61" s="12" t="s">
        <v>61</v>
      </c>
      <c r="F61" s="8"/>
      <c r="G61" s="8"/>
      <c r="H61" s="55">
        <f>H62</f>
        <v>9251.7</v>
      </c>
      <c r="I61" s="1"/>
    </row>
    <row r="62" spans="1:9" ht="12.75">
      <c r="A62" s="51"/>
      <c r="B62" s="20" t="s">
        <v>181</v>
      </c>
      <c r="C62" s="92">
        <v>5222605</v>
      </c>
      <c r="D62" s="12" t="s">
        <v>54</v>
      </c>
      <c r="E62" s="12" t="s">
        <v>61</v>
      </c>
      <c r="F62" s="12" t="s">
        <v>182</v>
      </c>
      <c r="G62" s="8"/>
      <c r="H62" s="55">
        <f>H63</f>
        <v>9251.7</v>
      </c>
      <c r="I62" s="1"/>
    </row>
    <row r="63" spans="1:9" ht="12.75">
      <c r="A63" s="51"/>
      <c r="B63" s="54" t="s">
        <v>292</v>
      </c>
      <c r="C63" s="92">
        <v>5222605</v>
      </c>
      <c r="D63" s="12" t="s">
        <v>54</v>
      </c>
      <c r="E63" s="12" t="s">
        <v>61</v>
      </c>
      <c r="F63" s="12" t="s">
        <v>182</v>
      </c>
      <c r="G63" s="53" t="s">
        <v>361</v>
      </c>
      <c r="H63" s="55">
        <f>Лист2!H415</f>
        <v>9251.7</v>
      </c>
      <c r="I63" s="1"/>
    </row>
    <row r="64" spans="1:9" ht="29.25" customHeight="1">
      <c r="A64" s="73" t="s">
        <v>14</v>
      </c>
      <c r="B64" s="9" t="s">
        <v>362</v>
      </c>
      <c r="C64" s="184">
        <v>5222700</v>
      </c>
      <c r="D64" s="9"/>
      <c r="E64" s="9"/>
      <c r="F64" s="9"/>
      <c r="G64" s="9"/>
      <c r="H64" s="99">
        <f>H65+H77+H85</f>
        <v>232652.1</v>
      </c>
      <c r="I64" s="1"/>
    </row>
    <row r="65" spans="1:9" ht="25.5">
      <c r="A65" s="212" t="s">
        <v>85</v>
      </c>
      <c r="B65" s="213" t="s">
        <v>35</v>
      </c>
      <c r="C65" s="214" t="s">
        <v>271</v>
      </c>
      <c r="D65" s="213"/>
      <c r="E65" s="213"/>
      <c r="F65" s="213"/>
      <c r="G65" s="213"/>
      <c r="H65" s="215">
        <f>H66+H73</f>
        <v>96029</v>
      </c>
      <c r="I65" s="1"/>
    </row>
    <row r="66" spans="1:9" ht="12.75">
      <c r="A66" s="51"/>
      <c r="B66" s="11" t="s">
        <v>63</v>
      </c>
      <c r="C66" s="12" t="s">
        <v>271</v>
      </c>
      <c r="D66" s="12" t="s">
        <v>47</v>
      </c>
      <c r="E66" s="12"/>
      <c r="F66" s="8"/>
      <c r="G66" s="8"/>
      <c r="H66" s="55">
        <f>H67+H70</f>
        <v>88245.7</v>
      </c>
      <c r="I66" s="1"/>
    </row>
    <row r="67" spans="1:9" ht="12.75">
      <c r="A67" s="51"/>
      <c r="B67" s="11" t="s">
        <v>65</v>
      </c>
      <c r="C67" s="12" t="s">
        <v>271</v>
      </c>
      <c r="D67" s="12" t="s">
        <v>47</v>
      </c>
      <c r="E67" s="12" t="s">
        <v>42</v>
      </c>
      <c r="F67" s="8"/>
      <c r="G67" s="8"/>
      <c r="H67" s="55">
        <f>H68</f>
        <v>58542.2</v>
      </c>
      <c r="I67" s="1"/>
    </row>
    <row r="68" spans="1:9" ht="12.75">
      <c r="A68" s="51"/>
      <c r="B68" s="20" t="s">
        <v>181</v>
      </c>
      <c r="C68" s="12" t="s">
        <v>271</v>
      </c>
      <c r="D68" s="12" t="s">
        <v>47</v>
      </c>
      <c r="E68" s="12" t="s">
        <v>42</v>
      </c>
      <c r="F68" s="12" t="s">
        <v>182</v>
      </c>
      <c r="G68" s="8"/>
      <c r="H68" s="55">
        <f>H69</f>
        <v>58542.2</v>
      </c>
      <c r="I68" s="1"/>
    </row>
    <row r="69" spans="1:9" ht="12.75">
      <c r="A69" s="212"/>
      <c r="B69" s="216" t="s">
        <v>292</v>
      </c>
      <c r="C69" s="214" t="s">
        <v>271</v>
      </c>
      <c r="D69" s="214" t="s">
        <v>47</v>
      </c>
      <c r="E69" s="214" t="s">
        <v>42</v>
      </c>
      <c r="F69" s="214" t="s">
        <v>182</v>
      </c>
      <c r="G69" s="217" t="s">
        <v>361</v>
      </c>
      <c r="H69" s="215">
        <f>Лист2!H381</f>
        <v>58542.2</v>
      </c>
      <c r="I69" s="1"/>
    </row>
    <row r="70" spans="1:9" ht="12.75">
      <c r="A70" s="51"/>
      <c r="B70" s="14" t="s">
        <v>69</v>
      </c>
      <c r="C70" s="12" t="s">
        <v>271</v>
      </c>
      <c r="D70" s="12" t="s">
        <v>47</v>
      </c>
      <c r="E70" s="12" t="s">
        <v>47</v>
      </c>
      <c r="F70" s="12"/>
      <c r="G70" s="53"/>
      <c r="H70" s="55">
        <f>H71</f>
        <v>29703.5</v>
      </c>
      <c r="I70" s="1"/>
    </row>
    <row r="71" spans="1:9" ht="12.75">
      <c r="A71" s="51"/>
      <c r="B71" s="14" t="s">
        <v>117</v>
      </c>
      <c r="C71" s="12" t="s">
        <v>271</v>
      </c>
      <c r="D71" s="12" t="s">
        <v>47</v>
      </c>
      <c r="E71" s="12" t="s">
        <v>47</v>
      </c>
      <c r="F71" s="12" t="s">
        <v>32</v>
      </c>
      <c r="G71" s="53"/>
      <c r="H71" s="55">
        <f>H72</f>
        <v>29703.5</v>
      </c>
      <c r="I71" s="1"/>
    </row>
    <row r="72" spans="1:9" ht="12.75">
      <c r="A72" s="51"/>
      <c r="B72" s="8" t="s">
        <v>33</v>
      </c>
      <c r="C72" s="12" t="s">
        <v>271</v>
      </c>
      <c r="D72" s="12" t="s">
        <v>47</v>
      </c>
      <c r="E72" s="12" t="s">
        <v>47</v>
      </c>
      <c r="F72" s="12" t="s">
        <v>32</v>
      </c>
      <c r="G72" s="53" t="s">
        <v>284</v>
      </c>
      <c r="H72" s="55">
        <f>Лист2!H125</f>
        <v>29703.5</v>
      </c>
      <c r="I72" s="1"/>
    </row>
    <row r="73" spans="1:9" ht="12.75">
      <c r="A73" s="51"/>
      <c r="B73" s="11" t="s">
        <v>88</v>
      </c>
      <c r="C73" s="12" t="s">
        <v>271</v>
      </c>
      <c r="D73" s="12" t="s">
        <v>89</v>
      </c>
      <c r="E73" s="12"/>
      <c r="F73" s="8"/>
      <c r="G73" s="8"/>
      <c r="H73" s="55">
        <f>H74</f>
        <v>7783.3</v>
      </c>
      <c r="I73" s="1"/>
    </row>
    <row r="74" spans="1:9" ht="12.75">
      <c r="A74" s="51"/>
      <c r="B74" s="11" t="s">
        <v>91</v>
      </c>
      <c r="C74" s="12" t="s">
        <v>271</v>
      </c>
      <c r="D74" s="12" t="s">
        <v>89</v>
      </c>
      <c r="E74" s="12" t="s">
        <v>45</v>
      </c>
      <c r="F74" s="8"/>
      <c r="G74" s="8"/>
      <c r="H74" s="55">
        <f>H75</f>
        <v>7783.3</v>
      </c>
      <c r="I74" s="1"/>
    </row>
    <row r="75" spans="1:9" ht="12.75">
      <c r="A75" s="51"/>
      <c r="B75" s="8" t="s">
        <v>127</v>
      </c>
      <c r="C75" s="12" t="s">
        <v>271</v>
      </c>
      <c r="D75" s="12" t="s">
        <v>89</v>
      </c>
      <c r="E75" s="12" t="s">
        <v>45</v>
      </c>
      <c r="F75" s="12" t="s">
        <v>128</v>
      </c>
      <c r="G75" s="8"/>
      <c r="H75" s="55">
        <f>H76</f>
        <v>7783.3</v>
      </c>
      <c r="I75" s="1"/>
    </row>
    <row r="76" spans="1:9" ht="12.75">
      <c r="A76" s="51"/>
      <c r="B76" s="8" t="s">
        <v>33</v>
      </c>
      <c r="C76" s="12" t="s">
        <v>271</v>
      </c>
      <c r="D76" s="12" t="s">
        <v>89</v>
      </c>
      <c r="E76" s="12" t="s">
        <v>45</v>
      </c>
      <c r="F76" s="12" t="s">
        <v>128</v>
      </c>
      <c r="G76" s="53" t="s">
        <v>284</v>
      </c>
      <c r="H76" s="55">
        <f>Лист2!H204</f>
        <v>7783.3</v>
      </c>
      <c r="I76" s="1"/>
    </row>
    <row r="77" spans="1:9" ht="38.25">
      <c r="A77" s="51" t="s">
        <v>86</v>
      </c>
      <c r="B77" s="8" t="s">
        <v>363</v>
      </c>
      <c r="C77" s="12" t="s">
        <v>270</v>
      </c>
      <c r="D77" s="8"/>
      <c r="E77" s="8"/>
      <c r="F77" s="8"/>
      <c r="G77" s="8"/>
      <c r="H77" s="55">
        <f>H78</f>
        <v>31375.300000000003</v>
      </c>
      <c r="I77" s="1"/>
    </row>
    <row r="78" spans="1:9" ht="12.75">
      <c r="A78" s="51"/>
      <c r="B78" s="11" t="s">
        <v>63</v>
      </c>
      <c r="C78" s="12" t="s">
        <v>270</v>
      </c>
      <c r="D78" s="12" t="s">
        <v>47</v>
      </c>
      <c r="E78" s="12"/>
      <c r="F78" s="8"/>
      <c r="G78" s="8"/>
      <c r="H78" s="55">
        <f>H79+H82</f>
        <v>31375.300000000003</v>
      </c>
      <c r="I78" s="1"/>
    </row>
    <row r="79" spans="1:9" ht="12.75">
      <c r="A79" s="51"/>
      <c r="B79" s="11" t="s">
        <v>65</v>
      </c>
      <c r="C79" s="12" t="s">
        <v>270</v>
      </c>
      <c r="D79" s="12" t="s">
        <v>47</v>
      </c>
      <c r="E79" s="12" t="s">
        <v>42</v>
      </c>
      <c r="F79" s="8"/>
      <c r="G79" s="8"/>
      <c r="H79" s="55">
        <f>H80</f>
        <v>20859.600000000002</v>
      </c>
      <c r="I79" s="1"/>
    </row>
    <row r="80" spans="1:9" ht="12.75">
      <c r="A80" s="51"/>
      <c r="B80" s="20" t="s">
        <v>181</v>
      </c>
      <c r="C80" s="12" t="s">
        <v>270</v>
      </c>
      <c r="D80" s="12" t="s">
        <v>47</v>
      </c>
      <c r="E80" s="12" t="s">
        <v>42</v>
      </c>
      <c r="F80" s="12" t="s">
        <v>182</v>
      </c>
      <c r="G80" s="8"/>
      <c r="H80" s="55">
        <f>H81</f>
        <v>20859.600000000002</v>
      </c>
      <c r="I80" s="1"/>
    </row>
    <row r="81" spans="1:9" ht="12.75">
      <c r="A81" s="51"/>
      <c r="B81" s="54" t="s">
        <v>292</v>
      </c>
      <c r="C81" s="12" t="s">
        <v>270</v>
      </c>
      <c r="D81" s="12" t="s">
        <v>47</v>
      </c>
      <c r="E81" s="12" t="s">
        <v>42</v>
      </c>
      <c r="F81" s="12" t="s">
        <v>182</v>
      </c>
      <c r="G81" s="53" t="s">
        <v>361</v>
      </c>
      <c r="H81" s="55">
        <f>Лист2!H382</f>
        <v>20859.600000000002</v>
      </c>
      <c r="I81" s="1"/>
    </row>
    <row r="82" spans="1:9" ht="12.75">
      <c r="A82" s="51"/>
      <c r="B82" s="14" t="s">
        <v>69</v>
      </c>
      <c r="C82" s="12" t="s">
        <v>270</v>
      </c>
      <c r="D82" s="12" t="s">
        <v>47</v>
      </c>
      <c r="E82" s="12" t="s">
        <v>47</v>
      </c>
      <c r="F82" s="12"/>
      <c r="G82" s="53"/>
      <c r="H82" s="55">
        <f>H83</f>
        <v>10515.7</v>
      </c>
      <c r="I82" s="1"/>
    </row>
    <row r="83" spans="1:9" ht="12.75">
      <c r="A83" s="51"/>
      <c r="B83" s="14" t="s">
        <v>117</v>
      </c>
      <c r="C83" s="12" t="s">
        <v>270</v>
      </c>
      <c r="D83" s="12" t="s">
        <v>47</v>
      </c>
      <c r="E83" s="12" t="s">
        <v>47</v>
      </c>
      <c r="F83" s="12" t="s">
        <v>32</v>
      </c>
      <c r="G83" s="53"/>
      <c r="H83" s="55">
        <f>H84</f>
        <v>10515.7</v>
      </c>
      <c r="I83" s="1"/>
    </row>
    <row r="84" spans="1:9" ht="12.75">
      <c r="A84" s="51"/>
      <c r="B84" s="8" t="s">
        <v>33</v>
      </c>
      <c r="C84" s="12" t="s">
        <v>270</v>
      </c>
      <c r="D84" s="12" t="s">
        <v>47</v>
      </c>
      <c r="E84" s="12" t="s">
        <v>47</v>
      </c>
      <c r="F84" s="12" t="s">
        <v>32</v>
      </c>
      <c r="G84" s="53" t="s">
        <v>284</v>
      </c>
      <c r="H84" s="55">
        <f>Лист2!H126</f>
        <v>10515.7</v>
      </c>
      <c r="I84" s="1"/>
    </row>
    <row r="85" spans="1:9" ht="12.75">
      <c r="A85" s="103" t="s">
        <v>87</v>
      </c>
      <c r="B85" s="8" t="s">
        <v>36</v>
      </c>
      <c r="C85" s="12" t="s">
        <v>272</v>
      </c>
      <c r="D85" s="8"/>
      <c r="E85" s="8"/>
      <c r="F85" s="8"/>
      <c r="G85" s="8"/>
      <c r="H85" s="55">
        <f>H86</f>
        <v>105247.8</v>
      </c>
      <c r="I85" s="1"/>
    </row>
    <row r="86" spans="1:9" ht="12.75">
      <c r="A86" s="51"/>
      <c r="B86" s="11" t="s">
        <v>63</v>
      </c>
      <c r="C86" s="12" t="s">
        <v>272</v>
      </c>
      <c r="D86" s="12" t="s">
        <v>47</v>
      </c>
      <c r="E86" s="12"/>
      <c r="F86" s="8"/>
      <c r="G86" s="8"/>
      <c r="H86" s="55">
        <f>H87</f>
        <v>105247.8</v>
      </c>
      <c r="I86" s="1"/>
    </row>
    <row r="87" spans="1:9" ht="12.75">
      <c r="A87" s="51"/>
      <c r="B87" s="11" t="s">
        <v>67</v>
      </c>
      <c r="C87" s="12" t="s">
        <v>272</v>
      </c>
      <c r="D87" s="12" t="s">
        <v>47</v>
      </c>
      <c r="E87" s="12" t="s">
        <v>44</v>
      </c>
      <c r="F87" s="8"/>
      <c r="G87" s="8"/>
      <c r="H87" s="55">
        <f>H88</f>
        <v>105247.8</v>
      </c>
      <c r="I87" s="1"/>
    </row>
    <row r="88" spans="1:9" ht="12.75">
      <c r="A88" s="51"/>
      <c r="B88" s="20" t="s">
        <v>181</v>
      </c>
      <c r="C88" s="12" t="s">
        <v>272</v>
      </c>
      <c r="D88" s="12" t="s">
        <v>47</v>
      </c>
      <c r="E88" s="12" t="s">
        <v>44</v>
      </c>
      <c r="F88" s="12" t="s">
        <v>182</v>
      </c>
      <c r="G88" s="8"/>
      <c r="H88" s="55">
        <f>H89</f>
        <v>105247.8</v>
      </c>
      <c r="I88" s="1"/>
    </row>
    <row r="89" spans="1:9" ht="12.75">
      <c r="A89" s="51"/>
      <c r="B89" s="54" t="s">
        <v>292</v>
      </c>
      <c r="C89" s="12" t="s">
        <v>272</v>
      </c>
      <c r="D89" s="12" t="s">
        <v>47</v>
      </c>
      <c r="E89" s="12" t="s">
        <v>44</v>
      </c>
      <c r="F89" s="12" t="s">
        <v>182</v>
      </c>
      <c r="G89" s="53" t="s">
        <v>361</v>
      </c>
      <c r="H89" s="55">
        <f>Лист2!H387</f>
        <v>105247.8</v>
      </c>
      <c r="I89" s="1"/>
    </row>
    <row r="90" spans="1:9" ht="25.5">
      <c r="A90" s="79" t="s">
        <v>376</v>
      </c>
      <c r="B90" s="9" t="s">
        <v>449</v>
      </c>
      <c r="C90" s="10" t="s">
        <v>450</v>
      </c>
      <c r="D90" s="10"/>
      <c r="E90" s="10"/>
      <c r="F90" s="10"/>
      <c r="G90" s="84"/>
      <c r="H90" s="80">
        <f>H91+H96</f>
        <v>1807.1000000000001</v>
      </c>
      <c r="I90" s="1"/>
    </row>
    <row r="91" spans="1:9" ht="12.75">
      <c r="A91" s="60" t="s">
        <v>472</v>
      </c>
      <c r="B91" s="14" t="s">
        <v>474</v>
      </c>
      <c r="C91" s="12" t="s">
        <v>475</v>
      </c>
      <c r="D91" s="10"/>
      <c r="E91" s="10"/>
      <c r="F91" s="10"/>
      <c r="G91" s="84"/>
      <c r="H91" s="61">
        <f>H92</f>
        <v>1727.9</v>
      </c>
      <c r="I91" s="1"/>
    </row>
    <row r="92" spans="1:9" ht="12.75">
      <c r="A92" s="79"/>
      <c r="B92" s="8" t="s">
        <v>71</v>
      </c>
      <c r="C92" s="12" t="s">
        <v>475</v>
      </c>
      <c r="D92" s="12" t="s">
        <v>50</v>
      </c>
      <c r="E92" s="12"/>
      <c r="F92" s="12"/>
      <c r="G92" s="53"/>
      <c r="H92" s="61">
        <f>H93</f>
        <v>1727.9</v>
      </c>
      <c r="I92" s="1"/>
    </row>
    <row r="93" spans="1:9" ht="12.75">
      <c r="A93" s="79"/>
      <c r="B93" s="8" t="s">
        <v>78</v>
      </c>
      <c r="C93" s="12" t="s">
        <v>475</v>
      </c>
      <c r="D93" s="12" t="s">
        <v>50</v>
      </c>
      <c r="E93" s="12" t="s">
        <v>54</v>
      </c>
      <c r="F93" s="12"/>
      <c r="G93" s="53"/>
      <c r="H93" s="61">
        <f>H94</f>
        <v>1727.9</v>
      </c>
      <c r="I93" s="1"/>
    </row>
    <row r="94" spans="1:9" ht="12.75">
      <c r="A94" s="79"/>
      <c r="B94" s="14" t="s">
        <v>329</v>
      </c>
      <c r="C94" s="12" t="s">
        <v>475</v>
      </c>
      <c r="D94" s="12" t="s">
        <v>50</v>
      </c>
      <c r="E94" s="12" t="s">
        <v>54</v>
      </c>
      <c r="F94" s="12" t="s">
        <v>330</v>
      </c>
      <c r="G94" s="53"/>
      <c r="H94" s="61">
        <f>H95</f>
        <v>1727.9</v>
      </c>
      <c r="I94" s="1"/>
    </row>
    <row r="95" spans="1:9" ht="12.75">
      <c r="A95" s="79"/>
      <c r="B95" s="57" t="s">
        <v>367</v>
      </c>
      <c r="C95" s="12" t="s">
        <v>475</v>
      </c>
      <c r="D95" s="12" t="s">
        <v>50</v>
      </c>
      <c r="E95" s="12" t="s">
        <v>54</v>
      </c>
      <c r="F95" s="12" t="s">
        <v>330</v>
      </c>
      <c r="G95" s="53" t="s">
        <v>284</v>
      </c>
      <c r="H95" s="61">
        <f>Лист2!H152</f>
        <v>1727.9</v>
      </c>
      <c r="I95" s="1"/>
    </row>
    <row r="96" spans="1:9" ht="12.75">
      <c r="A96" s="60" t="s">
        <v>477</v>
      </c>
      <c r="B96" s="14" t="s">
        <v>451</v>
      </c>
      <c r="C96" s="12" t="s">
        <v>452</v>
      </c>
      <c r="D96" s="12"/>
      <c r="E96" s="12"/>
      <c r="F96" s="12"/>
      <c r="G96" s="53"/>
      <c r="H96" s="61">
        <f>H97</f>
        <v>79.2</v>
      </c>
      <c r="I96" s="1"/>
    </row>
    <row r="97" spans="1:9" ht="12.75">
      <c r="A97" s="60"/>
      <c r="B97" s="8" t="s">
        <v>71</v>
      </c>
      <c r="C97" s="12" t="s">
        <v>452</v>
      </c>
      <c r="D97" s="12" t="s">
        <v>50</v>
      </c>
      <c r="E97" s="12"/>
      <c r="F97" s="12"/>
      <c r="G97" s="53"/>
      <c r="H97" s="61">
        <f>H98</f>
        <v>79.2</v>
      </c>
      <c r="I97" s="1"/>
    </row>
    <row r="98" spans="1:9" ht="12.75">
      <c r="A98" s="60"/>
      <c r="B98" s="8" t="s">
        <v>78</v>
      </c>
      <c r="C98" s="12" t="s">
        <v>452</v>
      </c>
      <c r="D98" s="12" t="s">
        <v>50</v>
      </c>
      <c r="E98" s="12" t="s">
        <v>54</v>
      </c>
      <c r="F98" s="12"/>
      <c r="G98" s="53"/>
      <c r="H98" s="61">
        <f>H99</f>
        <v>79.2</v>
      </c>
      <c r="I98" s="1"/>
    </row>
    <row r="99" spans="1:9" ht="12.75">
      <c r="A99" s="60"/>
      <c r="B99" s="8" t="s">
        <v>118</v>
      </c>
      <c r="C99" s="12" t="s">
        <v>452</v>
      </c>
      <c r="D99" s="12" t="s">
        <v>50</v>
      </c>
      <c r="E99" s="12" t="s">
        <v>54</v>
      </c>
      <c r="F99" s="12" t="s">
        <v>119</v>
      </c>
      <c r="G99" s="53"/>
      <c r="H99" s="61">
        <f>H100</f>
        <v>79.2</v>
      </c>
      <c r="I99" s="1"/>
    </row>
    <row r="100" spans="1:9" ht="12.75">
      <c r="A100" s="60"/>
      <c r="B100" s="8" t="s">
        <v>331</v>
      </c>
      <c r="C100" s="12" t="s">
        <v>452</v>
      </c>
      <c r="D100" s="12" t="s">
        <v>50</v>
      </c>
      <c r="E100" s="12" t="s">
        <v>54</v>
      </c>
      <c r="F100" s="12" t="s">
        <v>119</v>
      </c>
      <c r="G100" s="53" t="s">
        <v>369</v>
      </c>
      <c r="H100" s="61">
        <f>Лист2!L275</f>
        <v>79.2</v>
      </c>
      <c r="I100" s="1"/>
    </row>
    <row r="101" spans="1:9" ht="25.5">
      <c r="A101" s="70" t="s">
        <v>378</v>
      </c>
      <c r="B101" s="71" t="s">
        <v>364</v>
      </c>
      <c r="C101" s="10" t="s">
        <v>314</v>
      </c>
      <c r="D101" s="10"/>
      <c r="E101" s="10"/>
      <c r="F101" s="10"/>
      <c r="G101" s="10"/>
      <c r="H101" s="72">
        <f>H102</f>
        <v>818.4</v>
      </c>
      <c r="I101" s="1"/>
    </row>
    <row r="102" spans="1:9" ht="12.75">
      <c r="A102" s="56"/>
      <c r="B102" s="57" t="s">
        <v>365</v>
      </c>
      <c r="C102" s="12" t="s">
        <v>314</v>
      </c>
      <c r="D102" s="12" t="s">
        <v>46</v>
      </c>
      <c r="E102" s="12"/>
      <c r="F102" s="12"/>
      <c r="G102" s="12"/>
      <c r="H102" s="58">
        <f>H103</f>
        <v>818.4</v>
      </c>
      <c r="I102" s="1"/>
    </row>
    <row r="103" spans="1:9" ht="12.75">
      <c r="A103" s="56"/>
      <c r="B103" s="8" t="s">
        <v>366</v>
      </c>
      <c r="C103" s="12" t="s">
        <v>314</v>
      </c>
      <c r="D103" s="12" t="s">
        <v>46</v>
      </c>
      <c r="E103" s="12" t="s">
        <v>47</v>
      </c>
      <c r="F103" s="12"/>
      <c r="G103" s="12"/>
      <c r="H103" s="58">
        <f>H104</f>
        <v>818.4</v>
      </c>
      <c r="I103" s="1"/>
    </row>
    <row r="104" spans="1:9" ht="12.75">
      <c r="A104" s="56"/>
      <c r="B104" s="59" t="s">
        <v>117</v>
      </c>
      <c r="C104" s="12" t="s">
        <v>314</v>
      </c>
      <c r="D104" s="12" t="s">
        <v>46</v>
      </c>
      <c r="E104" s="12" t="s">
        <v>47</v>
      </c>
      <c r="F104" s="12" t="s">
        <v>288</v>
      </c>
      <c r="G104" s="12"/>
      <c r="H104" s="58">
        <f>H105</f>
        <v>818.4</v>
      </c>
      <c r="I104" s="1"/>
    </row>
    <row r="105" spans="1:9" ht="12.75">
      <c r="A105" s="56"/>
      <c r="B105" s="57" t="s">
        <v>367</v>
      </c>
      <c r="C105" s="12" t="s">
        <v>314</v>
      </c>
      <c r="D105" s="12" t="s">
        <v>46</v>
      </c>
      <c r="E105" s="12" t="s">
        <v>47</v>
      </c>
      <c r="F105" s="12" t="s">
        <v>288</v>
      </c>
      <c r="G105" s="12" t="s">
        <v>284</v>
      </c>
      <c r="H105" s="58">
        <f>Лист2!H82</f>
        <v>818.4</v>
      </c>
      <c r="I105" s="1"/>
    </row>
    <row r="106" spans="1:9" ht="38.25">
      <c r="A106" s="73" t="s">
        <v>380</v>
      </c>
      <c r="B106" s="9" t="s">
        <v>421</v>
      </c>
      <c r="C106" s="10" t="s">
        <v>420</v>
      </c>
      <c r="D106" s="9"/>
      <c r="E106" s="9"/>
      <c r="F106" s="9"/>
      <c r="G106" s="9"/>
      <c r="H106" s="99">
        <f>H107</f>
        <v>165417.2</v>
      </c>
      <c r="I106" s="1"/>
    </row>
    <row r="107" spans="1:9" ht="12.75">
      <c r="A107" s="73"/>
      <c r="B107" s="11" t="s">
        <v>71</v>
      </c>
      <c r="C107" s="12" t="s">
        <v>420</v>
      </c>
      <c r="D107" s="12" t="s">
        <v>50</v>
      </c>
      <c r="E107" s="12"/>
      <c r="F107" s="8"/>
      <c r="G107" s="8"/>
      <c r="H107" s="55">
        <f>H108</f>
        <v>165417.2</v>
      </c>
      <c r="I107" s="1"/>
    </row>
    <row r="108" spans="1:9" ht="12.75">
      <c r="A108" s="73"/>
      <c r="B108" s="11" t="s">
        <v>73</v>
      </c>
      <c r="C108" s="12" t="s">
        <v>420</v>
      </c>
      <c r="D108" s="12" t="s">
        <v>50</v>
      </c>
      <c r="E108" s="12" t="s">
        <v>42</v>
      </c>
      <c r="F108" s="8"/>
      <c r="G108" s="8"/>
      <c r="H108" s="55">
        <f>H109</f>
        <v>165417.2</v>
      </c>
      <c r="I108" s="1"/>
    </row>
    <row r="109" spans="1:9" ht="12.75">
      <c r="A109" s="73"/>
      <c r="B109" s="20" t="s">
        <v>181</v>
      </c>
      <c r="C109" s="12" t="s">
        <v>420</v>
      </c>
      <c r="D109" s="12" t="s">
        <v>50</v>
      </c>
      <c r="E109" s="12" t="s">
        <v>42</v>
      </c>
      <c r="F109" s="12" t="s">
        <v>182</v>
      </c>
      <c r="G109" s="8"/>
      <c r="H109" s="55">
        <f>H110</f>
        <v>165417.2</v>
      </c>
      <c r="I109" s="1"/>
    </row>
    <row r="110" spans="1:9" ht="12.75">
      <c r="A110" s="73"/>
      <c r="B110" s="54" t="s">
        <v>292</v>
      </c>
      <c r="C110" s="12" t="s">
        <v>420</v>
      </c>
      <c r="D110" s="12" t="s">
        <v>50</v>
      </c>
      <c r="E110" s="12" t="s">
        <v>42</v>
      </c>
      <c r="F110" s="12" t="s">
        <v>182</v>
      </c>
      <c r="G110" s="53" t="s">
        <v>361</v>
      </c>
      <c r="H110" s="55">
        <f>Лист2!H395</f>
        <v>165417.2</v>
      </c>
      <c r="I110" s="1"/>
    </row>
    <row r="111" spans="1:9" ht="12.75">
      <c r="A111" s="79" t="s">
        <v>382</v>
      </c>
      <c r="B111" s="102" t="s">
        <v>443</v>
      </c>
      <c r="C111" s="38" t="s">
        <v>444</v>
      </c>
      <c r="D111" s="12"/>
      <c r="E111" s="12"/>
      <c r="F111" s="12"/>
      <c r="G111" s="53"/>
      <c r="H111" s="80">
        <f>H112</f>
        <v>421.40000000000003</v>
      </c>
      <c r="I111" s="1"/>
    </row>
    <row r="112" spans="1:9" ht="12.75">
      <c r="A112" s="60"/>
      <c r="B112" s="20" t="s">
        <v>245</v>
      </c>
      <c r="C112" s="22" t="s">
        <v>444</v>
      </c>
      <c r="D112" s="12" t="s">
        <v>46</v>
      </c>
      <c r="E112" s="12"/>
      <c r="F112" s="8"/>
      <c r="G112" s="8"/>
      <c r="H112" s="61">
        <f>H113</f>
        <v>421.40000000000003</v>
      </c>
      <c r="I112" s="1"/>
    </row>
    <row r="113" spans="1:9" ht="12.75">
      <c r="A113" s="60"/>
      <c r="B113" s="14" t="s">
        <v>445</v>
      </c>
      <c r="C113" s="22" t="s">
        <v>444</v>
      </c>
      <c r="D113" s="12" t="s">
        <v>46</v>
      </c>
      <c r="E113" s="12" t="s">
        <v>42</v>
      </c>
      <c r="F113" s="8"/>
      <c r="G113" s="8"/>
      <c r="H113" s="61">
        <f>H114+H117</f>
        <v>421.40000000000003</v>
      </c>
      <c r="I113" s="1"/>
    </row>
    <row r="114" spans="1:9" ht="12.75">
      <c r="A114" s="60"/>
      <c r="B114" s="14" t="s">
        <v>95</v>
      </c>
      <c r="C114" s="22" t="s">
        <v>444</v>
      </c>
      <c r="D114" s="12" t="s">
        <v>46</v>
      </c>
      <c r="E114" s="12" t="s">
        <v>42</v>
      </c>
      <c r="F114" s="12" t="s">
        <v>99</v>
      </c>
      <c r="G114" s="8"/>
      <c r="H114" s="61">
        <f>H115+H116</f>
        <v>407.8</v>
      </c>
      <c r="I114" s="1"/>
    </row>
    <row r="115" spans="1:9" ht="12.75">
      <c r="A115" s="60"/>
      <c r="B115" s="14" t="s">
        <v>33</v>
      </c>
      <c r="C115" s="22" t="s">
        <v>444</v>
      </c>
      <c r="D115" s="12" t="s">
        <v>46</v>
      </c>
      <c r="E115" s="12" t="s">
        <v>42</v>
      </c>
      <c r="F115" s="12" t="s">
        <v>99</v>
      </c>
      <c r="G115" s="12" t="s">
        <v>284</v>
      </c>
      <c r="H115" s="61">
        <f>Лист2!L79</f>
        <v>324.1</v>
      </c>
      <c r="I115" s="1"/>
    </row>
    <row r="116" spans="1:9" ht="12.75">
      <c r="A116" s="60"/>
      <c r="B116" s="14" t="s">
        <v>448</v>
      </c>
      <c r="C116" s="22" t="s">
        <v>444</v>
      </c>
      <c r="D116" s="12" t="s">
        <v>46</v>
      </c>
      <c r="E116" s="12" t="s">
        <v>42</v>
      </c>
      <c r="F116" s="12" t="s">
        <v>99</v>
      </c>
      <c r="G116" s="12" t="s">
        <v>369</v>
      </c>
      <c r="H116" s="61">
        <f>Лист2!L231</f>
        <v>83.7</v>
      </c>
      <c r="I116" s="1"/>
    </row>
    <row r="117" spans="1:9" ht="12.75">
      <c r="A117" s="60"/>
      <c r="B117" s="14" t="s">
        <v>117</v>
      </c>
      <c r="C117" s="22" t="s">
        <v>444</v>
      </c>
      <c r="D117" s="12" t="s">
        <v>46</v>
      </c>
      <c r="E117" s="12" t="s">
        <v>42</v>
      </c>
      <c r="F117" s="12" t="s">
        <v>32</v>
      </c>
      <c r="G117" s="12"/>
      <c r="H117" s="61">
        <f>H118</f>
        <v>13.6</v>
      </c>
      <c r="I117" s="1"/>
    </row>
    <row r="118" spans="1:9" ht="12.75">
      <c r="A118" s="60"/>
      <c r="B118" s="14" t="s">
        <v>28</v>
      </c>
      <c r="C118" s="22" t="s">
        <v>444</v>
      </c>
      <c r="D118" s="12" t="s">
        <v>46</v>
      </c>
      <c r="E118" s="12" t="s">
        <v>42</v>
      </c>
      <c r="F118" s="12" t="s">
        <v>32</v>
      </c>
      <c r="G118" s="12" t="s">
        <v>283</v>
      </c>
      <c r="H118" s="61">
        <f>Лист2!L30</f>
        <v>13.6</v>
      </c>
      <c r="I118" s="1"/>
    </row>
    <row r="119" spans="1:9" ht="51">
      <c r="A119" s="70" t="s">
        <v>384</v>
      </c>
      <c r="B119" s="21" t="s">
        <v>411</v>
      </c>
      <c r="C119" s="38" t="s">
        <v>412</v>
      </c>
      <c r="D119" s="12"/>
      <c r="E119" s="12"/>
      <c r="F119" s="12"/>
      <c r="G119" s="12"/>
      <c r="H119" s="72">
        <f>H120</f>
        <v>188034.3</v>
      </c>
      <c r="I119" s="1"/>
    </row>
    <row r="120" spans="1:9" ht="12.75">
      <c r="A120" s="51"/>
      <c r="B120" s="11" t="s">
        <v>63</v>
      </c>
      <c r="C120" s="22" t="s">
        <v>412</v>
      </c>
      <c r="D120" s="12" t="s">
        <v>47</v>
      </c>
      <c r="E120" s="12"/>
      <c r="F120" s="8"/>
      <c r="G120" s="12"/>
      <c r="H120" s="58">
        <f>H121</f>
        <v>188034.3</v>
      </c>
      <c r="I120" s="1"/>
    </row>
    <row r="121" spans="1:9" ht="12.75">
      <c r="A121" s="51"/>
      <c r="B121" s="11" t="s">
        <v>65</v>
      </c>
      <c r="C121" s="22" t="s">
        <v>412</v>
      </c>
      <c r="D121" s="12" t="s">
        <v>47</v>
      </c>
      <c r="E121" s="12" t="s">
        <v>42</v>
      </c>
      <c r="F121" s="8"/>
      <c r="G121" s="12"/>
      <c r="H121" s="58">
        <f>H122</f>
        <v>188034.3</v>
      </c>
      <c r="I121" s="1"/>
    </row>
    <row r="122" spans="1:9" ht="12.75">
      <c r="A122" s="51"/>
      <c r="B122" s="20" t="s">
        <v>181</v>
      </c>
      <c r="C122" s="22" t="s">
        <v>412</v>
      </c>
      <c r="D122" s="12" t="s">
        <v>47</v>
      </c>
      <c r="E122" s="12" t="s">
        <v>42</v>
      </c>
      <c r="F122" s="12" t="s">
        <v>182</v>
      </c>
      <c r="G122" s="12"/>
      <c r="H122" s="58">
        <f>H123</f>
        <v>188034.3</v>
      </c>
      <c r="I122" s="1"/>
    </row>
    <row r="123" spans="1:9" ht="12.75">
      <c r="A123" s="56"/>
      <c r="B123" s="57" t="s">
        <v>367</v>
      </c>
      <c r="C123" s="22" t="s">
        <v>412</v>
      </c>
      <c r="D123" s="12" t="s">
        <v>47</v>
      </c>
      <c r="E123" s="12" t="s">
        <v>42</v>
      </c>
      <c r="F123" s="12" t="s">
        <v>182</v>
      </c>
      <c r="G123" s="12"/>
      <c r="H123" s="58">
        <f>Лист2!H119</f>
        <v>188034.3</v>
      </c>
      <c r="I123" s="1"/>
    </row>
    <row r="124" spans="1:9" ht="28.5" customHeight="1">
      <c r="A124" s="70" t="s">
        <v>386</v>
      </c>
      <c r="B124" s="71" t="s">
        <v>368</v>
      </c>
      <c r="C124" s="10" t="s">
        <v>110</v>
      </c>
      <c r="D124" s="12"/>
      <c r="E124" s="12"/>
      <c r="F124" s="12"/>
      <c r="G124" s="12"/>
      <c r="H124" s="76">
        <f>H125</f>
        <v>855</v>
      </c>
      <c r="I124" s="1"/>
    </row>
    <row r="125" spans="1:9" ht="12.75">
      <c r="A125" s="70"/>
      <c r="B125" s="20" t="s">
        <v>41</v>
      </c>
      <c r="C125" s="12" t="s">
        <v>110</v>
      </c>
      <c r="D125" s="12" t="s">
        <v>42</v>
      </c>
      <c r="E125" s="12"/>
      <c r="F125" s="12"/>
      <c r="G125" s="12"/>
      <c r="H125" s="77">
        <f>H126</f>
        <v>855</v>
      </c>
      <c r="I125" s="1"/>
    </row>
    <row r="126" spans="1:9" ht="12.75">
      <c r="A126" s="78"/>
      <c r="B126" s="14" t="s">
        <v>52</v>
      </c>
      <c r="C126" s="12" t="s">
        <v>110</v>
      </c>
      <c r="D126" s="12" t="s">
        <v>42</v>
      </c>
      <c r="E126" s="12" t="s">
        <v>232</v>
      </c>
      <c r="F126" s="12"/>
      <c r="G126" s="12"/>
      <c r="H126" s="77">
        <f>H127</f>
        <v>855</v>
      </c>
      <c r="I126" s="1"/>
    </row>
    <row r="127" spans="1:9" ht="12.75">
      <c r="A127" s="78"/>
      <c r="B127" s="39" t="s">
        <v>117</v>
      </c>
      <c r="C127" s="12" t="s">
        <v>110</v>
      </c>
      <c r="D127" s="12" t="s">
        <v>42</v>
      </c>
      <c r="E127" s="12" t="s">
        <v>232</v>
      </c>
      <c r="F127" s="12" t="s">
        <v>32</v>
      </c>
      <c r="G127" s="12"/>
      <c r="H127" s="77">
        <f>SUM(H128:H134)</f>
        <v>855</v>
      </c>
      <c r="I127" s="1"/>
    </row>
    <row r="128" spans="1:9" ht="12.75">
      <c r="A128" s="78"/>
      <c r="B128" s="14" t="s">
        <v>28</v>
      </c>
      <c r="C128" s="12" t="s">
        <v>110</v>
      </c>
      <c r="D128" s="12" t="s">
        <v>42</v>
      </c>
      <c r="E128" s="12" t="s">
        <v>232</v>
      </c>
      <c r="F128" s="12" t="s">
        <v>32</v>
      </c>
      <c r="G128" s="12" t="s">
        <v>283</v>
      </c>
      <c r="H128" s="77">
        <f>'[1]Лист2'!I22</f>
        <v>80</v>
      </c>
      <c r="I128" s="1"/>
    </row>
    <row r="129" spans="1:9" ht="12.75">
      <c r="A129" s="78"/>
      <c r="B129" s="57" t="s">
        <v>367</v>
      </c>
      <c r="C129" s="12" t="s">
        <v>110</v>
      </c>
      <c r="D129" s="12" t="s">
        <v>42</v>
      </c>
      <c r="E129" s="12" t="s">
        <v>232</v>
      </c>
      <c r="F129" s="12" t="s">
        <v>32</v>
      </c>
      <c r="G129" s="12" t="s">
        <v>284</v>
      </c>
      <c r="H129" s="77">
        <f>'[1]Лист2'!I53</f>
        <v>300</v>
      </c>
      <c r="I129" s="1"/>
    </row>
    <row r="130" spans="1:9" ht="12.75">
      <c r="A130" s="78"/>
      <c r="B130" s="14" t="s">
        <v>331</v>
      </c>
      <c r="C130" s="12" t="s">
        <v>110</v>
      </c>
      <c r="D130" s="12" t="s">
        <v>42</v>
      </c>
      <c r="E130" s="12" t="s">
        <v>232</v>
      </c>
      <c r="F130" s="12" t="s">
        <v>32</v>
      </c>
      <c r="G130" s="12" t="s">
        <v>369</v>
      </c>
      <c r="H130" s="77">
        <f>'[1]Лист2'!I161</f>
        <v>150</v>
      </c>
      <c r="I130" s="1"/>
    </row>
    <row r="131" spans="1:9" ht="12.75">
      <c r="A131" s="78"/>
      <c r="B131" s="14" t="s">
        <v>286</v>
      </c>
      <c r="C131" s="12" t="s">
        <v>110</v>
      </c>
      <c r="D131" s="12" t="s">
        <v>42</v>
      </c>
      <c r="E131" s="12" t="s">
        <v>232</v>
      </c>
      <c r="F131" s="12" t="s">
        <v>32</v>
      </c>
      <c r="G131" s="12" t="s">
        <v>370</v>
      </c>
      <c r="H131" s="77">
        <f>'[1]Лист2'!I219</f>
        <v>59</v>
      </c>
      <c r="I131" s="1"/>
    </row>
    <row r="132" spans="1:9" ht="12.75">
      <c r="A132" s="78"/>
      <c r="B132" s="54" t="s">
        <v>292</v>
      </c>
      <c r="C132" s="12" t="s">
        <v>110</v>
      </c>
      <c r="D132" s="12" t="s">
        <v>42</v>
      </c>
      <c r="E132" s="12" t="s">
        <v>232</v>
      </c>
      <c r="F132" s="12" t="s">
        <v>32</v>
      </c>
      <c r="G132" s="12" t="s">
        <v>361</v>
      </c>
      <c r="H132" s="77">
        <f>'[1]Лист2'!I252</f>
        <v>34</v>
      </c>
      <c r="I132" s="1"/>
    </row>
    <row r="133" spans="1:9" ht="25.5">
      <c r="A133" s="78"/>
      <c r="B133" s="14" t="s">
        <v>285</v>
      </c>
      <c r="C133" s="12" t="s">
        <v>110</v>
      </c>
      <c r="D133" s="12" t="s">
        <v>42</v>
      </c>
      <c r="E133" s="12" t="s">
        <v>232</v>
      </c>
      <c r="F133" s="12" t="s">
        <v>32</v>
      </c>
      <c r="G133" s="12" t="s">
        <v>371</v>
      </c>
      <c r="H133" s="77">
        <f>'[1]Лист2'!I294</f>
        <v>90</v>
      </c>
      <c r="I133" s="1"/>
    </row>
    <row r="134" spans="1:9" ht="12.75">
      <c r="A134" s="78"/>
      <c r="B134" s="14" t="s">
        <v>29</v>
      </c>
      <c r="C134" s="12" t="s">
        <v>110</v>
      </c>
      <c r="D134" s="12" t="s">
        <v>42</v>
      </c>
      <c r="E134" s="12" t="s">
        <v>232</v>
      </c>
      <c r="F134" s="12" t="s">
        <v>32</v>
      </c>
      <c r="G134" s="12" t="s">
        <v>32</v>
      </c>
      <c r="H134" s="77">
        <f>'[1]Лист2'!I347</f>
        <v>142</v>
      </c>
      <c r="I134" s="1"/>
    </row>
    <row r="135" spans="1:9" ht="27.75" customHeight="1">
      <c r="A135" s="70" t="s">
        <v>388</v>
      </c>
      <c r="B135" s="71" t="s">
        <v>372</v>
      </c>
      <c r="C135" s="10" t="s">
        <v>110</v>
      </c>
      <c r="D135" s="12"/>
      <c r="E135" s="12"/>
      <c r="F135" s="12"/>
      <c r="G135" s="12"/>
      <c r="H135" s="76">
        <f>H136</f>
        <v>750</v>
      </c>
      <c r="I135" s="1"/>
    </row>
    <row r="136" spans="1:9" ht="12.75">
      <c r="A136" s="70"/>
      <c r="B136" s="57" t="s">
        <v>365</v>
      </c>
      <c r="C136" s="12" t="s">
        <v>110</v>
      </c>
      <c r="D136" s="12" t="s">
        <v>46</v>
      </c>
      <c r="E136" s="12"/>
      <c r="F136" s="12"/>
      <c r="G136" s="12"/>
      <c r="H136" s="77">
        <f>H137</f>
        <v>750</v>
      </c>
      <c r="I136" s="1"/>
    </row>
    <row r="137" spans="1:9" ht="12.75">
      <c r="A137" s="78"/>
      <c r="B137" s="57" t="s">
        <v>373</v>
      </c>
      <c r="C137" s="12" t="s">
        <v>110</v>
      </c>
      <c r="D137" s="12" t="s">
        <v>46</v>
      </c>
      <c r="E137" s="12" t="s">
        <v>47</v>
      </c>
      <c r="F137" s="12"/>
      <c r="G137" s="12"/>
      <c r="H137" s="77">
        <f>H138</f>
        <v>750</v>
      </c>
      <c r="I137" s="1"/>
    </row>
    <row r="138" spans="1:9" ht="12.75">
      <c r="A138" s="78"/>
      <c r="B138" s="20" t="s">
        <v>287</v>
      </c>
      <c r="C138" s="12" t="s">
        <v>110</v>
      </c>
      <c r="D138" s="12" t="s">
        <v>46</v>
      </c>
      <c r="E138" s="12" t="s">
        <v>47</v>
      </c>
      <c r="F138" s="12" t="s">
        <v>288</v>
      </c>
      <c r="G138" s="12"/>
      <c r="H138" s="77">
        <f>H139</f>
        <v>750</v>
      </c>
      <c r="I138" s="1"/>
    </row>
    <row r="139" spans="1:9" ht="12.75">
      <c r="A139" s="78"/>
      <c r="B139" s="57" t="s">
        <v>367</v>
      </c>
      <c r="C139" s="12" t="s">
        <v>110</v>
      </c>
      <c r="D139" s="12" t="s">
        <v>46</v>
      </c>
      <c r="E139" s="12" t="s">
        <v>47</v>
      </c>
      <c r="F139" s="12" t="s">
        <v>288</v>
      </c>
      <c r="G139" s="12" t="s">
        <v>284</v>
      </c>
      <c r="H139" s="77">
        <f>'[1]Лист2'!H64</f>
        <v>750</v>
      </c>
      <c r="I139" s="1"/>
    </row>
    <row r="140" spans="1:9" ht="25.5">
      <c r="A140" s="79" t="s">
        <v>390</v>
      </c>
      <c r="B140" s="9" t="s">
        <v>374</v>
      </c>
      <c r="C140" s="10" t="s">
        <v>110</v>
      </c>
      <c r="D140" s="12"/>
      <c r="E140" s="12"/>
      <c r="F140" s="12"/>
      <c r="G140" s="53"/>
      <c r="H140" s="80">
        <f>H141</f>
        <v>455</v>
      </c>
      <c r="I140" s="1"/>
    </row>
    <row r="141" spans="1:9" ht="12.75">
      <c r="A141" s="60"/>
      <c r="B141" s="57" t="s">
        <v>365</v>
      </c>
      <c r="C141" s="12" t="s">
        <v>110</v>
      </c>
      <c r="D141" s="12" t="s">
        <v>46</v>
      </c>
      <c r="E141" s="12"/>
      <c r="F141" s="12"/>
      <c r="G141" s="53"/>
      <c r="H141" s="61">
        <f>H142</f>
        <v>455</v>
      </c>
      <c r="I141" s="1"/>
    </row>
    <row r="142" spans="1:9" ht="12.75">
      <c r="A142" s="60"/>
      <c r="B142" s="14" t="s">
        <v>337</v>
      </c>
      <c r="C142" s="12" t="s">
        <v>110</v>
      </c>
      <c r="D142" s="12" t="s">
        <v>46</v>
      </c>
      <c r="E142" s="12" t="s">
        <v>54</v>
      </c>
      <c r="F142" s="12"/>
      <c r="G142" s="53"/>
      <c r="H142" s="61">
        <f>H143</f>
        <v>455</v>
      </c>
      <c r="I142" s="1"/>
    </row>
    <row r="143" spans="1:9" ht="12.75">
      <c r="A143" s="60"/>
      <c r="B143" s="46" t="s">
        <v>339</v>
      </c>
      <c r="C143" s="12" t="s">
        <v>110</v>
      </c>
      <c r="D143" s="12" t="s">
        <v>46</v>
      </c>
      <c r="E143" s="12" t="s">
        <v>54</v>
      </c>
      <c r="F143" s="12" t="s">
        <v>338</v>
      </c>
      <c r="G143" s="53"/>
      <c r="H143" s="61">
        <f>H144</f>
        <v>455</v>
      </c>
      <c r="I143" s="1"/>
    </row>
    <row r="144" spans="1:9" ht="12.75">
      <c r="A144" s="60"/>
      <c r="B144" s="14" t="s">
        <v>331</v>
      </c>
      <c r="C144" s="12" t="s">
        <v>110</v>
      </c>
      <c r="D144" s="12" t="s">
        <v>46</v>
      </c>
      <c r="E144" s="12" t="s">
        <v>54</v>
      </c>
      <c r="F144" s="12" t="s">
        <v>338</v>
      </c>
      <c r="G144" s="53" t="s">
        <v>369</v>
      </c>
      <c r="H144" s="61">
        <f>'[1]Лист2'!I165</f>
        <v>455</v>
      </c>
      <c r="I144" s="1"/>
    </row>
    <row r="145" spans="1:9" ht="12.75">
      <c r="A145" s="70" t="s">
        <v>393</v>
      </c>
      <c r="B145" s="71" t="s">
        <v>375</v>
      </c>
      <c r="C145" s="10" t="s">
        <v>110</v>
      </c>
      <c r="D145" s="12"/>
      <c r="E145" s="12"/>
      <c r="F145" s="12"/>
      <c r="G145" s="12"/>
      <c r="H145" s="76">
        <f>H146</f>
        <v>3000</v>
      </c>
      <c r="I145" s="1"/>
    </row>
    <row r="146" spans="1:9" ht="12.75">
      <c r="A146" s="70"/>
      <c r="B146" s="57" t="s">
        <v>365</v>
      </c>
      <c r="C146" s="12" t="s">
        <v>110</v>
      </c>
      <c r="D146" s="12" t="s">
        <v>46</v>
      </c>
      <c r="E146" s="12"/>
      <c r="F146" s="12"/>
      <c r="G146" s="12"/>
      <c r="H146" s="77">
        <f>H147</f>
        <v>3000</v>
      </c>
      <c r="I146" s="1"/>
    </row>
    <row r="147" spans="1:9" ht="12.75">
      <c r="A147" s="78"/>
      <c r="B147" s="8" t="s">
        <v>336</v>
      </c>
      <c r="C147" s="12" t="s">
        <v>110</v>
      </c>
      <c r="D147" s="12" t="s">
        <v>46</v>
      </c>
      <c r="E147" s="12" t="s">
        <v>89</v>
      </c>
      <c r="F147" s="12"/>
      <c r="G147" s="12"/>
      <c r="H147" s="77">
        <f>H148</f>
        <v>3000</v>
      </c>
      <c r="I147" s="1"/>
    </row>
    <row r="148" spans="1:9" ht="12.75">
      <c r="A148" s="78"/>
      <c r="B148" s="39" t="s">
        <v>117</v>
      </c>
      <c r="C148" s="12" t="s">
        <v>110</v>
      </c>
      <c r="D148" s="12" t="s">
        <v>46</v>
      </c>
      <c r="E148" s="12" t="s">
        <v>89</v>
      </c>
      <c r="F148" s="12" t="s">
        <v>32</v>
      </c>
      <c r="G148" s="12"/>
      <c r="H148" s="77">
        <f>H149</f>
        <v>3000</v>
      </c>
      <c r="I148" s="1"/>
    </row>
    <row r="149" spans="1:9" ht="12.75">
      <c r="A149" s="78"/>
      <c r="B149" s="57" t="s">
        <v>367</v>
      </c>
      <c r="C149" s="12" t="s">
        <v>110</v>
      </c>
      <c r="D149" s="12" t="s">
        <v>46</v>
      </c>
      <c r="E149" s="12" t="s">
        <v>89</v>
      </c>
      <c r="F149" s="12" t="s">
        <v>32</v>
      </c>
      <c r="G149" s="12" t="s">
        <v>284</v>
      </c>
      <c r="H149" s="77">
        <f>'[1]Лист2'!H74</f>
        <v>3000</v>
      </c>
      <c r="I149" s="1"/>
    </row>
    <row r="150" spans="1:9" s="63" customFormat="1" ht="25.5">
      <c r="A150" s="70" t="s">
        <v>396</v>
      </c>
      <c r="B150" s="71" t="s">
        <v>377</v>
      </c>
      <c r="C150" s="10" t="s">
        <v>110</v>
      </c>
      <c r="D150" s="10"/>
      <c r="E150" s="10"/>
      <c r="F150" s="10"/>
      <c r="G150" s="10"/>
      <c r="H150" s="76">
        <f>H151</f>
        <v>690</v>
      </c>
      <c r="I150" s="62"/>
    </row>
    <row r="151" spans="1:9" s="64" customFormat="1" ht="12.75">
      <c r="A151" s="56"/>
      <c r="B151" s="57" t="s">
        <v>365</v>
      </c>
      <c r="C151" s="12" t="s">
        <v>110</v>
      </c>
      <c r="D151" s="12" t="s">
        <v>46</v>
      </c>
      <c r="E151" s="12"/>
      <c r="F151" s="12"/>
      <c r="G151" s="12"/>
      <c r="H151" s="77">
        <f>H152</f>
        <v>690</v>
      </c>
      <c r="I151" s="1"/>
    </row>
    <row r="152" spans="1:9" s="64" customFormat="1" ht="12.75">
      <c r="A152" s="56"/>
      <c r="B152" s="8" t="s">
        <v>366</v>
      </c>
      <c r="C152" s="12" t="s">
        <v>110</v>
      </c>
      <c r="D152" s="12" t="s">
        <v>46</v>
      </c>
      <c r="E152" s="12" t="s">
        <v>227</v>
      </c>
      <c r="F152" s="12"/>
      <c r="G152" s="12"/>
      <c r="H152" s="77">
        <f>H153</f>
        <v>690</v>
      </c>
      <c r="I152" s="1"/>
    </row>
    <row r="153" spans="1:9" s="64" customFormat="1" ht="12.75">
      <c r="A153" s="56"/>
      <c r="B153" s="59" t="s">
        <v>117</v>
      </c>
      <c r="C153" s="12" t="s">
        <v>110</v>
      </c>
      <c r="D153" s="12" t="s">
        <v>46</v>
      </c>
      <c r="E153" s="12" t="s">
        <v>227</v>
      </c>
      <c r="F153" s="12" t="s">
        <v>32</v>
      </c>
      <c r="G153" s="12"/>
      <c r="H153" s="77">
        <f>H154</f>
        <v>690</v>
      </c>
      <c r="I153" s="1"/>
    </row>
    <row r="154" spans="1:9" s="64" customFormat="1" ht="12.75">
      <c r="A154" s="56"/>
      <c r="B154" s="57" t="s">
        <v>367</v>
      </c>
      <c r="C154" s="12" t="s">
        <v>110</v>
      </c>
      <c r="D154" s="12" t="s">
        <v>46</v>
      </c>
      <c r="E154" s="12" t="s">
        <v>227</v>
      </c>
      <c r="F154" s="12" t="s">
        <v>32</v>
      </c>
      <c r="G154" s="12" t="s">
        <v>284</v>
      </c>
      <c r="H154" s="77">
        <f>'[1]Лист2'!H77</f>
        <v>690</v>
      </c>
      <c r="I154" s="1"/>
    </row>
    <row r="155" spans="1:9" s="64" customFormat="1" ht="25.5">
      <c r="A155" s="70" t="s">
        <v>398</v>
      </c>
      <c r="B155" s="71" t="s">
        <v>379</v>
      </c>
      <c r="C155" s="10" t="s">
        <v>110</v>
      </c>
      <c r="D155" s="10"/>
      <c r="E155" s="10"/>
      <c r="F155" s="10"/>
      <c r="G155" s="10"/>
      <c r="H155" s="76">
        <f>H156</f>
        <v>4258.7</v>
      </c>
      <c r="I155" s="1"/>
    </row>
    <row r="156" spans="1:9" s="64" customFormat="1" ht="12.75">
      <c r="A156" s="56"/>
      <c r="B156" s="57" t="s">
        <v>365</v>
      </c>
      <c r="C156" s="12" t="s">
        <v>110</v>
      </c>
      <c r="D156" s="12" t="s">
        <v>46</v>
      </c>
      <c r="E156" s="12"/>
      <c r="F156" s="12"/>
      <c r="G156" s="12"/>
      <c r="H156" s="77">
        <f>H157</f>
        <v>4258.7</v>
      </c>
      <c r="I156" s="1"/>
    </row>
    <row r="157" spans="1:9" s="64" customFormat="1" ht="12.75">
      <c r="A157" s="56"/>
      <c r="B157" s="8" t="s">
        <v>366</v>
      </c>
      <c r="C157" s="12" t="s">
        <v>110</v>
      </c>
      <c r="D157" s="12" t="s">
        <v>46</v>
      </c>
      <c r="E157" s="12" t="s">
        <v>227</v>
      </c>
      <c r="F157" s="12"/>
      <c r="G157" s="12"/>
      <c r="H157" s="77">
        <f>H158</f>
        <v>4258.7</v>
      </c>
      <c r="I157" s="1"/>
    </row>
    <row r="158" spans="1:9" s="64" customFormat="1" ht="12.75">
      <c r="A158" s="56"/>
      <c r="B158" s="59" t="s">
        <v>117</v>
      </c>
      <c r="C158" s="12" t="s">
        <v>110</v>
      </c>
      <c r="D158" s="12" t="s">
        <v>46</v>
      </c>
      <c r="E158" s="12" t="s">
        <v>227</v>
      </c>
      <c r="F158" s="12" t="s">
        <v>32</v>
      </c>
      <c r="G158" s="12"/>
      <c r="H158" s="77">
        <f>H159</f>
        <v>4258.7</v>
      </c>
      <c r="I158" s="1"/>
    </row>
    <row r="159" spans="1:9" s="64" customFormat="1" ht="12.75">
      <c r="A159" s="56"/>
      <c r="B159" s="54" t="s">
        <v>292</v>
      </c>
      <c r="C159" s="12" t="s">
        <v>110</v>
      </c>
      <c r="D159" s="12" t="s">
        <v>46</v>
      </c>
      <c r="E159" s="12" t="s">
        <v>227</v>
      </c>
      <c r="F159" s="12" t="s">
        <v>32</v>
      </c>
      <c r="G159" s="12" t="s">
        <v>361</v>
      </c>
      <c r="H159" s="77">
        <v>4258.7</v>
      </c>
      <c r="I159" s="1"/>
    </row>
    <row r="160" spans="1:9" s="64" customFormat="1" ht="12.75">
      <c r="A160" s="70" t="s">
        <v>403</v>
      </c>
      <c r="B160" s="71" t="s">
        <v>381</v>
      </c>
      <c r="C160" s="10" t="s">
        <v>110</v>
      </c>
      <c r="D160" s="10"/>
      <c r="E160" s="10"/>
      <c r="F160" s="10"/>
      <c r="G160" s="10"/>
      <c r="H160" s="76">
        <f>H161</f>
        <v>1200</v>
      </c>
      <c r="I160" s="1"/>
    </row>
    <row r="161" spans="1:9" s="64" customFormat="1" ht="12.75">
      <c r="A161" s="56"/>
      <c r="B161" s="57" t="s">
        <v>365</v>
      </c>
      <c r="C161" s="12" t="s">
        <v>110</v>
      </c>
      <c r="D161" s="12" t="s">
        <v>46</v>
      </c>
      <c r="E161" s="12"/>
      <c r="F161" s="12"/>
      <c r="G161" s="12"/>
      <c r="H161" s="77">
        <f>H162</f>
        <v>1200</v>
      </c>
      <c r="I161" s="1"/>
    </row>
    <row r="162" spans="1:9" s="64" customFormat="1" ht="12.75">
      <c r="A162" s="56"/>
      <c r="B162" s="8" t="s">
        <v>366</v>
      </c>
      <c r="C162" s="12" t="s">
        <v>110</v>
      </c>
      <c r="D162" s="12" t="s">
        <v>46</v>
      </c>
      <c r="E162" s="12" t="s">
        <v>227</v>
      </c>
      <c r="F162" s="12"/>
      <c r="G162" s="12"/>
      <c r="H162" s="77">
        <f>H163</f>
        <v>1200</v>
      </c>
      <c r="I162" s="1"/>
    </row>
    <row r="163" spans="1:9" s="64" customFormat="1" ht="12.75">
      <c r="A163" s="56"/>
      <c r="B163" s="59" t="s">
        <v>117</v>
      </c>
      <c r="C163" s="12" t="s">
        <v>110</v>
      </c>
      <c r="D163" s="12" t="s">
        <v>46</v>
      </c>
      <c r="E163" s="12" t="s">
        <v>227</v>
      </c>
      <c r="F163" s="12" t="s">
        <v>32</v>
      </c>
      <c r="G163" s="12"/>
      <c r="H163" s="77">
        <f>H164</f>
        <v>1200</v>
      </c>
      <c r="I163" s="1"/>
    </row>
    <row r="164" spans="1:9" s="64" customFormat="1" ht="12.75">
      <c r="A164" s="56"/>
      <c r="B164" s="54" t="s">
        <v>292</v>
      </c>
      <c r="C164" s="12" t="s">
        <v>110</v>
      </c>
      <c r="D164" s="12" t="s">
        <v>46</v>
      </c>
      <c r="E164" s="12" t="s">
        <v>227</v>
      </c>
      <c r="F164" s="12" t="s">
        <v>32</v>
      </c>
      <c r="G164" s="12" t="s">
        <v>361</v>
      </c>
      <c r="H164" s="77">
        <v>1200</v>
      </c>
      <c r="I164" s="1"/>
    </row>
    <row r="165" spans="1:9" s="64" customFormat="1" ht="25.5">
      <c r="A165" s="70" t="s">
        <v>413</v>
      </c>
      <c r="B165" s="71" t="s">
        <v>383</v>
      </c>
      <c r="C165" s="10" t="s">
        <v>110</v>
      </c>
      <c r="D165" s="10"/>
      <c r="E165" s="10"/>
      <c r="F165" s="10"/>
      <c r="G165" s="10"/>
      <c r="H165" s="76">
        <f>H166</f>
        <v>4100</v>
      </c>
      <c r="I165" s="1"/>
    </row>
    <row r="166" spans="1:9" s="64" customFormat="1" ht="12.75">
      <c r="A166" s="56"/>
      <c r="B166" s="57" t="s">
        <v>365</v>
      </c>
      <c r="C166" s="12" t="s">
        <v>110</v>
      </c>
      <c r="D166" s="12" t="s">
        <v>46</v>
      </c>
      <c r="E166" s="12"/>
      <c r="F166" s="12"/>
      <c r="G166" s="12"/>
      <c r="H166" s="77">
        <f>H167</f>
        <v>4100</v>
      </c>
      <c r="I166" s="1"/>
    </row>
    <row r="167" spans="1:9" s="64" customFormat="1" ht="12.75">
      <c r="A167" s="56"/>
      <c r="B167" s="8" t="s">
        <v>366</v>
      </c>
      <c r="C167" s="12" t="s">
        <v>110</v>
      </c>
      <c r="D167" s="12" t="s">
        <v>46</v>
      </c>
      <c r="E167" s="12" t="s">
        <v>227</v>
      </c>
      <c r="F167" s="12"/>
      <c r="G167" s="12"/>
      <c r="H167" s="77">
        <f>H168</f>
        <v>4100</v>
      </c>
      <c r="I167" s="1"/>
    </row>
    <row r="168" spans="1:9" s="64" customFormat="1" ht="12.75">
      <c r="A168" s="56"/>
      <c r="B168" s="59" t="s">
        <v>117</v>
      </c>
      <c r="C168" s="12" t="s">
        <v>110</v>
      </c>
      <c r="D168" s="12" t="s">
        <v>46</v>
      </c>
      <c r="E168" s="12" t="s">
        <v>227</v>
      </c>
      <c r="F168" s="12" t="s">
        <v>32</v>
      </c>
      <c r="G168" s="12"/>
      <c r="H168" s="77">
        <f>H169</f>
        <v>4100</v>
      </c>
      <c r="I168" s="1"/>
    </row>
    <row r="169" spans="1:9" s="64" customFormat="1" ht="12.75">
      <c r="A169" s="92"/>
      <c r="B169" s="54" t="s">
        <v>292</v>
      </c>
      <c r="C169" s="12" t="s">
        <v>110</v>
      </c>
      <c r="D169" s="12" t="s">
        <v>46</v>
      </c>
      <c r="E169" s="12" t="s">
        <v>227</v>
      </c>
      <c r="F169" s="12" t="s">
        <v>32</v>
      </c>
      <c r="G169" s="12" t="s">
        <v>361</v>
      </c>
      <c r="H169" s="77">
        <v>4100</v>
      </c>
      <c r="I169" s="1"/>
    </row>
    <row r="170" spans="1:9" s="64" customFormat="1" ht="25.5">
      <c r="A170" s="70" t="s">
        <v>414</v>
      </c>
      <c r="B170" s="71" t="s">
        <v>385</v>
      </c>
      <c r="C170" s="10" t="s">
        <v>110</v>
      </c>
      <c r="D170" s="10"/>
      <c r="E170" s="10"/>
      <c r="F170" s="10"/>
      <c r="G170" s="10"/>
      <c r="H170" s="76">
        <f>H171</f>
        <v>5495.2</v>
      </c>
      <c r="I170" s="1"/>
    </row>
    <row r="171" spans="1:9" s="64" customFormat="1" ht="12.75">
      <c r="A171" s="56"/>
      <c r="B171" s="20" t="s">
        <v>63</v>
      </c>
      <c r="C171" s="12" t="s">
        <v>110</v>
      </c>
      <c r="D171" s="12" t="s">
        <v>47</v>
      </c>
      <c r="E171" s="12"/>
      <c r="F171" s="12"/>
      <c r="G171" s="12"/>
      <c r="H171" s="77">
        <f>H172</f>
        <v>5495.2</v>
      </c>
      <c r="I171" s="1"/>
    </row>
    <row r="172" spans="1:9" s="64" customFormat="1" ht="12.75">
      <c r="A172" s="56"/>
      <c r="B172" s="20" t="s">
        <v>65</v>
      </c>
      <c r="C172" s="12" t="s">
        <v>110</v>
      </c>
      <c r="D172" s="12" t="s">
        <v>47</v>
      </c>
      <c r="E172" s="12" t="s">
        <v>42</v>
      </c>
      <c r="F172" s="12"/>
      <c r="G172" s="12"/>
      <c r="H172" s="77">
        <f>H173</f>
        <v>5495.2</v>
      </c>
      <c r="I172" s="1"/>
    </row>
    <row r="173" spans="1:9" s="64" customFormat="1" ht="12.75">
      <c r="A173" s="56"/>
      <c r="B173" s="14" t="s">
        <v>117</v>
      </c>
      <c r="C173" s="12" t="s">
        <v>110</v>
      </c>
      <c r="D173" s="12" t="s">
        <v>47</v>
      </c>
      <c r="E173" s="12" t="s">
        <v>42</v>
      </c>
      <c r="F173" s="12" t="s">
        <v>32</v>
      </c>
      <c r="G173" s="12"/>
      <c r="H173" s="77">
        <f>H174</f>
        <v>5495.2</v>
      </c>
      <c r="I173" s="1"/>
    </row>
    <row r="174" spans="1:9" s="64" customFormat="1" ht="25.5">
      <c r="A174" s="56"/>
      <c r="B174" s="14" t="s">
        <v>285</v>
      </c>
      <c r="C174" s="12" t="s">
        <v>110</v>
      </c>
      <c r="D174" s="12" t="s">
        <v>47</v>
      </c>
      <c r="E174" s="12" t="s">
        <v>42</v>
      </c>
      <c r="F174" s="12" t="s">
        <v>32</v>
      </c>
      <c r="G174" s="12" t="s">
        <v>371</v>
      </c>
      <c r="H174" s="77">
        <f>Лист2!H451</f>
        <v>5495.2</v>
      </c>
      <c r="I174" s="1"/>
    </row>
    <row r="175" spans="1:9" s="64" customFormat="1" ht="51">
      <c r="A175" s="70" t="s">
        <v>439</v>
      </c>
      <c r="B175" s="100" t="s">
        <v>415</v>
      </c>
      <c r="C175" s="10" t="s">
        <v>110</v>
      </c>
      <c r="D175" s="10"/>
      <c r="E175" s="10"/>
      <c r="F175" s="10"/>
      <c r="G175" s="10"/>
      <c r="H175" s="76">
        <f>H176</f>
        <v>14848.9</v>
      </c>
      <c r="I175" s="1"/>
    </row>
    <row r="176" spans="1:9" s="64" customFormat="1" ht="12.75">
      <c r="A176" s="56"/>
      <c r="B176" s="20" t="s">
        <v>63</v>
      </c>
      <c r="C176" s="12" t="s">
        <v>110</v>
      </c>
      <c r="D176" s="12" t="s">
        <v>47</v>
      </c>
      <c r="E176" s="12"/>
      <c r="F176" s="12"/>
      <c r="G176" s="12"/>
      <c r="H176" s="77">
        <f>H177</f>
        <v>14848.9</v>
      </c>
      <c r="I176" s="1"/>
    </row>
    <row r="177" spans="1:9" s="64" customFormat="1" ht="12.75">
      <c r="A177" s="56"/>
      <c r="B177" s="20" t="s">
        <v>65</v>
      </c>
      <c r="C177" s="12" t="s">
        <v>110</v>
      </c>
      <c r="D177" s="12" t="s">
        <v>47</v>
      </c>
      <c r="E177" s="12" t="s">
        <v>42</v>
      </c>
      <c r="F177" s="12"/>
      <c r="G177" s="12"/>
      <c r="H177" s="77">
        <f>H178</f>
        <v>14848.9</v>
      </c>
      <c r="I177" s="1"/>
    </row>
    <row r="178" spans="1:9" s="64" customFormat="1" ht="12.75">
      <c r="A178" s="56"/>
      <c r="B178" s="14" t="s">
        <v>117</v>
      </c>
      <c r="C178" s="12" t="s">
        <v>110</v>
      </c>
      <c r="D178" s="12" t="s">
        <v>47</v>
      </c>
      <c r="E178" s="12" t="s">
        <v>42</v>
      </c>
      <c r="F178" s="12" t="s">
        <v>32</v>
      </c>
      <c r="G178" s="12"/>
      <c r="H178" s="77">
        <f>H179</f>
        <v>14848.9</v>
      </c>
      <c r="I178" s="1"/>
    </row>
    <row r="179" spans="1:9" s="64" customFormat="1" ht="12.75">
      <c r="A179" s="56"/>
      <c r="B179" s="57" t="s">
        <v>367</v>
      </c>
      <c r="C179" s="12" t="s">
        <v>110</v>
      </c>
      <c r="D179" s="12" t="s">
        <v>47</v>
      </c>
      <c r="E179" s="12" t="s">
        <v>42</v>
      </c>
      <c r="F179" s="12" t="s">
        <v>32</v>
      </c>
      <c r="G179" s="12" t="s">
        <v>284</v>
      </c>
      <c r="H179" s="77">
        <f>Лист2!H121</f>
        <v>14848.9</v>
      </c>
      <c r="I179" s="1"/>
    </row>
    <row r="180" spans="1:9" s="64" customFormat="1" ht="25.5">
      <c r="A180" s="203" t="s">
        <v>440</v>
      </c>
      <c r="B180" s="204" t="s">
        <v>387</v>
      </c>
      <c r="C180" s="205" t="s">
        <v>110</v>
      </c>
      <c r="D180" s="205"/>
      <c r="E180" s="205"/>
      <c r="F180" s="205"/>
      <c r="G180" s="205"/>
      <c r="H180" s="206">
        <f>H181</f>
        <v>49205</v>
      </c>
      <c r="I180" s="1"/>
    </row>
    <row r="181" spans="1:9" s="64" customFormat="1" ht="12.75">
      <c r="A181" s="56"/>
      <c r="B181" s="20" t="s">
        <v>63</v>
      </c>
      <c r="C181" s="12" t="s">
        <v>110</v>
      </c>
      <c r="D181" s="12" t="s">
        <v>47</v>
      </c>
      <c r="E181" s="12"/>
      <c r="F181" s="12"/>
      <c r="G181" s="12"/>
      <c r="H181" s="77">
        <f>H182</f>
        <v>49205</v>
      </c>
      <c r="I181" s="1"/>
    </row>
    <row r="182" spans="1:9" s="64" customFormat="1" ht="12.75">
      <c r="A182" s="56"/>
      <c r="B182" s="14" t="s">
        <v>69</v>
      </c>
      <c r="C182" s="12" t="s">
        <v>110</v>
      </c>
      <c r="D182" s="12" t="s">
        <v>47</v>
      </c>
      <c r="E182" s="12" t="s">
        <v>47</v>
      </c>
      <c r="F182" s="12"/>
      <c r="G182" s="12"/>
      <c r="H182" s="77">
        <f>H183</f>
        <v>49205</v>
      </c>
      <c r="I182" s="1"/>
    </row>
    <row r="183" spans="1:9" s="64" customFormat="1" ht="12.75">
      <c r="A183" s="56"/>
      <c r="B183" s="14" t="s">
        <v>117</v>
      </c>
      <c r="C183" s="12" t="s">
        <v>110</v>
      </c>
      <c r="D183" s="12" t="s">
        <v>47</v>
      </c>
      <c r="E183" s="12" t="s">
        <v>47</v>
      </c>
      <c r="F183" s="12" t="s">
        <v>32</v>
      </c>
      <c r="G183" s="12"/>
      <c r="H183" s="77">
        <f>H184</f>
        <v>49205</v>
      </c>
      <c r="I183" s="1"/>
    </row>
    <row r="184" spans="1:9" s="64" customFormat="1" ht="12.75">
      <c r="A184" s="56"/>
      <c r="B184" s="57" t="s">
        <v>367</v>
      </c>
      <c r="C184" s="12" t="s">
        <v>110</v>
      </c>
      <c r="D184" s="12" t="s">
        <v>47</v>
      </c>
      <c r="E184" s="12" t="s">
        <v>47</v>
      </c>
      <c r="F184" s="12" t="s">
        <v>32</v>
      </c>
      <c r="G184" s="12" t="s">
        <v>284</v>
      </c>
      <c r="H184" s="77">
        <f>Лист2!H128</f>
        <v>49205</v>
      </c>
      <c r="I184" s="1"/>
    </row>
    <row r="185" spans="1:9" ht="12.75">
      <c r="A185" s="73" t="s">
        <v>441</v>
      </c>
      <c r="B185" s="18" t="s">
        <v>389</v>
      </c>
      <c r="C185" s="10" t="s">
        <v>110</v>
      </c>
      <c r="D185" s="13"/>
      <c r="E185" s="13"/>
      <c r="F185" s="13"/>
      <c r="G185" s="13"/>
      <c r="H185" s="81">
        <f>H186</f>
        <v>3900</v>
      </c>
      <c r="I185" s="1"/>
    </row>
    <row r="186" spans="1:9" ht="12.75">
      <c r="A186" s="73"/>
      <c r="B186" s="11" t="s">
        <v>71</v>
      </c>
      <c r="C186" s="12" t="s">
        <v>110</v>
      </c>
      <c r="D186" s="12" t="s">
        <v>50</v>
      </c>
      <c r="E186" s="12"/>
      <c r="F186" s="8"/>
      <c r="G186" s="8"/>
      <c r="H186" s="82">
        <f>H187</f>
        <v>3900</v>
      </c>
      <c r="I186" s="1"/>
    </row>
    <row r="187" spans="1:9" ht="12.75">
      <c r="A187" s="73"/>
      <c r="B187" s="11" t="s">
        <v>77</v>
      </c>
      <c r="C187" s="12" t="s">
        <v>110</v>
      </c>
      <c r="D187" s="12" t="s">
        <v>50</v>
      </c>
      <c r="E187" s="12" t="s">
        <v>50</v>
      </c>
      <c r="F187" s="8"/>
      <c r="G187" s="8"/>
      <c r="H187" s="82">
        <f>H188+H190</f>
        <v>3900</v>
      </c>
      <c r="I187" s="1"/>
    </row>
    <row r="188" spans="1:9" ht="12.75">
      <c r="A188" s="73"/>
      <c r="B188" s="14" t="s">
        <v>111</v>
      </c>
      <c r="C188" s="12" t="s">
        <v>110</v>
      </c>
      <c r="D188" s="12" t="s">
        <v>50</v>
      </c>
      <c r="E188" s="12" t="s">
        <v>50</v>
      </c>
      <c r="F188" s="12" t="s">
        <v>112</v>
      </c>
      <c r="G188" s="8"/>
      <c r="H188" s="82">
        <f>H189</f>
        <v>2900</v>
      </c>
      <c r="I188" s="1"/>
    </row>
    <row r="189" spans="1:9" ht="12.75">
      <c r="A189" s="73"/>
      <c r="B189" s="8" t="s">
        <v>33</v>
      </c>
      <c r="C189" s="12" t="s">
        <v>110</v>
      </c>
      <c r="D189" s="12" t="s">
        <v>50</v>
      </c>
      <c r="E189" s="12" t="s">
        <v>50</v>
      </c>
      <c r="F189" s="12" t="s">
        <v>112</v>
      </c>
      <c r="G189" s="53" t="s">
        <v>284</v>
      </c>
      <c r="H189" s="82">
        <f>'[1]Лист2'!H96+'[1]Лист2'!I188</f>
        <v>2900</v>
      </c>
      <c r="I189" s="1"/>
    </row>
    <row r="190" spans="1:9" ht="12.75">
      <c r="A190" s="73"/>
      <c r="B190" s="59" t="s">
        <v>117</v>
      </c>
      <c r="C190" s="12" t="s">
        <v>110</v>
      </c>
      <c r="D190" s="12" t="s">
        <v>50</v>
      </c>
      <c r="E190" s="12" t="s">
        <v>50</v>
      </c>
      <c r="F190" s="12" t="s">
        <v>32</v>
      </c>
      <c r="G190" s="53"/>
      <c r="H190" s="82">
        <f>H191</f>
        <v>1000</v>
      </c>
      <c r="I190" s="1"/>
    </row>
    <row r="191" spans="1:9" ht="12.75">
      <c r="A191" s="73"/>
      <c r="B191" s="8" t="s">
        <v>33</v>
      </c>
      <c r="C191" s="12" t="s">
        <v>110</v>
      </c>
      <c r="D191" s="12" t="s">
        <v>50</v>
      </c>
      <c r="E191" s="12" t="s">
        <v>50</v>
      </c>
      <c r="F191" s="12" t="s">
        <v>32</v>
      </c>
      <c r="G191" s="53" t="s">
        <v>284</v>
      </c>
      <c r="H191" s="82">
        <f>'[1]Лист2'!H97</f>
        <v>1000</v>
      </c>
      <c r="I191" s="1"/>
    </row>
    <row r="192" spans="1:9" ht="25.5">
      <c r="A192" s="79" t="s">
        <v>446</v>
      </c>
      <c r="B192" s="9" t="s">
        <v>391</v>
      </c>
      <c r="C192" s="10" t="s">
        <v>110</v>
      </c>
      <c r="D192" s="12"/>
      <c r="E192" s="12"/>
      <c r="F192" s="12"/>
      <c r="G192" s="53"/>
      <c r="H192" s="83">
        <f>H193</f>
        <v>3203</v>
      </c>
      <c r="I192" s="1"/>
    </row>
    <row r="193" spans="1:9" ht="12.75">
      <c r="A193" s="60"/>
      <c r="B193" s="8" t="s">
        <v>71</v>
      </c>
      <c r="C193" s="12" t="s">
        <v>110</v>
      </c>
      <c r="D193" s="12" t="s">
        <v>50</v>
      </c>
      <c r="E193" s="12"/>
      <c r="F193" s="12"/>
      <c r="G193" s="53"/>
      <c r="H193" s="65">
        <f>H194</f>
        <v>3203</v>
      </c>
      <c r="I193" s="1"/>
    </row>
    <row r="194" spans="1:9" ht="12.75">
      <c r="A194" s="60"/>
      <c r="B194" s="8" t="s">
        <v>78</v>
      </c>
      <c r="C194" s="12" t="s">
        <v>110</v>
      </c>
      <c r="D194" s="12" t="s">
        <v>50</v>
      </c>
      <c r="E194" s="12" t="s">
        <v>54</v>
      </c>
      <c r="F194" s="12"/>
      <c r="G194" s="53"/>
      <c r="H194" s="65">
        <f>H195</f>
        <v>3203</v>
      </c>
      <c r="I194" s="1"/>
    </row>
    <row r="195" spans="1:9" ht="12.75">
      <c r="A195" s="60"/>
      <c r="B195" s="8" t="s">
        <v>118</v>
      </c>
      <c r="C195" s="12" t="s">
        <v>110</v>
      </c>
      <c r="D195" s="12" t="s">
        <v>50</v>
      </c>
      <c r="E195" s="12" t="s">
        <v>54</v>
      </c>
      <c r="F195" s="12" t="s">
        <v>119</v>
      </c>
      <c r="G195" s="53"/>
      <c r="H195" s="65">
        <f>H196</f>
        <v>3203</v>
      </c>
      <c r="I195" s="1"/>
    </row>
    <row r="196" spans="1:9" ht="12.75">
      <c r="A196" s="60"/>
      <c r="B196" s="8" t="s">
        <v>392</v>
      </c>
      <c r="C196" s="12" t="s">
        <v>110</v>
      </c>
      <c r="D196" s="12" t="s">
        <v>50</v>
      </c>
      <c r="E196" s="12" t="s">
        <v>54</v>
      </c>
      <c r="F196" s="12" t="s">
        <v>119</v>
      </c>
      <c r="G196" s="53" t="s">
        <v>369</v>
      </c>
      <c r="H196" s="65">
        <f>Лист2!H277</f>
        <v>3203</v>
      </c>
      <c r="I196" s="1"/>
    </row>
    <row r="197" spans="1:9" s="63" customFormat="1" ht="12.75">
      <c r="A197" s="79" t="s">
        <v>453</v>
      </c>
      <c r="B197" s="9" t="s">
        <v>394</v>
      </c>
      <c r="C197" s="10" t="s">
        <v>110</v>
      </c>
      <c r="D197" s="10"/>
      <c r="E197" s="10"/>
      <c r="F197" s="10"/>
      <c r="G197" s="84"/>
      <c r="H197" s="83">
        <f>H198</f>
        <v>100</v>
      </c>
      <c r="I197" s="62"/>
    </row>
    <row r="198" spans="1:9" ht="12.75">
      <c r="A198" s="79"/>
      <c r="B198" s="14" t="s">
        <v>79</v>
      </c>
      <c r="C198" s="12" t="s">
        <v>110</v>
      </c>
      <c r="D198" s="12" t="s">
        <v>61</v>
      </c>
      <c r="E198" s="12"/>
      <c r="F198" s="12"/>
      <c r="G198" s="53"/>
      <c r="H198" s="65">
        <f>H199</f>
        <v>100</v>
      </c>
      <c r="I198" s="1"/>
    </row>
    <row r="199" spans="1:9" ht="25.5">
      <c r="A199" s="79"/>
      <c r="B199" s="8" t="s">
        <v>303</v>
      </c>
      <c r="C199" s="12" t="s">
        <v>110</v>
      </c>
      <c r="D199" s="12" t="s">
        <v>61</v>
      </c>
      <c r="E199" s="12" t="s">
        <v>48</v>
      </c>
      <c r="F199" s="12"/>
      <c r="G199" s="53"/>
      <c r="H199" s="65">
        <f>H200</f>
        <v>100</v>
      </c>
      <c r="I199" s="1"/>
    </row>
    <row r="200" spans="1:9" ht="25.5">
      <c r="A200" s="79"/>
      <c r="B200" s="8" t="s">
        <v>395</v>
      </c>
      <c r="C200" s="12" t="s">
        <v>110</v>
      </c>
      <c r="D200" s="12" t="s">
        <v>61</v>
      </c>
      <c r="E200" s="12" t="s">
        <v>48</v>
      </c>
      <c r="F200" s="12" t="s">
        <v>305</v>
      </c>
      <c r="G200" s="53"/>
      <c r="H200" s="65">
        <f>H201</f>
        <v>100</v>
      </c>
      <c r="I200" s="1"/>
    </row>
    <row r="201" spans="1:9" ht="12.75">
      <c r="A201" s="79"/>
      <c r="B201" s="8" t="s">
        <v>367</v>
      </c>
      <c r="C201" s="12" t="s">
        <v>110</v>
      </c>
      <c r="D201" s="12" t="s">
        <v>61</v>
      </c>
      <c r="E201" s="12" t="s">
        <v>48</v>
      </c>
      <c r="F201" s="12" t="s">
        <v>305</v>
      </c>
      <c r="G201" s="53" t="s">
        <v>284</v>
      </c>
      <c r="H201" s="65">
        <f>'[1]Лист2'!I121</f>
        <v>100</v>
      </c>
      <c r="I201" s="1"/>
    </row>
    <row r="202" spans="1:9" s="63" customFormat="1" ht="25.5">
      <c r="A202" s="79" t="s">
        <v>460</v>
      </c>
      <c r="B202" s="9" t="s">
        <v>397</v>
      </c>
      <c r="C202" s="10" t="s">
        <v>110</v>
      </c>
      <c r="D202" s="10"/>
      <c r="E202" s="10"/>
      <c r="F202" s="10"/>
      <c r="G202" s="84"/>
      <c r="H202" s="83">
        <f>H203</f>
        <v>1200</v>
      </c>
      <c r="I202" s="62"/>
    </row>
    <row r="203" spans="1:9" ht="12.75">
      <c r="A203" s="79"/>
      <c r="B203" s="14" t="s">
        <v>30</v>
      </c>
      <c r="C203" s="12" t="s">
        <v>110</v>
      </c>
      <c r="D203" s="12" t="s">
        <v>54</v>
      </c>
      <c r="E203" s="12"/>
      <c r="F203" s="12"/>
      <c r="G203" s="53"/>
      <c r="H203" s="65">
        <f>H204</f>
        <v>1200</v>
      </c>
      <c r="I203" s="1"/>
    </row>
    <row r="204" spans="1:9" ht="12.75">
      <c r="A204" s="79"/>
      <c r="B204" s="14" t="s">
        <v>184</v>
      </c>
      <c r="C204" s="12" t="s">
        <v>110</v>
      </c>
      <c r="D204" s="12" t="s">
        <v>54</v>
      </c>
      <c r="E204" s="12" t="s">
        <v>61</v>
      </c>
      <c r="F204" s="12"/>
      <c r="G204" s="53"/>
      <c r="H204" s="65">
        <f>H205</f>
        <v>1200</v>
      </c>
      <c r="I204" s="1"/>
    </row>
    <row r="205" spans="1:9" ht="12.75">
      <c r="A205" s="79"/>
      <c r="B205" s="14" t="s">
        <v>301</v>
      </c>
      <c r="C205" s="12" t="s">
        <v>110</v>
      </c>
      <c r="D205" s="12" t="s">
        <v>54</v>
      </c>
      <c r="E205" s="12" t="s">
        <v>61</v>
      </c>
      <c r="F205" s="12" t="s">
        <v>302</v>
      </c>
      <c r="G205" s="53"/>
      <c r="H205" s="65">
        <f>H206</f>
        <v>1200</v>
      </c>
      <c r="I205" s="1"/>
    </row>
    <row r="206" spans="1:9" ht="12.75">
      <c r="A206" s="79"/>
      <c r="B206" s="8" t="s">
        <v>367</v>
      </c>
      <c r="C206" s="12" t="s">
        <v>110</v>
      </c>
      <c r="D206" s="12" t="s">
        <v>54</v>
      </c>
      <c r="E206" s="12" t="s">
        <v>61</v>
      </c>
      <c r="F206" s="12" t="s">
        <v>302</v>
      </c>
      <c r="G206" s="53" t="s">
        <v>284</v>
      </c>
      <c r="H206" s="65">
        <f>'[1]Лист2'!H129</f>
        <v>1200</v>
      </c>
      <c r="I206" s="1"/>
    </row>
    <row r="207" spans="1:9" ht="25.5">
      <c r="A207" s="79" t="s">
        <v>473</v>
      </c>
      <c r="B207" s="9" t="s">
        <v>399</v>
      </c>
      <c r="C207" s="10" t="s">
        <v>110</v>
      </c>
      <c r="D207" s="12"/>
      <c r="E207" s="12"/>
      <c r="F207" s="12"/>
      <c r="G207" s="53"/>
      <c r="H207" s="83">
        <f>H208</f>
        <v>500</v>
      </c>
      <c r="I207" s="1"/>
    </row>
    <row r="208" spans="1:9" ht="12.75">
      <c r="A208" s="60"/>
      <c r="B208" s="14" t="s">
        <v>30</v>
      </c>
      <c r="C208" s="12" t="s">
        <v>110</v>
      </c>
      <c r="D208" s="12" t="s">
        <v>54</v>
      </c>
      <c r="E208" s="12"/>
      <c r="F208" s="12"/>
      <c r="G208" s="53"/>
      <c r="H208" s="65">
        <f>H209</f>
        <v>500</v>
      </c>
      <c r="I208" s="1"/>
    </row>
    <row r="209" spans="1:9" ht="12.75">
      <c r="A209" s="60"/>
      <c r="B209" s="14" t="s">
        <v>159</v>
      </c>
      <c r="C209" s="12" t="s">
        <v>110</v>
      </c>
      <c r="D209" s="12" t="s">
        <v>54</v>
      </c>
      <c r="E209" s="12" t="s">
        <v>89</v>
      </c>
      <c r="F209" s="12"/>
      <c r="G209" s="53"/>
      <c r="H209" s="65">
        <f>H210</f>
        <v>500</v>
      </c>
      <c r="I209" s="1"/>
    </row>
    <row r="210" spans="1:9" ht="12.75">
      <c r="A210" s="60"/>
      <c r="B210" s="8" t="s">
        <v>301</v>
      </c>
      <c r="C210" s="12" t="s">
        <v>110</v>
      </c>
      <c r="D210" s="12" t="s">
        <v>54</v>
      </c>
      <c r="E210" s="12" t="s">
        <v>89</v>
      </c>
      <c r="F210" s="12" t="s">
        <v>302</v>
      </c>
      <c r="G210" s="53"/>
      <c r="H210" s="65">
        <f>H211</f>
        <v>500</v>
      </c>
      <c r="I210" s="1"/>
    </row>
    <row r="211" spans="1:9" ht="12.75">
      <c r="A211" s="60"/>
      <c r="B211" s="14" t="s">
        <v>286</v>
      </c>
      <c r="C211" s="12" t="s">
        <v>110</v>
      </c>
      <c r="D211" s="12" t="s">
        <v>54</v>
      </c>
      <c r="E211" s="12" t="s">
        <v>89</v>
      </c>
      <c r="F211" s="12" t="s">
        <v>302</v>
      </c>
      <c r="G211" s="53" t="s">
        <v>370</v>
      </c>
      <c r="H211" s="65">
        <f>'[1]Лист2'!I247</f>
        <v>500</v>
      </c>
      <c r="I211" s="1"/>
    </row>
    <row r="212" spans="1:9" ht="12.75">
      <c r="A212" s="66"/>
      <c r="B212" s="42" t="s">
        <v>400</v>
      </c>
      <c r="C212" s="42"/>
      <c r="D212" s="42"/>
      <c r="E212" s="42"/>
      <c r="F212" s="42"/>
      <c r="G212" s="42"/>
      <c r="H212" s="67">
        <f>H8+H13+H20+H25+H30+H36+H43+H64+H90+H101+H106+H111+H119+H124+H135+H140+H145+H150+H155+H160+H165+H170+H175+H180+H185+H192+H197+H202+H207</f>
        <v>861294.2999999999</v>
      </c>
      <c r="I212" s="1"/>
    </row>
    <row r="213" spans="1:9" ht="12.75">
      <c r="A213" s="90"/>
      <c r="B213" s="86"/>
      <c r="C213" s="86"/>
      <c r="D213" s="86"/>
      <c r="E213" s="86"/>
      <c r="F213" s="86"/>
      <c r="G213" s="86"/>
      <c r="H213" s="91"/>
      <c r="I213" s="1"/>
    </row>
    <row r="214" spans="1:9" ht="12.75">
      <c r="A214" s="1"/>
      <c r="B214" s="1"/>
      <c r="C214" s="1"/>
      <c r="D214" s="1"/>
      <c r="E214" s="1"/>
      <c r="F214" s="1"/>
      <c r="G214" s="1"/>
      <c r="H214" s="1"/>
      <c r="I214" s="1"/>
    </row>
    <row r="215" spans="1:9" ht="12.75">
      <c r="A215" s="68"/>
      <c r="B215" s="68"/>
      <c r="C215" s="68"/>
      <c r="D215" s="68"/>
      <c r="E215" s="68"/>
      <c r="F215" s="68"/>
      <c r="G215" s="68"/>
      <c r="H215" s="68"/>
      <c r="I215" s="1"/>
    </row>
    <row r="216" spans="1:9" ht="15">
      <c r="A216" s="69"/>
      <c r="B216" s="69"/>
      <c r="C216" s="62"/>
      <c r="D216" s="69"/>
      <c r="E216" s="69"/>
      <c r="F216" s="69"/>
      <c r="G216" s="69"/>
      <c r="H216" s="62"/>
      <c r="I216" s="1"/>
    </row>
    <row r="217" spans="1:9" ht="15">
      <c r="A217" s="69"/>
      <c r="B217" s="69"/>
      <c r="C217" s="69"/>
      <c r="D217" s="69"/>
      <c r="E217" s="69"/>
      <c r="F217" s="69"/>
      <c r="G217" s="69"/>
      <c r="H217" s="1"/>
      <c r="I217" s="1"/>
    </row>
    <row r="218" spans="1:9" ht="15">
      <c r="A218" s="69"/>
      <c r="B218" s="69"/>
      <c r="C218" s="62"/>
      <c r="D218" s="62"/>
      <c r="E218" s="62"/>
      <c r="F218" s="62"/>
      <c r="G218" s="62"/>
      <c r="H218" s="62"/>
      <c r="I218" s="1"/>
    </row>
    <row r="219" spans="1:9" ht="15">
      <c r="A219" s="69"/>
      <c r="B219" s="69"/>
      <c r="C219" s="69"/>
      <c r="D219" s="69"/>
      <c r="E219" s="69"/>
      <c r="F219" s="69"/>
      <c r="G219" s="69"/>
      <c r="H219" s="69"/>
      <c r="I219" s="1"/>
    </row>
    <row r="220" spans="1:9" ht="15">
      <c r="A220" s="69"/>
      <c r="B220" s="69"/>
      <c r="C220" s="62"/>
      <c r="D220" s="69"/>
      <c r="E220" s="69"/>
      <c r="F220" s="69"/>
      <c r="G220" s="69"/>
      <c r="H220" s="62"/>
      <c r="I220" s="1"/>
    </row>
    <row r="221" ht="15">
      <c r="H221" s="69"/>
    </row>
    <row r="222" spans="3:8" ht="15">
      <c r="C222" s="62"/>
      <c r="D222" s="69"/>
      <c r="E222" s="69"/>
      <c r="F222" s="69"/>
      <c r="G222" s="69"/>
      <c r="H222" s="62"/>
    </row>
    <row r="223" ht="12.75">
      <c r="H223" s="1"/>
    </row>
    <row r="224" spans="3:8" ht="15">
      <c r="C224" s="62"/>
      <c r="D224" s="69"/>
      <c r="E224" s="69"/>
      <c r="F224" s="69"/>
      <c r="G224" s="69"/>
      <c r="H224" s="62"/>
    </row>
    <row r="225" ht="12.75">
      <c r="H225" s="1"/>
    </row>
    <row r="226" spans="3:8" ht="15">
      <c r="C226" s="62"/>
      <c r="D226" s="69"/>
      <c r="E226" s="69"/>
      <c r="F226" s="69"/>
      <c r="G226" s="69"/>
      <c r="H226" s="62"/>
    </row>
    <row r="227" ht="12.75">
      <c r="H227" s="1"/>
    </row>
    <row r="228" spans="3:8" ht="15">
      <c r="C228" s="62"/>
      <c r="D228" s="69"/>
      <c r="E228" s="69"/>
      <c r="F228" s="69"/>
      <c r="G228" s="69"/>
      <c r="H228" s="62"/>
    </row>
    <row r="229" spans="3:8" ht="12.75">
      <c r="C229" s="68"/>
      <c r="D229" s="68"/>
      <c r="E229" s="68"/>
      <c r="F229" s="68"/>
      <c r="G229" s="68"/>
      <c r="H229" s="68"/>
    </row>
    <row r="230" spans="3:8" ht="15">
      <c r="C230" s="62"/>
      <c r="D230" s="69"/>
      <c r="E230" s="69"/>
      <c r="F230" s="69"/>
      <c r="G230" s="69"/>
      <c r="H230" s="62"/>
    </row>
  </sheetData>
  <sheetProtection/>
  <mergeCells count="1">
    <mergeCell ref="A5:H5"/>
  </mergeCells>
  <printOptions/>
  <pageMargins left="1.1811023622047245" right="0.5905511811023623" top="0.7874015748031497" bottom="0.7874015748031497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duma3</cp:lastModifiedBy>
  <cp:lastPrinted>2010-07-22T07:45:13Z</cp:lastPrinted>
  <dcterms:created xsi:type="dcterms:W3CDTF">1996-10-08T23:32:33Z</dcterms:created>
  <dcterms:modified xsi:type="dcterms:W3CDTF">2010-07-22T07:46:27Z</dcterms:modified>
  <cp:category/>
  <cp:version/>
  <cp:contentType/>
  <cp:contentStatus/>
</cp:coreProperties>
</file>