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0" yWindow="-108" windowWidth="17508" windowHeight="9792"/>
  </bookViews>
  <sheets>
    <sheet name="приложение 1" sheetId="13" r:id="rId1"/>
    <sheet name="приложение 2" sheetId="14" r:id="rId2"/>
  </sheets>
  <definedNames>
    <definedName name="_xlnm.Print_Area" localSheetId="0">'приложение 1'!$A$1:$AS$306</definedName>
  </definedNames>
  <calcPr calcId="144525"/>
</workbook>
</file>

<file path=xl/calcChain.xml><?xml version="1.0" encoding="utf-8"?>
<calcChain xmlns="http://schemas.openxmlformats.org/spreadsheetml/2006/main">
  <c r="AX295" i="13" l="1"/>
  <c r="AW295" i="13"/>
  <c r="AV295" i="13"/>
  <c r="AU295" i="13"/>
  <c r="F295" i="13"/>
  <c r="E295" i="13"/>
  <c r="AX294" i="13"/>
  <c r="AW294" i="13"/>
  <c r="AV294" i="13"/>
  <c r="AU294" i="13"/>
  <c r="AT294" i="13"/>
  <c r="AE294" i="13"/>
  <c r="F294" i="13"/>
  <c r="E294" i="13"/>
  <c r="G294" i="13" s="1"/>
  <c r="AX293" i="13"/>
  <c r="AW293" i="13"/>
  <c r="AV293" i="13"/>
  <c r="AE293" i="13"/>
  <c r="N293" i="13"/>
  <c r="AU293" i="13" s="1"/>
  <c r="F293" i="13"/>
  <c r="G293" i="13" s="1"/>
  <c r="E293" i="13"/>
  <c r="AX292" i="13"/>
  <c r="AW292" i="13"/>
  <c r="AV292" i="13"/>
  <c r="AU292" i="13"/>
  <c r="F292" i="13"/>
  <c r="E292" i="13"/>
  <c r="AO291" i="13"/>
  <c r="AM291" i="13"/>
  <c r="AL291" i="13"/>
  <c r="AJ291" i="13"/>
  <c r="AI291" i="13"/>
  <c r="AX291" i="13" s="1"/>
  <c r="AG291" i="13"/>
  <c r="AF291" i="13"/>
  <c r="AD291" i="13"/>
  <c r="AE291" i="13" s="1"/>
  <c r="AC291" i="13"/>
  <c r="AA291" i="13"/>
  <c r="Z291" i="13"/>
  <c r="AW291" i="13" s="1"/>
  <c r="X291" i="13"/>
  <c r="W291" i="13"/>
  <c r="U291" i="13"/>
  <c r="T291" i="13"/>
  <c r="R291" i="13"/>
  <c r="Q291" i="13"/>
  <c r="AV291" i="13" s="1"/>
  <c r="O291" i="13"/>
  <c r="N291" i="13"/>
  <c r="L291" i="13"/>
  <c r="K291" i="13"/>
  <c r="I291" i="13"/>
  <c r="AT291" i="13" s="1"/>
  <c r="H291" i="13"/>
  <c r="AU291" i="13" s="1"/>
  <c r="F291" i="13"/>
  <c r="G291" i="13" s="1"/>
  <c r="E291" i="13"/>
  <c r="AG290" i="13"/>
  <c r="R290" i="13"/>
  <c r="O290" i="13"/>
  <c r="F290" i="13"/>
  <c r="AX289" i="13"/>
  <c r="AW289" i="13"/>
  <c r="AV289" i="13"/>
  <c r="AU289" i="13"/>
  <c r="F289" i="13"/>
  <c r="E289" i="13"/>
  <c r="AP288" i="13"/>
  <c r="AQ288" i="13" s="1"/>
  <c r="AO288" i="13"/>
  <c r="AL288" i="13"/>
  <c r="AJ288" i="13"/>
  <c r="AG288" i="13"/>
  <c r="AD288" i="13"/>
  <c r="AC288" i="13"/>
  <c r="AA288" i="13"/>
  <c r="Z288" i="13"/>
  <c r="X288" i="13"/>
  <c r="W288" i="13"/>
  <c r="U288" i="13"/>
  <c r="T288" i="13"/>
  <c r="R288" i="13"/>
  <c r="Q288" i="13"/>
  <c r="AV288" i="13" s="1"/>
  <c r="O288" i="13"/>
  <c r="AX287" i="13"/>
  <c r="AW287" i="13"/>
  <c r="AV287" i="13"/>
  <c r="AU287" i="13"/>
  <c r="F287" i="13"/>
  <c r="E287" i="13"/>
  <c r="AX286" i="13"/>
  <c r="AW286" i="13"/>
  <c r="AV286" i="13"/>
  <c r="AU286" i="13"/>
  <c r="F286" i="13"/>
  <c r="E286" i="13"/>
  <c r="AP285" i="13"/>
  <c r="AQ285" i="13" s="1"/>
  <c r="AO285" i="13"/>
  <c r="AL285" i="13"/>
  <c r="AJ285" i="13"/>
  <c r="AG285" i="13"/>
  <c r="AD285" i="13"/>
  <c r="AC285" i="13"/>
  <c r="AA285" i="13"/>
  <c r="Z285" i="13"/>
  <c r="X285" i="13"/>
  <c r="W285" i="13"/>
  <c r="U285" i="13"/>
  <c r="T285" i="13"/>
  <c r="R285" i="13"/>
  <c r="Q285" i="13"/>
  <c r="AV285" i="13" s="1"/>
  <c r="O285" i="13"/>
  <c r="L285" i="13"/>
  <c r="K285" i="13"/>
  <c r="I285" i="13"/>
  <c r="H285" i="13"/>
  <c r="O284" i="13"/>
  <c r="AN283" i="13"/>
  <c r="AK283" i="13"/>
  <c r="AH283" i="13"/>
  <c r="AE283" i="13"/>
  <c r="AB283" i="13"/>
  <c r="Y283" i="13"/>
  <c r="V283" i="13"/>
  <c r="S283" i="13"/>
  <c r="P283" i="13"/>
  <c r="M283" i="13"/>
  <c r="J283" i="13"/>
  <c r="I283" i="13"/>
  <c r="AH280" i="13"/>
  <c r="AE280" i="13"/>
  <c r="AB280" i="13"/>
  <c r="Y280" i="13"/>
  <c r="V280" i="13"/>
  <c r="S280" i="13"/>
  <c r="P280" i="13"/>
  <c r="M280" i="13"/>
  <c r="J280" i="13"/>
  <c r="I280" i="13"/>
  <c r="AX278" i="13"/>
  <c r="AW278" i="13"/>
  <c r="AV278" i="13"/>
  <c r="AU278" i="13"/>
  <c r="O277" i="13"/>
  <c r="AG271" i="13"/>
  <c r="R271" i="13"/>
  <c r="O271" i="13"/>
  <c r="F271" i="13"/>
  <c r="AP270" i="13"/>
  <c r="AP276" i="13" s="1"/>
  <c r="AM270" i="13"/>
  <c r="AJ270" i="13"/>
  <c r="AG270" i="13"/>
  <c r="AD270" i="13"/>
  <c r="AA270" i="13"/>
  <c r="AG269" i="13"/>
  <c r="AD269" i="13"/>
  <c r="AA269" i="13"/>
  <c r="AP268" i="13"/>
  <c r="AM268" i="13"/>
  <c r="AJ268" i="13"/>
  <c r="AG268" i="13"/>
  <c r="AD268" i="13"/>
  <c r="AA268" i="13"/>
  <c r="AP267" i="13"/>
  <c r="AM267" i="13"/>
  <c r="AJ267" i="13"/>
  <c r="AG267" i="13"/>
  <c r="AD267" i="13"/>
  <c r="AA267" i="13"/>
  <c r="AG266" i="13"/>
  <c r="AD266" i="13"/>
  <c r="AA266" i="13"/>
  <c r="AP259" i="13"/>
  <c r="AO259" i="13"/>
  <c r="AM259" i="13"/>
  <c r="AL259" i="13"/>
  <c r="AJ259" i="13"/>
  <c r="AI259" i="13"/>
  <c r="AX259" i="13" s="1"/>
  <c r="AG259" i="13"/>
  <c r="AF259" i="13"/>
  <c r="AD259" i="13"/>
  <c r="AC259" i="13"/>
  <c r="AA259" i="13"/>
  <c r="Z259" i="13"/>
  <c r="AW259" i="13" s="1"/>
  <c r="X259" i="13"/>
  <c r="W259" i="13"/>
  <c r="U259" i="13"/>
  <c r="T259" i="13"/>
  <c r="R259" i="13"/>
  <c r="Q259" i="13"/>
  <c r="AV259" i="13" s="1"/>
  <c r="O259" i="13"/>
  <c r="N259" i="13"/>
  <c r="L259" i="13"/>
  <c r="K259" i="13"/>
  <c r="I259" i="13"/>
  <c r="H259" i="13"/>
  <c r="AU259" i="13" s="1"/>
  <c r="F259" i="13"/>
  <c r="E259" i="13"/>
  <c r="AP258" i="13"/>
  <c r="AJ258" i="13"/>
  <c r="AI258" i="13"/>
  <c r="AG258" i="13"/>
  <c r="AD258" i="13"/>
  <c r="AA258" i="13"/>
  <c r="X258" i="13"/>
  <c r="U258" i="13"/>
  <c r="R258" i="13"/>
  <c r="Q258" i="13"/>
  <c r="O258" i="13"/>
  <c r="N258" i="13"/>
  <c r="P258" i="13" s="1"/>
  <c r="L258" i="13"/>
  <c r="M258" i="13" s="1"/>
  <c r="K258" i="13"/>
  <c r="I258" i="13"/>
  <c r="H258" i="13"/>
  <c r="AU258" i="13" s="1"/>
  <c r="AP257" i="13"/>
  <c r="AM257" i="13"/>
  <c r="AJ257" i="13"/>
  <c r="AI257" i="13"/>
  <c r="AG257" i="13"/>
  <c r="AD257" i="13"/>
  <c r="AA257" i="13"/>
  <c r="U257" i="13"/>
  <c r="R257" i="13"/>
  <c r="Q257" i="13"/>
  <c r="O257" i="13"/>
  <c r="L257" i="13"/>
  <c r="I257" i="13"/>
  <c r="H257" i="13"/>
  <c r="AP256" i="13"/>
  <c r="AO256" i="13"/>
  <c r="AM256" i="13"/>
  <c r="AL256" i="13"/>
  <c r="AJ256" i="13"/>
  <c r="AI256" i="13"/>
  <c r="AX256" i="13" s="1"/>
  <c r="AG256" i="13"/>
  <c r="AF256" i="13"/>
  <c r="AD256" i="13"/>
  <c r="AC256" i="13"/>
  <c r="AA256" i="13"/>
  <c r="Z256" i="13"/>
  <c r="AW256" i="13" s="1"/>
  <c r="X256" i="13"/>
  <c r="W256" i="13"/>
  <c r="U256" i="13"/>
  <c r="T256" i="13"/>
  <c r="R256" i="13"/>
  <c r="Q256" i="13"/>
  <c r="AV256" i="13" s="1"/>
  <c r="O256" i="13"/>
  <c r="N256" i="13"/>
  <c r="L256" i="13"/>
  <c r="K256" i="13"/>
  <c r="I256" i="13"/>
  <c r="H256" i="13"/>
  <c r="AU256" i="13" s="1"/>
  <c r="F256" i="13"/>
  <c r="E256" i="13"/>
  <c r="AP255" i="13"/>
  <c r="AJ255" i="13"/>
  <c r="AI255" i="13"/>
  <c r="AG255" i="13"/>
  <c r="AD255" i="13"/>
  <c r="AA255" i="13"/>
  <c r="U255" i="13"/>
  <c r="R255" i="13"/>
  <c r="Q255" i="13"/>
  <c r="O255" i="13"/>
  <c r="L255" i="13"/>
  <c r="I255" i="13"/>
  <c r="H255" i="13"/>
  <c r="AX254" i="13"/>
  <c r="AW254" i="13"/>
  <c r="AV254" i="13"/>
  <c r="AU254" i="13"/>
  <c r="F254" i="13"/>
  <c r="E254" i="13"/>
  <c r="AX253" i="13"/>
  <c r="AW253" i="13"/>
  <c r="AV253" i="13"/>
  <c r="AU253" i="13"/>
  <c r="F253" i="13"/>
  <c r="E253" i="13"/>
  <c r="AX252" i="13"/>
  <c r="AW252" i="13"/>
  <c r="AV252" i="13"/>
  <c r="AU252" i="13"/>
  <c r="F252" i="13"/>
  <c r="E252" i="13"/>
  <c r="AX251" i="13"/>
  <c r="AW251" i="13"/>
  <c r="AV251" i="13"/>
  <c r="AU251" i="13"/>
  <c r="F251" i="13"/>
  <c r="E251" i="13"/>
  <c r="AO250" i="13"/>
  <c r="AL250" i="13"/>
  <c r="AI250" i="13"/>
  <c r="AX250" i="13" s="1"/>
  <c r="AF250" i="13"/>
  <c r="AC250" i="13"/>
  <c r="Z250" i="13"/>
  <c r="AW250" i="13" s="1"/>
  <c r="W250" i="13"/>
  <c r="T250" i="13"/>
  <c r="Q250" i="13"/>
  <c r="AV250" i="13" s="1"/>
  <c r="N250" i="13"/>
  <c r="K250" i="13"/>
  <c r="H250" i="13"/>
  <c r="AU250" i="13" s="1"/>
  <c r="F250" i="13"/>
  <c r="E250" i="13"/>
  <c r="AX249" i="13"/>
  <c r="AW249" i="13"/>
  <c r="AV249" i="13"/>
  <c r="AU249" i="13"/>
  <c r="F249" i="13"/>
  <c r="E249" i="13"/>
  <c r="AU248" i="13"/>
  <c r="AO248" i="13"/>
  <c r="AX248" i="13" s="1"/>
  <c r="AF248" i="13"/>
  <c r="AF258" i="13" s="1"/>
  <c r="AC248" i="13"/>
  <c r="Z248" i="13"/>
  <c r="AW248" i="13" s="1"/>
  <c r="W248" i="13"/>
  <c r="AV248" i="13" s="1"/>
  <c r="V248" i="13"/>
  <c r="F248" i="13"/>
  <c r="G248" i="13" s="1"/>
  <c r="E248" i="13"/>
  <c r="AU247" i="13"/>
  <c r="AO247" i="13"/>
  <c r="AO257" i="13" s="1"/>
  <c r="AF247" i="13"/>
  <c r="AF257" i="13" s="1"/>
  <c r="AF255" i="13" s="1"/>
  <c r="AC247" i="13"/>
  <c r="Z247" i="13"/>
  <c r="AW247" i="13" s="1"/>
  <c r="X247" i="13"/>
  <c r="X257" i="13" s="1"/>
  <c r="W247" i="13"/>
  <c r="E247" i="13" s="1"/>
  <c r="T247" i="13"/>
  <c r="AV247" i="13" s="1"/>
  <c r="F247" i="13"/>
  <c r="AX246" i="13"/>
  <c r="AW246" i="13"/>
  <c r="AV246" i="13"/>
  <c r="AU246" i="13"/>
  <c r="F246" i="13"/>
  <c r="E246" i="13"/>
  <c r="AP245" i="13"/>
  <c r="AO245" i="13"/>
  <c r="AM245" i="13"/>
  <c r="AL245" i="13"/>
  <c r="AJ245" i="13"/>
  <c r="AI245" i="13"/>
  <c r="AX245" i="13" s="1"/>
  <c r="AG245" i="13"/>
  <c r="AF245" i="13"/>
  <c r="AD245" i="13"/>
  <c r="AC245" i="13"/>
  <c r="AA245" i="13"/>
  <c r="Z245" i="13"/>
  <c r="AW245" i="13" s="1"/>
  <c r="X245" i="13"/>
  <c r="W245" i="13"/>
  <c r="U245" i="13"/>
  <c r="T245" i="13"/>
  <c r="R245" i="13"/>
  <c r="AT245" i="13" s="1"/>
  <c r="Q245" i="13"/>
  <c r="AV245" i="13" s="1"/>
  <c r="N245" i="13"/>
  <c r="K245" i="13"/>
  <c r="H245" i="13"/>
  <c r="AU245" i="13" s="1"/>
  <c r="F245" i="13"/>
  <c r="E245" i="13"/>
  <c r="G245" i="13" s="1"/>
  <c r="AX244" i="13"/>
  <c r="AW244" i="13"/>
  <c r="AV244" i="13"/>
  <c r="AU244" i="13"/>
  <c r="F244" i="13"/>
  <c r="E244" i="13"/>
  <c r="AU243" i="13"/>
  <c r="AO243" i="13"/>
  <c r="AO258" i="13" s="1"/>
  <c r="AM243" i="13"/>
  <c r="AM258" i="13" s="1"/>
  <c r="AL243" i="13"/>
  <c r="AX243" i="13" s="1"/>
  <c r="AE243" i="13"/>
  <c r="AC243" i="13"/>
  <c r="AC258" i="13" s="1"/>
  <c r="Z243" i="13"/>
  <c r="Z258" i="13" s="1"/>
  <c r="T243" i="13"/>
  <c r="T258" i="13" s="1"/>
  <c r="F243" i="13"/>
  <c r="AV242" i="13"/>
  <c r="AL242" i="13"/>
  <c r="AN242" i="13" s="1"/>
  <c r="AC242" i="13"/>
  <c r="AC257" i="13" s="1"/>
  <c r="AC255" i="13" s="1"/>
  <c r="Z242" i="13"/>
  <c r="AW242" i="13" s="1"/>
  <c r="T242" i="13"/>
  <c r="T257" i="13" s="1"/>
  <c r="T255" i="13" s="1"/>
  <c r="N242" i="13"/>
  <c r="N257" i="13" s="1"/>
  <c r="N255" i="13" s="1"/>
  <c r="P255" i="13" s="1"/>
  <c r="K242" i="13"/>
  <c r="AU242" i="13" s="1"/>
  <c r="F242" i="13"/>
  <c r="E242" i="13"/>
  <c r="G242" i="13" s="1"/>
  <c r="AX241" i="13"/>
  <c r="AW241" i="13"/>
  <c r="AV241" i="13"/>
  <c r="AU241" i="13"/>
  <c r="F241" i="13"/>
  <c r="E241" i="13"/>
  <c r="AP240" i="13"/>
  <c r="AO240" i="13"/>
  <c r="AM240" i="13"/>
  <c r="AL240" i="13"/>
  <c r="AN240" i="13" s="1"/>
  <c r="AJ240" i="13"/>
  <c r="AI240" i="13"/>
  <c r="AX240" i="13" s="1"/>
  <c r="AG240" i="13"/>
  <c r="AF240" i="13"/>
  <c r="AD240" i="13"/>
  <c r="AE240" i="13" s="1"/>
  <c r="AC240" i="13"/>
  <c r="AA240" i="13"/>
  <c r="Z240" i="13"/>
  <c r="AW240" i="13" s="1"/>
  <c r="X240" i="13"/>
  <c r="W240" i="13"/>
  <c r="U240" i="13"/>
  <c r="V240" i="13" s="1"/>
  <c r="T240" i="13"/>
  <c r="Q240" i="13"/>
  <c r="AV240" i="13" s="1"/>
  <c r="O240" i="13"/>
  <c r="N240" i="13"/>
  <c r="L240" i="13"/>
  <c r="AT240" i="13" s="1"/>
  <c r="K240" i="13"/>
  <c r="H240" i="13"/>
  <c r="AU240" i="13" s="1"/>
  <c r="E240" i="13"/>
  <c r="AX239" i="13"/>
  <c r="AW239" i="13"/>
  <c r="AV239" i="13"/>
  <c r="AU239" i="13"/>
  <c r="O238" i="13"/>
  <c r="AV237" i="13"/>
  <c r="AO237" i="13"/>
  <c r="AM237" i="13"/>
  <c r="AL237" i="13"/>
  <c r="AX237" i="13" s="1"/>
  <c r="AI237" i="13"/>
  <c r="AG237" i="13"/>
  <c r="AF237" i="13"/>
  <c r="AD237" i="13"/>
  <c r="AC237" i="13"/>
  <c r="AA237" i="13"/>
  <c r="Z237" i="13"/>
  <c r="AW237" i="13" s="1"/>
  <c r="X237" i="13"/>
  <c r="W237" i="13"/>
  <c r="U237" i="13"/>
  <c r="T237" i="13"/>
  <c r="R237" i="13"/>
  <c r="Q237" i="13"/>
  <c r="O237" i="13"/>
  <c r="N237" i="13"/>
  <c r="L237" i="13"/>
  <c r="F237" i="13" s="1"/>
  <c r="K237" i="13"/>
  <c r="H237" i="13"/>
  <c r="AU237" i="13" s="1"/>
  <c r="E237" i="13"/>
  <c r="AP236" i="13"/>
  <c r="AO236" i="13"/>
  <c r="AQ236" i="13" s="1"/>
  <c r="AM236" i="13"/>
  <c r="AJ236" i="13"/>
  <c r="AG236" i="13"/>
  <c r="AD236" i="13"/>
  <c r="AC236" i="13"/>
  <c r="AA236" i="13"/>
  <c r="X236" i="13"/>
  <c r="U236" i="13"/>
  <c r="T236" i="13"/>
  <c r="R236" i="13"/>
  <c r="O236" i="13"/>
  <c r="L236" i="13"/>
  <c r="K236" i="13"/>
  <c r="H236" i="13"/>
  <c r="F236" i="13"/>
  <c r="AX235" i="13"/>
  <c r="AP235" i="13"/>
  <c r="AO235" i="13"/>
  <c r="AM235" i="13"/>
  <c r="AL235" i="13"/>
  <c r="AJ235" i="13"/>
  <c r="AI235" i="13"/>
  <c r="AG235" i="13"/>
  <c r="AF235" i="13"/>
  <c r="AD235" i="13"/>
  <c r="AC235" i="13"/>
  <c r="AA235" i="13"/>
  <c r="Z235" i="13"/>
  <c r="AW235" i="13" s="1"/>
  <c r="X235" i="13"/>
  <c r="W235" i="13"/>
  <c r="U235" i="13"/>
  <c r="T235" i="13"/>
  <c r="R235" i="13"/>
  <c r="Q235" i="13"/>
  <c r="AV235" i="13" s="1"/>
  <c r="O235" i="13"/>
  <c r="N235" i="13"/>
  <c r="L235" i="13"/>
  <c r="F235" i="13" s="1"/>
  <c r="K235" i="13"/>
  <c r="H235" i="13"/>
  <c r="AU235" i="13" s="1"/>
  <c r="E235" i="13"/>
  <c r="AP234" i="13"/>
  <c r="AO234" i="13"/>
  <c r="AM234" i="13"/>
  <c r="AL234" i="13"/>
  <c r="AJ234" i="13"/>
  <c r="AI234" i="13"/>
  <c r="AX234" i="13" s="1"/>
  <c r="AG234" i="13"/>
  <c r="AF234" i="13"/>
  <c r="AD234" i="13"/>
  <c r="AC234" i="13"/>
  <c r="AA234" i="13"/>
  <c r="Z234" i="13"/>
  <c r="AW234" i="13" s="1"/>
  <c r="X234" i="13"/>
  <c r="W234" i="13"/>
  <c r="U234" i="13"/>
  <c r="T234" i="13"/>
  <c r="R234" i="13"/>
  <c r="Q234" i="13"/>
  <c r="AV234" i="13" s="1"/>
  <c r="O234" i="13"/>
  <c r="N234" i="13"/>
  <c r="L234" i="13"/>
  <c r="K234" i="13"/>
  <c r="E234" i="13" s="1"/>
  <c r="H234" i="13"/>
  <c r="AU234" i="13" s="1"/>
  <c r="F234" i="13"/>
  <c r="AP233" i="13"/>
  <c r="AQ233" i="13" s="1"/>
  <c r="AO233" i="13"/>
  <c r="AM233" i="13"/>
  <c r="AJ233" i="13"/>
  <c r="AG233" i="13"/>
  <c r="AD233" i="13"/>
  <c r="AC233" i="13"/>
  <c r="AA233" i="13"/>
  <c r="X233" i="13"/>
  <c r="U233" i="13"/>
  <c r="T233" i="13"/>
  <c r="R233" i="13"/>
  <c r="O233" i="13"/>
  <c r="L233" i="13"/>
  <c r="K233" i="13"/>
  <c r="M233" i="13" s="1"/>
  <c r="H233" i="13"/>
  <c r="F232" i="13"/>
  <c r="AX231" i="13"/>
  <c r="AW231" i="13"/>
  <c r="AV231" i="13"/>
  <c r="AU231" i="13"/>
  <c r="F231" i="13"/>
  <c r="E231" i="13"/>
  <c r="AX230" i="13"/>
  <c r="AQ230" i="13"/>
  <c r="AN230" i="13"/>
  <c r="AL230" i="13"/>
  <c r="AF230" i="13"/>
  <c r="Z230" i="13"/>
  <c r="AW230" i="13" s="1"/>
  <c r="W230" i="13"/>
  <c r="E230" i="13" s="1"/>
  <c r="Q230" i="13"/>
  <c r="P230" i="13"/>
  <c r="N230" i="13"/>
  <c r="AU230" i="13" s="1"/>
  <c r="M230" i="13"/>
  <c r="F230" i="13"/>
  <c r="G230" i="13" s="1"/>
  <c r="AX229" i="13"/>
  <c r="AW229" i="13"/>
  <c r="AV229" i="13"/>
  <c r="AU229" i="13"/>
  <c r="F229" i="13"/>
  <c r="E229" i="13"/>
  <c r="AX228" i="13"/>
  <c r="AW228" i="13"/>
  <c r="AV228" i="13"/>
  <c r="AU228" i="13"/>
  <c r="F228" i="13"/>
  <c r="E228" i="13"/>
  <c r="AP227" i="13"/>
  <c r="AQ227" i="13" s="1"/>
  <c r="AO227" i="13"/>
  <c r="AM227" i="13"/>
  <c r="AL227" i="13"/>
  <c r="AN227" i="13" s="1"/>
  <c r="AJ227" i="13"/>
  <c r="AI227" i="13"/>
  <c r="AX227" i="13" s="1"/>
  <c r="AG227" i="13"/>
  <c r="AF227" i="13"/>
  <c r="AD227" i="13"/>
  <c r="AC227" i="13"/>
  <c r="Z227" i="13"/>
  <c r="AW227" i="13" s="1"/>
  <c r="X227" i="13"/>
  <c r="W227" i="13"/>
  <c r="U227" i="13"/>
  <c r="T227" i="13"/>
  <c r="Q227" i="13"/>
  <c r="AV227" i="13" s="1"/>
  <c r="O227" i="13"/>
  <c r="P227" i="13" s="1"/>
  <c r="N227" i="13"/>
  <c r="L227" i="13"/>
  <c r="AT227" i="13" s="1"/>
  <c r="K227" i="13"/>
  <c r="M227" i="13" s="1"/>
  <c r="H227" i="13"/>
  <c r="AU227" i="13" s="1"/>
  <c r="E227" i="13"/>
  <c r="AX226" i="13"/>
  <c r="AW226" i="13"/>
  <c r="AV226" i="13"/>
  <c r="AU226" i="13"/>
  <c r="F226" i="13"/>
  <c r="E226" i="13"/>
  <c r="AV225" i="13"/>
  <c r="AU225" i="13"/>
  <c r="AL225" i="13"/>
  <c r="AF225" i="13"/>
  <c r="F225" i="13"/>
  <c r="AX224" i="13"/>
  <c r="AW224" i="13"/>
  <c r="AV224" i="13"/>
  <c r="AU224" i="13"/>
  <c r="F224" i="13"/>
  <c r="E224" i="13"/>
  <c r="AX223" i="13"/>
  <c r="AW223" i="13"/>
  <c r="AV223" i="13"/>
  <c r="AU223" i="13"/>
  <c r="F223" i="13"/>
  <c r="E223" i="13"/>
  <c r="AO222" i="13"/>
  <c r="AL222" i="13"/>
  <c r="AJ222" i="13"/>
  <c r="AI222" i="13"/>
  <c r="AX222" i="13" s="1"/>
  <c r="AG222" i="13"/>
  <c r="AF222" i="13"/>
  <c r="AH222" i="13" s="1"/>
  <c r="AD222" i="13"/>
  <c r="AT222" i="13" s="1"/>
  <c r="AC222" i="13"/>
  <c r="Z222" i="13"/>
  <c r="AW222" i="13" s="1"/>
  <c r="W222" i="13"/>
  <c r="T222" i="13"/>
  <c r="Q222" i="13"/>
  <c r="AV222" i="13" s="1"/>
  <c r="N222" i="13"/>
  <c r="K222" i="13"/>
  <c r="H222" i="13"/>
  <c r="AU222" i="13" s="1"/>
  <c r="F222" i="13"/>
  <c r="E222" i="13"/>
  <c r="G222" i="13" s="1"/>
  <c r="AX221" i="13"/>
  <c r="AW221" i="13"/>
  <c r="AV221" i="13"/>
  <c r="AU221" i="13"/>
  <c r="F221" i="13"/>
  <c r="E221" i="13"/>
  <c r="AU220" i="13"/>
  <c r="AN220" i="13"/>
  <c r="AI220" i="13"/>
  <c r="AI236" i="13" s="1"/>
  <c r="AH220" i="13"/>
  <c r="Z220" i="13"/>
  <c r="Z236" i="13" s="1"/>
  <c r="W220" i="13"/>
  <c r="W236" i="13" s="1"/>
  <c r="W233" i="13" s="1"/>
  <c r="Q220" i="13"/>
  <c r="Q236" i="13" s="1"/>
  <c r="F220" i="13"/>
  <c r="AX219" i="13"/>
  <c r="AW219" i="13"/>
  <c r="AV219" i="13"/>
  <c r="AU219" i="13"/>
  <c r="F219" i="13"/>
  <c r="E219" i="13"/>
  <c r="AX218" i="13"/>
  <c r="AW218" i="13"/>
  <c r="AV218" i="13"/>
  <c r="AU218" i="13"/>
  <c r="F218" i="13"/>
  <c r="E218" i="13"/>
  <c r="AP217" i="13"/>
  <c r="AO217" i="13"/>
  <c r="AM217" i="13"/>
  <c r="AN217" i="13" s="1"/>
  <c r="AL217" i="13"/>
  <c r="AJ217" i="13"/>
  <c r="AI217" i="13"/>
  <c r="AX217" i="13" s="1"/>
  <c r="AG217" i="13"/>
  <c r="AH217" i="13" s="1"/>
  <c r="AF217" i="13"/>
  <c r="AD217" i="13"/>
  <c r="AC217" i="13"/>
  <c r="AA217" i="13"/>
  <c r="Z217" i="13"/>
  <c r="AW217" i="13" s="1"/>
  <c r="X217" i="13"/>
  <c r="F217" i="13" s="1"/>
  <c r="G217" i="13" s="1"/>
  <c r="W217" i="13"/>
  <c r="T217" i="13"/>
  <c r="Q217" i="13"/>
  <c r="AV217" i="13" s="1"/>
  <c r="N217" i="13"/>
  <c r="L217" i="13"/>
  <c r="AT217" i="13" s="1"/>
  <c r="K217" i="13"/>
  <c r="H217" i="13"/>
  <c r="AU217" i="13" s="1"/>
  <c r="E217" i="13"/>
  <c r="AX216" i="13"/>
  <c r="AW216" i="13"/>
  <c r="AV216" i="13"/>
  <c r="AU216" i="13"/>
  <c r="AO215" i="13"/>
  <c r="AL215" i="13"/>
  <c r="AI215" i="13"/>
  <c r="AX215" i="13" s="1"/>
  <c r="AF215" i="13"/>
  <c r="AD215" i="13"/>
  <c r="AC215" i="13"/>
  <c r="AA215" i="13"/>
  <c r="Z215" i="13"/>
  <c r="AW215" i="13" s="1"/>
  <c r="X215" i="13"/>
  <c r="W215" i="13"/>
  <c r="U215" i="13"/>
  <c r="T215" i="13"/>
  <c r="R215" i="13"/>
  <c r="Q215" i="13"/>
  <c r="AV215" i="13" s="1"/>
  <c r="O215" i="13"/>
  <c r="N215" i="13"/>
  <c r="L215" i="13"/>
  <c r="K215" i="13"/>
  <c r="H215" i="13"/>
  <c r="AU215" i="13" s="1"/>
  <c r="F215" i="13"/>
  <c r="E215" i="13"/>
  <c r="AP214" i="13"/>
  <c r="AM214" i="13"/>
  <c r="AN214" i="13" s="1"/>
  <c r="AL214" i="13"/>
  <c r="AJ214" i="13"/>
  <c r="AK214" i="13" s="1"/>
  <c r="AI214" i="13"/>
  <c r="AG214" i="13"/>
  <c r="AD214" i="13"/>
  <c r="AE214" i="13" s="1"/>
  <c r="AC214" i="13"/>
  <c r="AA214" i="13"/>
  <c r="Z214" i="13"/>
  <c r="X214" i="13"/>
  <c r="U214" i="13"/>
  <c r="R214" i="13"/>
  <c r="O214" i="13"/>
  <c r="L214" i="13"/>
  <c r="K214" i="13"/>
  <c r="H214" i="13"/>
  <c r="F214" i="13"/>
  <c r="AP213" i="13"/>
  <c r="AM213" i="13"/>
  <c r="AJ213" i="13"/>
  <c r="AG213" i="13"/>
  <c r="AF213" i="13"/>
  <c r="AD213" i="13"/>
  <c r="AC213" i="13"/>
  <c r="AA213" i="13"/>
  <c r="Z213" i="13"/>
  <c r="AW213" i="13" s="1"/>
  <c r="X213" i="13"/>
  <c r="U213" i="13"/>
  <c r="V213" i="13" s="1"/>
  <c r="T213" i="13"/>
  <c r="R213" i="13"/>
  <c r="S213" i="13" s="1"/>
  <c r="Q213" i="13"/>
  <c r="O213" i="13"/>
  <c r="L213" i="13"/>
  <c r="K213" i="13"/>
  <c r="H213" i="13"/>
  <c r="F213" i="13"/>
  <c r="AP212" i="13"/>
  <c r="AM212" i="13"/>
  <c r="AN212" i="13" s="1"/>
  <c r="AL212" i="13"/>
  <c r="AJ212" i="13"/>
  <c r="AK212" i="13" s="1"/>
  <c r="AI212" i="13"/>
  <c r="AG212" i="13"/>
  <c r="AF212" i="13"/>
  <c r="AD212" i="13"/>
  <c r="AC212" i="13"/>
  <c r="AA212" i="13"/>
  <c r="Z212" i="13"/>
  <c r="AW212" i="13" s="1"/>
  <c r="X212" i="13"/>
  <c r="W212" i="13"/>
  <c r="U212" i="13"/>
  <c r="T212" i="13"/>
  <c r="R212" i="13"/>
  <c r="Q212" i="13"/>
  <c r="AV212" i="13" s="1"/>
  <c r="O212" i="13"/>
  <c r="N212" i="13"/>
  <c r="L212" i="13"/>
  <c r="K212" i="13"/>
  <c r="H212" i="13"/>
  <c r="AU212" i="13" s="1"/>
  <c r="F212" i="13"/>
  <c r="AP211" i="13"/>
  <c r="AM211" i="13"/>
  <c r="AJ211" i="13"/>
  <c r="AG211" i="13"/>
  <c r="AD211" i="13"/>
  <c r="AC211" i="13"/>
  <c r="AE211" i="13" s="1"/>
  <c r="AA211" i="13"/>
  <c r="Z211" i="13"/>
  <c r="X211" i="13"/>
  <c r="U211" i="13"/>
  <c r="R211" i="13"/>
  <c r="O211" i="13"/>
  <c r="L211" i="13"/>
  <c r="K211" i="13"/>
  <c r="H211" i="13"/>
  <c r="F211" i="13"/>
  <c r="AX210" i="13"/>
  <c r="AW210" i="13"/>
  <c r="AV210" i="13"/>
  <c r="AU210" i="13"/>
  <c r="F210" i="13"/>
  <c r="E210" i="13"/>
  <c r="AW209" i="13"/>
  <c r="AO209" i="13"/>
  <c r="AX209" i="13" s="1"/>
  <c r="AN209" i="13"/>
  <c r="AK209" i="13"/>
  <c r="W209" i="13"/>
  <c r="W214" i="13" s="1"/>
  <c r="T209" i="13"/>
  <c r="T214" i="13" s="1"/>
  <c r="T211" i="13" s="1"/>
  <c r="V211" i="13" s="1"/>
  <c r="Q209" i="13"/>
  <c r="AV209" i="13" s="1"/>
  <c r="N209" i="13"/>
  <c r="AT209" i="13" s="1"/>
  <c r="M209" i="13"/>
  <c r="F209" i="13"/>
  <c r="E209" i="13"/>
  <c r="G209" i="13" s="1"/>
  <c r="AW208" i="13"/>
  <c r="AQ208" i="13"/>
  <c r="AO208" i="13"/>
  <c r="AO213" i="13" s="1"/>
  <c r="AN208" i="13"/>
  <c r="AL208" i="13"/>
  <c r="AL213" i="13" s="1"/>
  <c r="AL211" i="13" s="1"/>
  <c r="AN211" i="13" s="1"/>
  <c r="AK208" i="13"/>
  <c r="AI208" i="13"/>
  <c r="AI213" i="13" s="1"/>
  <c r="W208" i="13"/>
  <c r="W213" i="13" s="1"/>
  <c r="W211" i="13" s="1"/>
  <c r="V208" i="13"/>
  <c r="S208" i="13"/>
  <c r="N208" i="13"/>
  <c r="N213" i="13" s="1"/>
  <c r="M208" i="13"/>
  <c r="F208" i="13"/>
  <c r="E208" i="13"/>
  <c r="G208" i="13" s="1"/>
  <c r="AW207" i="13"/>
  <c r="AV207" i="13"/>
  <c r="AU207" i="13"/>
  <c r="AQ207" i="13"/>
  <c r="AO207" i="13"/>
  <c r="AO212" i="13" s="1"/>
  <c r="AN207" i="13"/>
  <c r="AK207" i="13"/>
  <c r="F207" i="13"/>
  <c r="E207" i="13"/>
  <c r="G207" i="13" s="1"/>
  <c r="AP206" i="13"/>
  <c r="AO206" i="13"/>
  <c r="AQ206" i="13" s="1"/>
  <c r="AM206" i="13"/>
  <c r="AN206" i="13" s="1"/>
  <c r="AL206" i="13"/>
  <c r="AJ206" i="13"/>
  <c r="AI206" i="13"/>
  <c r="AK206" i="13" s="1"/>
  <c r="AF206" i="13"/>
  <c r="AD206" i="13"/>
  <c r="AC206" i="13"/>
  <c r="AA206" i="13"/>
  <c r="Z206" i="13"/>
  <c r="AW206" i="13" s="1"/>
  <c r="X206" i="13"/>
  <c r="W206" i="13"/>
  <c r="U206" i="13"/>
  <c r="T206" i="13"/>
  <c r="V206" i="13" s="1"/>
  <c r="R206" i="13"/>
  <c r="S206" i="13" s="1"/>
  <c r="Q206" i="13"/>
  <c r="AV206" i="13" s="1"/>
  <c r="O206" i="13"/>
  <c r="N206" i="13"/>
  <c r="P206" i="13" s="1"/>
  <c r="L206" i="13"/>
  <c r="AT206" i="13" s="1"/>
  <c r="K206" i="13"/>
  <c r="H206" i="13"/>
  <c r="AU206" i="13" s="1"/>
  <c r="F206" i="13"/>
  <c r="AX205" i="13"/>
  <c r="AW205" i="13"/>
  <c r="AV205" i="13"/>
  <c r="AU205" i="13"/>
  <c r="F205" i="13"/>
  <c r="E205" i="13"/>
  <c r="AW204" i="13"/>
  <c r="AV204" i="13"/>
  <c r="AO204" i="13"/>
  <c r="AO214" i="13" s="1"/>
  <c r="N204" i="13"/>
  <c r="N214" i="13" s="1"/>
  <c r="F204" i="13"/>
  <c r="AX203" i="13"/>
  <c r="AW203" i="13"/>
  <c r="AV203" i="13"/>
  <c r="AU203" i="13"/>
  <c r="F203" i="13"/>
  <c r="E203" i="13"/>
  <c r="AX202" i="13"/>
  <c r="AW202" i="13"/>
  <c r="AV202" i="13"/>
  <c r="AU202" i="13"/>
  <c r="F202" i="13"/>
  <c r="E202" i="13"/>
  <c r="AP201" i="13"/>
  <c r="AQ201" i="13" s="1"/>
  <c r="AO201" i="13"/>
  <c r="AL201" i="13"/>
  <c r="AX201" i="13" s="1"/>
  <c r="AI201" i="13"/>
  <c r="AF201" i="13"/>
  <c r="AD201" i="13"/>
  <c r="AC201" i="13"/>
  <c r="Z201" i="13"/>
  <c r="AW201" i="13" s="1"/>
  <c r="X201" i="13"/>
  <c r="AT201" i="13" s="1"/>
  <c r="W201" i="13"/>
  <c r="T201" i="13"/>
  <c r="AV201" i="13" s="1"/>
  <c r="Q201" i="13"/>
  <c r="O201" i="13"/>
  <c r="N201" i="13"/>
  <c r="P201" i="13" s="1"/>
  <c r="L201" i="13"/>
  <c r="K201" i="13"/>
  <c r="H201" i="13"/>
  <c r="AU201" i="13" s="1"/>
  <c r="E201" i="13"/>
  <c r="AX200" i="13"/>
  <c r="AW200" i="13"/>
  <c r="AV200" i="13"/>
  <c r="AU200" i="13"/>
  <c r="F200" i="13"/>
  <c r="E200" i="13"/>
  <c r="AX199" i="13"/>
  <c r="AW199" i="13"/>
  <c r="AV199" i="13"/>
  <c r="AU199" i="13"/>
  <c r="AH199" i="13"/>
  <c r="AF199" i="13"/>
  <c r="AF214" i="13" s="1"/>
  <c r="AF211" i="13" s="1"/>
  <c r="AE199" i="13"/>
  <c r="AB199" i="13"/>
  <c r="F199" i="13"/>
  <c r="E199" i="13"/>
  <c r="G199" i="13" s="1"/>
  <c r="AX198" i="13"/>
  <c r="AW198" i="13"/>
  <c r="AV198" i="13"/>
  <c r="AU198" i="13"/>
  <c r="F198" i="13"/>
  <c r="E198" i="13"/>
  <c r="AX197" i="13"/>
  <c r="AW197" i="13"/>
  <c r="AV197" i="13"/>
  <c r="AU197" i="13"/>
  <c r="F197" i="13"/>
  <c r="E197" i="13"/>
  <c r="AO196" i="13"/>
  <c r="AL196" i="13"/>
  <c r="AI196" i="13"/>
  <c r="AX196" i="13" s="1"/>
  <c r="AG196" i="13"/>
  <c r="AH196" i="13" s="1"/>
  <c r="AF196" i="13"/>
  <c r="AD196" i="13"/>
  <c r="AC196" i="13"/>
  <c r="AW196" i="13" s="1"/>
  <c r="AA196" i="13"/>
  <c r="AT196" i="13" s="1"/>
  <c r="Z196" i="13"/>
  <c r="W196" i="13"/>
  <c r="T196" i="13"/>
  <c r="Q196" i="13"/>
  <c r="AV196" i="13" s="1"/>
  <c r="N196" i="13"/>
  <c r="K196" i="13"/>
  <c r="H196" i="13"/>
  <c r="AU196" i="13" s="1"/>
  <c r="E196" i="13"/>
  <c r="AX195" i="13"/>
  <c r="AW195" i="13"/>
  <c r="AV195" i="13"/>
  <c r="AU195" i="13"/>
  <c r="F195" i="13"/>
  <c r="E195" i="13"/>
  <c r="AX194" i="13"/>
  <c r="AW194" i="13"/>
  <c r="AV194" i="13"/>
  <c r="AU194" i="13"/>
  <c r="F194" i="13"/>
  <c r="E194" i="13"/>
  <c r="AX193" i="13"/>
  <c r="AW193" i="13"/>
  <c r="AV193" i="13"/>
  <c r="AU193" i="13"/>
  <c r="F193" i="13"/>
  <c r="E193" i="13"/>
  <c r="AX192" i="13"/>
  <c r="AW192" i="13"/>
  <c r="AV192" i="13"/>
  <c r="AU192" i="13"/>
  <c r="F192" i="13"/>
  <c r="E192" i="13"/>
  <c r="AO191" i="13"/>
  <c r="AL191" i="13"/>
  <c r="AI191" i="13"/>
  <c r="AX191" i="13" s="1"/>
  <c r="AF191" i="13"/>
  <c r="AC191" i="13"/>
  <c r="Z191" i="13"/>
  <c r="AW191" i="13" s="1"/>
  <c r="W191" i="13"/>
  <c r="T191" i="13"/>
  <c r="Q191" i="13"/>
  <c r="AV191" i="13" s="1"/>
  <c r="N191" i="13"/>
  <c r="K191" i="13"/>
  <c r="H191" i="13"/>
  <c r="AU191" i="13" s="1"/>
  <c r="F191" i="13"/>
  <c r="E191" i="13"/>
  <c r="AX190" i="13"/>
  <c r="AW190" i="13"/>
  <c r="AV190" i="13"/>
  <c r="AU190" i="13"/>
  <c r="F190" i="13"/>
  <c r="E190" i="13"/>
  <c r="AX189" i="13"/>
  <c r="AW189" i="13"/>
  <c r="AV189" i="13"/>
  <c r="AU189" i="13"/>
  <c r="AT189" i="13"/>
  <c r="P189" i="13"/>
  <c r="F189" i="13"/>
  <c r="G189" i="13" s="1"/>
  <c r="E189" i="13"/>
  <c r="AX188" i="13"/>
  <c r="AW188" i="13"/>
  <c r="AV188" i="13"/>
  <c r="AU188" i="13"/>
  <c r="F188" i="13"/>
  <c r="E188" i="13"/>
  <c r="AX187" i="13"/>
  <c r="AW187" i="13"/>
  <c r="AV187" i="13"/>
  <c r="AU187" i="13"/>
  <c r="F187" i="13"/>
  <c r="E187" i="13"/>
  <c r="AO186" i="13"/>
  <c r="AL186" i="13"/>
  <c r="AJ186" i="13"/>
  <c r="AI186" i="13"/>
  <c r="AX186" i="13" s="1"/>
  <c r="AF186" i="13"/>
  <c r="AC186" i="13"/>
  <c r="Z186" i="13"/>
  <c r="AW186" i="13" s="1"/>
  <c r="W186" i="13"/>
  <c r="T186" i="13"/>
  <c r="Q186" i="13"/>
  <c r="AV186" i="13" s="1"/>
  <c r="O186" i="13"/>
  <c r="AT186" i="13" s="1"/>
  <c r="N186" i="13"/>
  <c r="K186" i="13"/>
  <c r="H186" i="13"/>
  <c r="AU186" i="13" s="1"/>
  <c r="E186" i="13"/>
  <c r="AX185" i="13"/>
  <c r="AW185" i="13"/>
  <c r="AV185" i="13"/>
  <c r="AU185" i="13"/>
  <c r="AO184" i="13"/>
  <c r="AM184" i="13"/>
  <c r="AL184" i="13"/>
  <c r="AI184" i="13"/>
  <c r="AX184" i="13" s="1"/>
  <c r="AF184" i="13"/>
  <c r="AD184" i="13"/>
  <c r="AC184" i="13"/>
  <c r="Z184" i="13"/>
  <c r="AW184" i="13" s="1"/>
  <c r="X184" i="13"/>
  <c r="W184" i="13"/>
  <c r="U184" i="13"/>
  <c r="T184" i="13"/>
  <c r="R184" i="13"/>
  <c r="Q184" i="13"/>
  <c r="AV184" i="13" s="1"/>
  <c r="O184" i="13"/>
  <c r="N184" i="13"/>
  <c r="L184" i="13"/>
  <c r="K184" i="13"/>
  <c r="I184" i="13"/>
  <c r="H184" i="13"/>
  <c r="AU184" i="13" s="1"/>
  <c r="F184" i="13"/>
  <c r="E184" i="13"/>
  <c r="AM183" i="13"/>
  <c r="AJ183" i="13"/>
  <c r="AG183" i="13"/>
  <c r="AD183" i="13"/>
  <c r="AE183" i="13" s="1"/>
  <c r="AC183" i="13"/>
  <c r="AA183" i="13"/>
  <c r="X183" i="13"/>
  <c r="U183" i="13"/>
  <c r="V183" i="13" s="1"/>
  <c r="T183" i="13"/>
  <c r="R183" i="13"/>
  <c r="O183" i="13"/>
  <c r="I183" i="13"/>
  <c r="H183" i="13"/>
  <c r="AP182" i="13"/>
  <c r="AQ182" i="13" s="1"/>
  <c r="AO182" i="13"/>
  <c r="AM182" i="13"/>
  <c r="AN182" i="13" s="1"/>
  <c r="AL182" i="13"/>
  <c r="AJ182" i="13"/>
  <c r="AK182" i="13" s="1"/>
  <c r="AI182" i="13"/>
  <c r="AX182" i="13" s="1"/>
  <c r="AG182" i="13"/>
  <c r="AH182" i="13" s="1"/>
  <c r="AF182" i="13"/>
  <c r="AD182" i="13"/>
  <c r="AE182" i="13" s="1"/>
  <c r="AC182" i="13"/>
  <c r="AA182" i="13"/>
  <c r="AB182" i="13" s="1"/>
  <c r="Z182" i="13"/>
  <c r="AW182" i="13" s="1"/>
  <c r="X182" i="13"/>
  <c r="U182" i="13"/>
  <c r="V182" i="13" s="1"/>
  <c r="T182" i="13"/>
  <c r="R182" i="13"/>
  <c r="S182" i="13" s="1"/>
  <c r="Q182" i="13"/>
  <c r="O182" i="13"/>
  <c r="P182" i="13" s="1"/>
  <c r="N182" i="13"/>
  <c r="L182" i="13"/>
  <c r="M182" i="13" s="1"/>
  <c r="K182" i="13"/>
  <c r="I182" i="13"/>
  <c r="H182" i="13"/>
  <c r="AU182" i="13" s="1"/>
  <c r="F182" i="13"/>
  <c r="AP181" i="13"/>
  <c r="AO181" i="13"/>
  <c r="AM181" i="13"/>
  <c r="AL181" i="13"/>
  <c r="AJ181" i="13"/>
  <c r="AI181" i="13"/>
  <c r="AX181" i="13" s="1"/>
  <c r="AG181" i="13"/>
  <c r="AF181" i="13"/>
  <c r="AD181" i="13"/>
  <c r="AC181" i="13"/>
  <c r="AA181" i="13"/>
  <c r="Z181" i="13"/>
  <c r="AW181" i="13" s="1"/>
  <c r="X181" i="13"/>
  <c r="W181" i="13"/>
  <c r="U181" i="13"/>
  <c r="T181" i="13"/>
  <c r="R181" i="13"/>
  <c r="Q181" i="13"/>
  <c r="AV181" i="13" s="1"/>
  <c r="O181" i="13"/>
  <c r="N181" i="13"/>
  <c r="L181" i="13"/>
  <c r="K181" i="13"/>
  <c r="I181" i="13"/>
  <c r="H181" i="13"/>
  <c r="AU181" i="13" s="1"/>
  <c r="F181" i="13"/>
  <c r="E181" i="13"/>
  <c r="AM180" i="13"/>
  <c r="AJ180" i="13"/>
  <c r="AG180" i="13"/>
  <c r="AD180" i="13"/>
  <c r="AE180" i="13" s="1"/>
  <c r="AC180" i="13"/>
  <c r="AA180" i="13"/>
  <c r="X180" i="13"/>
  <c r="U180" i="13"/>
  <c r="V180" i="13" s="1"/>
  <c r="T180" i="13"/>
  <c r="R180" i="13"/>
  <c r="O180" i="13"/>
  <c r="I180" i="13"/>
  <c r="H180" i="13"/>
  <c r="AX179" i="13"/>
  <c r="AW179" i="13"/>
  <c r="AV179" i="13"/>
  <c r="AU179" i="13"/>
  <c r="F179" i="13"/>
  <c r="E179" i="13"/>
  <c r="AX178" i="13"/>
  <c r="AW178" i="13"/>
  <c r="AV178" i="13"/>
  <c r="AU178" i="13"/>
  <c r="F178" i="13"/>
  <c r="E178" i="13"/>
  <c r="AX177" i="13"/>
  <c r="AW177" i="13"/>
  <c r="AV177" i="13"/>
  <c r="AU177" i="13"/>
  <c r="F177" i="13"/>
  <c r="E177" i="13"/>
  <c r="AX176" i="13"/>
  <c r="AW176" i="13"/>
  <c r="AV176" i="13"/>
  <c r="AU176" i="13"/>
  <c r="F176" i="13"/>
  <c r="E176" i="13"/>
  <c r="AO175" i="13"/>
  <c r="AL175" i="13"/>
  <c r="AI175" i="13"/>
  <c r="AX175" i="13" s="1"/>
  <c r="AF175" i="13"/>
  <c r="AC175" i="13"/>
  <c r="Z175" i="13"/>
  <c r="AW175" i="13" s="1"/>
  <c r="W175" i="13"/>
  <c r="T175" i="13"/>
  <c r="Q175" i="13"/>
  <c r="AV175" i="13" s="1"/>
  <c r="N175" i="13"/>
  <c r="K175" i="13"/>
  <c r="H175" i="13"/>
  <c r="AU175" i="13" s="1"/>
  <c r="F175" i="13"/>
  <c r="E175" i="13"/>
  <c r="AX174" i="13"/>
  <c r="AW174" i="13"/>
  <c r="AV174" i="13"/>
  <c r="AU174" i="13"/>
  <c r="F174" i="13"/>
  <c r="E174" i="13"/>
  <c r="AO173" i="13"/>
  <c r="AQ173" i="13" s="1"/>
  <c r="AL173" i="13"/>
  <c r="AN173" i="13" s="1"/>
  <c r="AI173" i="13"/>
  <c r="AK173" i="13" s="1"/>
  <c r="AH173" i="13"/>
  <c r="AF173" i="13"/>
  <c r="AE173" i="13"/>
  <c r="Z173" i="13"/>
  <c r="AW173" i="13" s="1"/>
  <c r="W173" i="13"/>
  <c r="Y173" i="13" s="1"/>
  <c r="V173" i="13"/>
  <c r="S173" i="13"/>
  <c r="Q173" i="13"/>
  <c r="Q183" i="13" s="1"/>
  <c r="P173" i="13"/>
  <c r="L173" i="13"/>
  <c r="L183" i="13" s="1"/>
  <c r="K173" i="13"/>
  <c r="AU173" i="13" s="1"/>
  <c r="J173" i="13"/>
  <c r="F173" i="13"/>
  <c r="G173" i="13" s="1"/>
  <c r="E173" i="13"/>
  <c r="AX172" i="13"/>
  <c r="AW172" i="13"/>
  <c r="AU172" i="13"/>
  <c r="AQ172" i="13"/>
  <c r="AN172" i="13"/>
  <c r="AK172" i="13"/>
  <c r="AH172" i="13"/>
  <c r="AE172" i="13"/>
  <c r="AB172" i="13"/>
  <c r="W172" i="13"/>
  <c r="W182" i="13" s="1"/>
  <c r="V172" i="13"/>
  <c r="S172" i="13"/>
  <c r="P172" i="13"/>
  <c r="M172" i="13"/>
  <c r="J172" i="13"/>
  <c r="F172" i="13"/>
  <c r="E172" i="13"/>
  <c r="G172" i="13" s="1"/>
  <c r="AX171" i="13"/>
  <c r="AW171" i="13"/>
  <c r="AV171" i="13"/>
  <c r="AU171" i="13"/>
  <c r="F171" i="13"/>
  <c r="E171" i="13"/>
  <c r="AP170" i="13"/>
  <c r="AO170" i="13"/>
  <c r="AQ170" i="13" s="1"/>
  <c r="AM170" i="13"/>
  <c r="AN170" i="13" s="1"/>
  <c r="AL170" i="13"/>
  <c r="AJ170" i="13"/>
  <c r="AI170" i="13"/>
  <c r="AK170" i="13" s="1"/>
  <c r="AG170" i="13"/>
  <c r="AH170" i="13" s="1"/>
  <c r="AF170" i="13"/>
  <c r="AD170" i="13"/>
  <c r="AC170" i="13"/>
  <c r="AE170" i="13" s="1"/>
  <c r="AA170" i="13"/>
  <c r="AB170" i="13" s="1"/>
  <c r="Z170" i="13"/>
  <c r="AW170" i="13" s="1"/>
  <c r="X170" i="13"/>
  <c r="W170" i="13"/>
  <c r="Y170" i="13" s="1"/>
  <c r="U170" i="13"/>
  <c r="V170" i="13" s="1"/>
  <c r="T170" i="13"/>
  <c r="R170" i="13"/>
  <c r="Q170" i="13"/>
  <c r="S170" i="13" s="1"/>
  <c r="O170" i="13"/>
  <c r="P170" i="13" s="1"/>
  <c r="N170" i="13"/>
  <c r="L170" i="13"/>
  <c r="K170" i="13"/>
  <c r="M170" i="13" s="1"/>
  <c r="I170" i="13"/>
  <c r="AT170" i="13" s="1"/>
  <c r="H170" i="13"/>
  <c r="AU170" i="13" s="1"/>
  <c r="E170" i="13"/>
  <c r="AX169" i="13"/>
  <c r="AW169" i="13"/>
  <c r="AV169" i="13"/>
  <c r="AU169" i="13"/>
  <c r="F169" i="13"/>
  <c r="E169" i="13"/>
  <c r="AW168" i="13"/>
  <c r="AU168" i="13"/>
  <c r="AP168" i="13"/>
  <c r="AP183" i="13" s="1"/>
  <c r="AO168" i="13"/>
  <c r="AO183" i="13" s="1"/>
  <c r="AO180" i="13" s="1"/>
  <c r="AN168" i="13"/>
  <c r="AK168" i="13"/>
  <c r="AI168" i="13"/>
  <c r="AX168" i="13" s="1"/>
  <c r="AH168" i="13"/>
  <c r="AE168" i="13"/>
  <c r="AB168" i="13"/>
  <c r="W168" i="13"/>
  <c r="W183" i="13" s="1"/>
  <c r="V168" i="13"/>
  <c r="S168" i="13"/>
  <c r="P168" i="13"/>
  <c r="M168" i="13"/>
  <c r="J168" i="13"/>
  <c r="F168" i="13"/>
  <c r="E168" i="13"/>
  <c r="G168" i="13" s="1"/>
  <c r="AX167" i="13"/>
  <c r="AW167" i="13"/>
  <c r="AV167" i="13"/>
  <c r="AU167" i="13"/>
  <c r="F167" i="13"/>
  <c r="E167" i="13"/>
  <c r="AX166" i="13"/>
  <c r="AW166" i="13"/>
  <c r="AV166" i="13"/>
  <c r="AU166" i="13"/>
  <c r="F166" i="13"/>
  <c r="E166" i="13"/>
  <c r="AP165" i="13"/>
  <c r="AO165" i="13"/>
  <c r="AQ165" i="13" s="1"/>
  <c r="AM165" i="13"/>
  <c r="AN165" i="13" s="1"/>
  <c r="AL165" i="13"/>
  <c r="AJ165" i="13"/>
  <c r="AI165" i="13"/>
  <c r="AK165" i="13" s="1"/>
  <c r="AG165" i="13"/>
  <c r="AH165" i="13" s="1"/>
  <c r="AF165" i="13"/>
  <c r="AD165" i="13"/>
  <c r="AC165" i="13"/>
  <c r="AE165" i="13" s="1"/>
  <c r="AA165" i="13"/>
  <c r="AB165" i="13" s="1"/>
  <c r="Z165" i="13"/>
  <c r="AW165" i="13" s="1"/>
  <c r="X165" i="13"/>
  <c r="W165" i="13"/>
  <c r="Y165" i="13" s="1"/>
  <c r="U165" i="13"/>
  <c r="V165" i="13" s="1"/>
  <c r="T165" i="13"/>
  <c r="R165" i="13"/>
  <c r="Q165" i="13"/>
  <c r="S165" i="13" s="1"/>
  <c r="O165" i="13"/>
  <c r="P165" i="13" s="1"/>
  <c r="N165" i="13"/>
  <c r="L165" i="13"/>
  <c r="K165" i="13"/>
  <c r="M165" i="13" s="1"/>
  <c r="I165" i="13"/>
  <c r="AT165" i="13" s="1"/>
  <c r="H165" i="13"/>
  <c r="AU165" i="13" s="1"/>
  <c r="E165" i="13"/>
  <c r="AX164" i="13"/>
  <c r="AW164" i="13"/>
  <c r="AV164" i="13"/>
  <c r="AU164" i="13"/>
  <c r="F164" i="13"/>
  <c r="E164" i="13"/>
  <c r="AV163" i="13"/>
  <c r="AU163" i="13"/>
  <c r="AQ163" i="13"/>
  <c r="AL163" i="13"/>
  <c r="AI163" i="13"/>
  <c r="AX163" i="13" s="1"/>
  <c r="AF163" i="13"/>
  <c r="AW163" i="13" s="1"/>
  <c r="N163" i="13"/>
  <c r="N183" i="13" s="1"/>
  <c r="N180" i="13" s="1"/>
  <c r="F163" i="13"/>
  <c r="E163" i="13"/>
  <c r="G163" i="13" s="1"/>
  <c r="AX162" i="13"/>
  <c r="AW162" i="13"/>
  <c r="AV162" i="13"/>
  <c r="AU162" i="13"/>
  <c r="F162" i="13"/>
  <c r="E162" i="13"/>
  <c r="AX161" i="13"/>
  <c r="AW161" i="13"/>
  <c r="AV161" i="13"/>
  <c r="AU161" i="13"/>
  <c r="F161" i="13"/>
  <c r="E161" i="13"/>
  <c r="AP160" i="13"/>
  <c r="AO160" i="13"/>
  <c r="AQ160" i="13" s="1"/>
  <c r="AM160" i="13"/>
  <c r="AL160" i="13"/>
  <c r="AJ160" i="13"/>
  <c r="AI160" i="13"/>
  <c r="AX160" i="13" s="1"/>
  <c r="AG160" i="13"/>
  <c r="AH160" i="13" s="1"/>
  <c r="AF160" i="13"/>
  <c r="AC160" i="13"/>
  <c r="Z160" i="13"/>
  <c r="AW160" i="13" s="1"/>
  <c r="X160" i="13"/>
  <c r="W160" i="13"/>
  <c r="T160" i="13"/>
  <c r="Q160" i="13"/>
  <c r="AV160" i="13" s="1"/>
  <c r="O160" i="13"/>
  <c r="AT160" i="13" s="1"/>
  <c r="N160" i="13"/>
  <c r="K160" i="13"/>
  <c r="H160" i="13"/>
  <c r="AU160" i="13" s="1"/>
  <c r="E160" i="13"/>
  <c r="AX159" i="13"/>
  <c r="AW159" i="13"/>
  <c r="AV159" i="13"/>
  <c r="AU159" i="13"/>
  <c r="F159" i="13"/>
  <c r="E159" i="13"/>
  <c r="AX158" i="13"/>
  <c r="AW158" i="13"/>
  <c r="AV158" i="13"/>
  <c r="AU158" i="13"/>
  <c r="AT158" i="13"/>
  <c r="AQ158" i="13"/>
  <c r="AH158" i="13"/>
  <c r="F158" i="13"/>
  <c r="G158" i="13" s="1"/>
  <c r="E158" i="13"/>
  <c r="AX157" i="13"/>
  <c r="AW157" i="13"/>
  <c r="AV157" i="13"/>
  <c r="AU157" i="13"/>
  <c r="F157" i="13"/>
  <c r="E157" i="13"/>
  <c r="AX156" i="13"/>
  <c r="AW156" i="13"/>
  <c r="AV156" i="13"/>
  <c r="AU156" i="13"/>
  <c r="F156" i="13"/>
  <c r="E156" i="13"/>
  <c r="AP155" i="13"/>
  <c r="AQ155" i="13" s="1"/>
  <c r="AO155" i="13"/>
  <c r="AL155" i="13"/>
  <c r="AJ155" i="13"/>
  <c r="AI155" i="13"/>
  <c r="AX155" i="13" s="1"/>
  <c r="AG155" i="13"/>
  <c r="AH155" i="13" s="1"/>
  <c r="AF155" i="13"/>
  <c r="AC155" i="13"/>
  <c r="Z155" i="13"/>
  <c r="AW155" i="13" s="1"/>
  <c r="W155" i="13"/>
  <c r="T155" i="13"/>
  <c r="Q155" i="13"/>
  <c r="AV155" i="13" s="1"/>
  <c r="N155" i="13"/>
  <c r="K155" i="13"/>
  <c r="H155" i="13"/>
  <c r="AU155" i="13" s="1"/>
  <c r="F155" i="13"/>
  <c r="G155" i="13" s="1"/>
  <c r="E155" i="13"/>
  <c r="AX154" i="13"/>
  <c r="AW154" i="13"/>
  <c r="AV154" i="13"/>
  <c r="AU154" i="13"/>
  <c r="F154" i="13"/>
  <c r="E154" i="13"/>
  <c r="AW153" i="13"/>
  <c r="AV153" i="13"/>
  <c r="AL153" i="13"/>
  <c r="AL183" i="13" s="1"/>
  <c r="AL180" i="13" s="1"/>
  <c r="AI153" i="13"/>
  <c r="AI183" i="13" s="1"/>
  <c r="K153" i="13"/>
  <c r="K183" i="13" s="1"/>
  <c r="J153" i="13"/>
  <c r="F153" i="13"/>
  <c r="G153" i="13" s="1"/>
  <c r="E153" i="13"/>
  <c r="AX152" i="13"/>
  <c r="AW152" i="13"/>
  <c r="AV152" i="13"/>
  <c r="AU152" i="13"/>
  <c r="F152" i="13"/>
  <c r="E152" i="13"/>
  <c r="AX151" i="13"/>
  <c r="AW151" i="13"/>
  <c r="AV151" i="13"/>
  <c r="AU151" i="13"/>
  <c r="F151" i="13"/>
  <c r="E151" i="13"/>
  <c r="AP150" i="13"/>
  <c r="AO150" i="13"/>
  <c r="AL150" i="13"/>
  <c r="AJ150" i="13"/>
  <c r="AI150" i="13"/>
  <c r="AX150" i="13" s="1"/>
  <c r="AG150" i="13"/>
  <c r="AF150" i="13"/>
  <c r="AC150" i="13"/>
  <c r="Z150" i="13"/>
  <c r="AW150" i="13" s="1"/>
  <c r="W150" i="13"/>
  <c r="T150" i="13"/>
  <c r="Q150" i="13"/>
  <c r="AV150" i="13" s="1"/>
  <c r="N150" i="13"/>
  <c r="L150" i="13"/>
  <c r="K150" i="13"/>
  <c r="I150" i="13"/>
  <c r="AT150" i="13" s="1"/>
  <c r="H150" i="13"/>
  <c r="AU150" i="13" s="1"/>
  <c r="E150" i="13"/>
  <c r="AX149" i="13"/>
  <c r="AW149" i="13"/>
  <c r="AV149" i="13"/>
  <c r="AU149" i="13"/>
  <c r="AO148" i="13"/>
  <c r="AM148" i="13"/>
  <c r="AL148" i="13"/>
  <c r="AJ148" i="13"/>
  <c r="AI148" i="13"/>
  <c r="AX148" i="13" s="1"/>
  <c r="AG148" i="13"/>
  <c r="AF148" i="13"/>
  <c r="AD148" i="13"/>
  <c r="AC148" i="13"/>
  <c r="AA148" i="13"/>
  <c r="Z148" i="13"/>
  <c r="AW148" i="13" s="1"/>
  <c r="X148" i="13"/>
  <c r="W148" i="13"/>
  <c r="U148" i="13"/>
  <c r="T148" i="13"/>
  <c r="R148" i="13"/>
  <c r="Q148" i="13"/>
  <c r="AV148" i="13" s="1"/>
  <c r="O148" i="13"/>
  <c r="N148" i="13"/>
  <c r="L148" i="13"/>
  <c r="K148" i="13"/>
  <c r="I148" i="13"/>
  <c r="H148" i="13"/>
  <c r="AU148" i="13" s="1"/>
  <c r="F148" i="13"/>
  <c r="E148" i="13"/>
  <c r="AP147" i="13"/>
  <c r="AM147" i="13"/>
  <c r="AJ147" i="13"/>
  <c r="AG147" i="13"/>
  <c r="AD147" i="13"/>
  <c r="AA147" i="13"/>
  <c r="X147" i="13"/>
  <c r="U147" i="13"/>
  <c r="R147" i="13"/>
  <c r="O147" i="13"/>
  <c r="L147" i="13"/>
  <c r="I147" i="13"/>
  <c r="F147" i="13"/>
  <c r="AP146" i="13"/>
  <c r="AM146" i="13"/>
  <c r="AL146" i="13"/>
  <c r="AN146" i="13" s="1"/>
  <c r="AJ146" i="13"/>
  <c r="AG146" i="13"/>
  <c r="AF146" i="13"/>
  <c r="AH146" i="13" s="1"/>
  <c r="AD146" i="13"/>
  <c r="AE146" i="13" s="1"/>
  <c r="AC146" i="13"/>
  <c r="AA146" i="13"/>
  <c r="X146" i="13"/>
  <c r="U146" i="13"/>
  <c r="R146" i="13"/>
  <c r="O146" i="13"/>
  <c r="P146" i="13" s="1"/>
  <c r="N146" i="13"/>
  <c r="L146" i="13"/>
  <c r="M146" i="13" s="1"/>
  <c r="K146" i="13"/>
  <c r="I146" i="13"/>
  <c r="H146" i="13"/>
  <c r="AU146" i="13" s="1"/>
  <c r="F146" i="13"/>
  <c r="AP145" i="13"/>
  <c r="AQ145" i="13" s="1"/>
  <c r="AO145" i="13"/>
  <c r="AM145" i="13"/>
  <c r="AN145" i="13" s="1"/>
  <c r="AL145" i="13"/>
  <c r="AJ145" i="13"/>
  <c r="AG145" i="13"/>
  <c r="AF145" i="13"/>
  <c r="AD145" i="13"/>
  <c r="AC145" i="13"/>
  <c r="AA145" i="13"/>
  <c r="Z145" i="13"/>
  <c r="AW145" i="13" s="1"/>
  <c r="X145" i="13"/>
  <c r="W145" i="13"/>
  <c r="U145" i="13"/>
  <c r="T145" i="13"/>
  <c r="R145" i="13"/>
  <c r="Q145" i="13"/>
  <c r="AV145" i="13" s="1"/>
  <c r="O145" i="13"/>
  <c r="N145" i="13"/>
  <c r="L145" i="13"/>
  <c r="K145" i="13"/>
  <c r="I145" i="13"/>
  <c r="H145" i="13"/>
  <c r="AU145" i="13" s="1"/>
  <c r="F145" i="13"/>
  <c r="AP144" i="13"/>
  <c r="AM144" i="13"/>
  <c r="AJ144" i="13"/>
  <c r="AG144" i="13"/>
  <c r="AD144" i="13"/>
  <c r="AA144" i="13"/>
  <c r="X144" i="13"/>
  <c r="U144" i="13"/>
  <c r="R144" i="13"/>
  <c r="O144" i="13"/>
  <c r="L144" i="13"/>
  <c r="I144" i="13"/>
  <c r="F144" i="13"/>
  <c r="AX143" i="13"/>
  <c r="AW143" i="13"/>
  <c r="AV143" i="13"/>
  <c r="AU143" i="13"/>
  <c r="F143" i="13"/>
  <c r="E143" i="13"/>
  <c r="AX142" i="13"/>
  <c r="AW142" i="13"/>
  <c r="AV142" i="13"/>
  <c r="AU142" i="13"/>
  <c r="AT142" i="13"/>
  <c r="AK142" i="13"/>
  <c r="AH142" i="13"/>
  <c r="F142" i="13"/>
  <c r="G142" i="13" s="1"/>
  <c r="E142" i="13"/>
  <c r="AW141" i="13"/>
  <c r="AV141" i="13"/>
  <c r="AU141" i="13"/>
  <c r="AI141" i="13"/>
  <c r="AX141" i="13" s="1"/>
  <c r="AH141" i="13"/>
  <c r="F141" i="13"/>
  <c r="E141" i="13"/>
  <c r="G141" i="13" s="1"/>
  <c r="AW140" i="13"/>
  <c r="AV140" i="13"/>
  <c r="AU140" i="13"/>
  <c r="AK140" i="13"/>
  <c r="AI140" i="13"/>
  <c r="AI145" i="13" s="1"/>
  <c r="AH140" i="13"/>
  <c r="F140" i="13"/>
  <c r="G140" i="13" s="1"/>
  <c r="E140" i="13"/>
  <c r="AP139" i="13"/>
  <c r="AO139" i="13"/>
  <c r="AM139" i="13"/>
  <c r="AL139" i="13"/>
  <c r="AJ139" i="13"/>
  <c r="AK139" i="13" s="1"/>
  <c r="AI139" i="13"/>
  <c r="AX139" i="13" s="1"/>
  <c r="AG139" i="13"/>
  <c r="AF139" i="13"/>
  <c r="AH139" i="13" s="1"/>
  <c r="AD139" i="13"/>
  <c r="AC139" i="13"/>
  <c r="AA139" i="13"/>
  <c r="Z139" i="13"/>
  <c r="AW139" i="13" s="1"/>
  <c r="X139" i="13"/>
  <c r="W139" i="13"/>
  <c r="U139" i="13"/>
  <c r="T139" i="13"/>
  <c r="R139" i="13"/>
  <c r="Q139" i="13"/>
  <c r="AV139" i="13" s="1"/>
  <c r="O139" i="13"/>
  <c r="N139" i="13"/>
  <c r="L139" i="13"/>
  <c r="AT139" i="13" s="1"/>
  <c r="K139" i="13"/>
  <c r="H139" i="13"/>
  <c r="AU139" i="13" s="1"/>
  <c r="F139" i="13"/>
  <c r="E139" i="13"/>
  <c r="G139" i="13" s="1"/>
  <c r="AX138" i="13"/>
  <c r="AW138" i="13"/>
  <c r="AV138" i="13"/>
  <c r="AU138" i="13"/>
  <c r="F138" i="13"/>
  <c r="E138" i="13"/>
  <c r="AX137" i="13"/>
  <c r="AW137" i="13"/>
  <c r="AV137" i="13"/>
  <c r="AU137" i="13"/>
  <c r="AT137" i="13"/>
  <c r="AE137" i="13"/>
  <c r="F137" i="13"/>
  <c r="G137" i="13" s="1"/>
  <c r="E137" i="13"/>
  <c r="AX136" i="13"/>
  <c r="AW136" i="13"/>
  <c r="AV136" i="13"/>
  <c r="AU136" i="13"/>
  <c r="F136" i="13"/>
  <c r="E136" i="13"/>
  <c r="AX135" i="13"/>
  <c r="AW135" i="13"/>
  <c r="AV135" i="13"/>
  <c r="AU135" i="13"/>
  <c r="F135" i="13"/>
  <c r="E135" i="13"/>
  <c r="AP134" i="13"/>
  <c r="AO134" i="13"/>
  <c r="AM134" i="13"/>
  <c r="AL134" i="13"/>
  <c r="AJ134" i="13"/>
  <c r="AI134" i="13"/>
  <c r="AX134" i="13" s="1"/>
  <c r="AF134" i="13"/>
  <c r="AD134" i="13"/>
  <c r="AE134" i="13" s="1"/>
  <c r="AC134" i="13"/>
  <c r="AA134" i="13"/>
  <c r="Z134" i="13"/>
  <c r="AW134" i="13" s="1"/>
  <c r="X134" i="13"/>
  <c r="W134" i="13"/>
  <c r="U134" i="13"/>
  <c r="T134" i="13"/>
  <c r="R134" i="13"/>
  <c r="Q134" i="13"/>
  <c r="AV134" i="13" s="1"/>
  <c r="O134" i="13"/>
  <c r="N134" i="13"/>
  <c r="L134" i="13"/>
  <c r="AT134" i="13" s="1"/>
  <c r="K134" i="13"/>
  <c r="H134" i="13"/>
  <c r="E134" i="13" s="1"/>
  <c r="F134" i="13"/>
  <c r="AX133" i="13"/>
  <c r="AW133" i="13"/>
  <c r="AV133" i="13"/>
  <c r="AU133" i="13"/>
  <c r="F133" i="13"/>
  <c r="E133" i="13"/>
  <c r="AX132" i="13"/>
  <c r="AW132" i="13"/>
  <c r="AV132" i="13"/>
  <c r="AU132" i="13"/>
  <c r="F132" i="13"/>
  <c r="E132" i="13"/>
  <c r="AU131" i="13"/>
  <c r="AO131" i="13"/>
  <c r="AQ131" i="13" s="1"/>
  <c r="AN131" i="13"/>
  <c r="AK131" i="13"/>
  <c r="AI131" i="13"/>
  <c r="AX131" i="13" s="1"/>
  <c r="AB131" i="13"/>
  <c r="Z131" i="13"/>
  <c r="AW131" i="13" s="1"/>
  <c r="Y131" i="13"/>
  <c r="W131" i="13"/>
  <c r="V131" i="13"/>
  <c r="T131" i="13"/>
  <c r="T146" i="13" s="1"/>
  <c r="S131" i="13"/>
  <c r="Q131" i="13"/>
  <c r="Q146" i="13" s="1"/>
  <c r="F131" i="13"/>
  <c r="E131" i="13"/>
  <c r="G131" i="13" s="1"/>
  <c r="AX130" i="13"/>
  <c r="AW130" i="13"/>
  <c r="AV130" i="13"/>
  <c r="AU130" i="13"/>
  <c r="F130" i="13"/>
  <c r="E130" i="13"/>
  <c r="AP129" i="13"/>
  <c r="AO129" i="13"/>
  <c r="AQ129" i="13" s="1"/>
  <c r="AM129" i="13"/>
  <c r="AN129" i="13" s="1"/>
  <c r="AL129" i="13"/>
  <c r="AJ129" i="13"/>
  <c r="AI129" i="13"/>
  <c r="AX129" i="13" s="1"/>
  <c r="AG129" i="13"/>
  <c r="AF129" i="13"/>
  <c r="AD129" i="13"/>
  <c r="AC129" i="13"/>
  <c r="AA129" i="13"/>
  <c r="AB129" i="13" s="1"/>
  <c r="Z129" i="13"/>
  <c r="AW129" i="13" s="1"/>
  <c r="X129" i="13"/>
  <c r="W129" i="13"/>
  <c r="Y129" i="13" s="1"/>
  <c r="U129" i="13"/>
  <c r="V129" i="13" s="1"/>
  <c r="T129" i="13"/>
  <c r="R129" i="13"/>
  <c r="Q129" i="13"/>
  <c r="AV129" i="13" s="1"/>
  <c r="O129" i="13"/>
  <c r="N129" i="13"/>
  <c r="L129" i="13"/>
  <c r="AT129" i="13" s="1"/>
  <c r="K129" i="13"/>
  <c r="H129" i="13"/>
  <c r="AU129" i="13" s="1"/>
  <c r="F129" i="13"/>
  <c r="E129" i="13"/>
  <c r="G129" i="13" s="1"/>
  <c r="AX128" i="13"/>
  <c r="AW128" i="13"/>
  <c r="AV128" i="13"/>
  <c r="AU128" i="13"/>
  <c r="F128" i="13"/>
  <c r="E128" i="13"/>
  <c r="AV127" i="13"/>
  <c r="AQ127" i="13"/>
  <c r="AO127" i="13"/>
  <c r="AX127" i="13" s="1"/>
  <c r="AN127" i="13"/>
  <c r="AK127" i="13"/>
  <c r="AH127" i="13"/>
  <c r="AF127" i="13"/>
  <c r="AW127" i="13" s="1"/>
  <c r="AE127" i="13"/>
  <c r="Y127" i="13"/>
  <c r="V127" i="13"/>
  <c r="S127" i="13"/>
  <c r="P127" i="13"/>
  <c r="N127" i="13"/>
  <c r="AT127" i="13" s="1"/>
  <c r="M127" i="13"/>
  <c r="J127" i="13"/>
  <c r="F127" i="13"/>
  <c r="G127" i="13" s="1"/>
  <c r="E127" i="13"/>
  <c r="AX126" i="13"/>
  <c r="AW126" i="13"/>
  <c r="AV126" i="13"/>
  <c r="AU126" i="13"/>
  <c r="F126" i="13"/>
  <c r="E126" i="13"/>
  <c r="AX125" i="13"/>
  <c r="AW125" i="13"/>
  <c r="AV125" i="13"/>
  <c r="AU125" i="13"/>
  <c r="F125" i="13"/>
  <c r="E125" i="13"/>
  <c r="AP124" i="13"/>
  <c r="AQ124" i="13" s="1"/>
  <c r="AO124" i="13"/>
  <c r="AM124" i="13"/>
  <c r="AN124" i="13" s="1"/>
  <c r="AL124" i="13"/>
  <c r="AJ124" i="13"/>
  <c r="AI124" i="13"/>
  <c r="AX124" i="13" s="1"/>
  <c r="AG124" i="13"/>
  <c r="AH124" i="13" s="1"/>
  <c r="AF124" i="13"/>
  <c r="AD124" i="13"/>
  <c r="AC124" i="13"/>
  <c r="AE124" i="13" s="1"/>
  <c r="AA124" i="13"/>
  <c r="Z124" i="13"/>
  <c r="AW124" i="13" s="1"/>
  <c r="X124" i="13"/>
  <c r="Y124" i="13" s="1"/>
  <c r="W124" i="13"/>
  <c r="U124" i="13"/>
  <c r="T124" i="13"/>
  <c r="V124" i="13" s="1"/>
  <c r="R124" i="13"/>
  <c r="S124" i="13" s="1"/>
  <c r="Q124" i="13"/>
  <c r="AV124" i="13" s="1"/>
  <c r="O124" i="13"/>
  <c r="N124" i="13"/>
  <c r="P124" i="13" s="1"/>
  <c r="L124" i="13"/>
  <c r="M124" i="13" s="1"/>
  <c r="K124" i="13"/>
  <c r="I124" i="13"/>
  <c r="AT124" i="13" s="1"/>
  <c r="H124" i="13"/>
  <c r="E124" i="13" s="1"/>
  <c r="F124" i="13"/>
  <c r="AX123" i="13"/>
  <c r="AW123" i="13"/>
  <c r="AV123" i="13"/>
  <c r="AU123" i="13"/>
  <c r="F123" i="13"/>
  <c r="E123" i="13"/>
  <c r="AV122" i="13"/>
  <c r="AU122" i="13"/>
  <c r="AO122" i="13"/>
  <c r="AQ122" i="13" s="1"/>
  <c r="AL122" i="13"/>
  <c r="AN122" i="13" s="1"/>
  <c r="AI122" i="13"/>
  <c r="AK122" i="13" s="1"/>
  <c r="AF122" i="13"/>
  <c r="AH122" i="13" s="1"/>
  <c r="AC122" i="13"/>
  <c r="AE122" i="13" s="1"/>
  <c r="Z122" i="13"/>
  <c r="AW122" i="13" s="1"/>
  <c r="Y122" i="13"/>
  <c r="V122" i="13"/>
  <c r="S122" i="13"/>
  <c r="P122" i="13"/>
  <c r="M122" i="13"/>
  <c r="J122" i="13"/>
  <c r="F122" i="13"/>
  <c r="G122" i="13" s="1"/>
  <c r="E122" i="13"/>
  <c r="AX121" i="13"/>
  <c r="AW121" i="13"/>
  <c r="AV121" i="13"/>
  <c r="AU121" i="13"/>
  <c r="AT121" i="13"/>
  <c r="S121" i="13"/>
  <c r="F121" i="13"/>
  <c r="E121" i="13"/>
  <c r="G121" i="13" s="1"/>
  <c r="AX120" i="13"/>
  <c r="AW120" i="13"/>
  <c r="AV120" i="13"/>
  <c r="AU120" i="13"/>
  <c r="F120" i="13"/>
  <c r="E120" i="13"/>
  <c r="AP119" i="13"/>
  <c r="AO119" i="13"/>
  <c r="AQ119" i="13" s="1"/>
  <c r="AM119" i="13"/>
  <c r="AN119" i="13" s="1"/>
  <c r="AL119" i="13"/>
  <c r="AJ119" i="13"/>
  <c r="AI119" i="13"/>
  <c r="AX119" i="13" s="1"/>
  <c r="AG119" i="13"/>
  <c r="AH119" i="13" s="1"/>
  <c r="AF119" i="13"/>
  <c r="AD119" i="13"/>
  <c r="AC119" i="13"/>
  <c r="AE119" i="13" s="1"/>
  <c r="AA119" i="13"/>
  <c r="AB119" i="13" s="1"/>
  <c r="Z119" i="13"/>
  <c r="AW119" i="13" s="1"/>
  <c r="X119" i="13"/>
  <c r="W119" i="13"/>
  <c r="Y119" i="13" s="1"/>
  <c r="U119" i="13"/>
  <c r="V119" i="13" s="1"/>
  <c r="T119" i="13"/>
  <c r="R119" i="13"/>
  <c r="Q119" i="13"/>
  <c r="AV119" i="13" s="1"/>
  <c r="O119" i="13"/>
  <c r="P119" i="13" s="1"/>
  <c r="N119" i="13"/>
  <c r="L119" i="13"/>
  <c r="K119" i="13"/>
  <c r="M119" i="13" s="1"/>
  <c r="I119" i="13"/>
  <c r="AT119" i="13" s="1"/>
  <c r="H119" i="13"/>
  <c r="AU119" i="13" s="1"/>
  <c r="E119" i="13"/>
  <c r="AX118" i="13"/>
  <c r="AW118" i="13"/>
  <c r="AV118" i="13"/>
  <c r="AU118" i="13"/>
  <c r="F118" i="13"/>
  <c r="E118" i="13"/>
  <c r="AW117" i="13"/>
  <c r="AU117" i="13"/>
  <c r="AQ117" i="13"/>
  <c r="AO117" i="13"/>
  <c r="AO147" i="13" s="1"/>
  <c r="AN117" i="13"/>
  <c r="AL117" i="13"/>
  <c r="AK117" i="13"/>
  <c r="AI117" i="13"/>
  <c r="AX117" i="13" s="1"/>
  <c r="AH117" i="13"/>
  <c r="AF117" i="13"/>
  <c r="AE117" i="13"/>
  <c r="AB117" i="13"/>
  <c r="Y117" i="13"/>
  <c r="W117" i="13"/>
  <c r="AV117" i="13" s="1"/>
  <c r="V117" i="13"/>
  <c r="S117" i="13"/>
  <c r="P117" i="13"/>
  <c r="M117" i="13"/>
  <c r="J117" i="13"/>
  <c r="F117" i="13"/>
  <c r="G117" i="13" s="1"/>
  <c r="E117" i="13"/>
  <c r="AV116" i="13"/>
  <c r="AU116" i="13"/>
  <c r="AO116" i="13"/>
  <c r="AO146" i="13" s="1"/>
  <c r="AO144" i="13" s="1"/>
  <c r="AN116" i="13"/>
  <c r="AK116" i="13"/>
  <c r="AI116" i="13"/>
  <c r="AI146" i="13" s="1"/>
  <c r="AH116" i="13"/>
  <c r="AE116" i="13"/>
  <c r="AB116" i="13"/>
  <c r="Z116" i="13"/>
  <c r="AW116" i="13" s="1"/>
  <c r="Y116" i="13"/>
  <c r="W116" i="13"/>
  <c r="W146" i="13" s="1"/>
  <c r="V116" i="13"/>
  <c r="S116" i="13"/>
  <c r="P116" i="13"/>
  <c r="M116" i="13"/>
  <c r="J116" i="13"/>
  <c r="F116" i="13"/>
  <c r="AX115" i="13"/>
  <c r="AW115" i="13"/>
  <c r="AV115" i="13"/>
  <c r="AU115" i="13"/>
  <c r="AT115" i="13"/>
  <c r="AQ115" i="13"/>
  <c r="AN115" i="13"/>
  <c r="AK115" i="13"/>
  <c r="AH115" i="13"/>
  <c r="F115" i="13"/>
  <c r="G115" i="13" s="1"/>
  <c r="E115" i="13"/>
  <c r="AP114" i="13"/>
  <c r="AQ114" i="13" s="1"/>
  <c r="AO114" i="13"/>
  <c r="AM114" i="13"/>
  <c r="AL114" i="13"/>
  <c r="AX114" i="13" s="1"/>
  <c r="AJ114" i="13"/>
  <c r="AK114" i="13" s="1"/>
  <c r="AI114" i="13"/>
  <c r="AG114" i="13"/>
  <c r="AF114" i="13"/>
  <c r="AH114" i="13" s="1"/>
  <c r="AD114" i="13"/>
  <c r="AE114" i="13" s="1"/>
  <c r="AC114" i="13"/>
  <c r="AA114" i="13"/>
  <c r="Z114" i="13"/>
  <c r="AW114" i="13" s="1"/>
  <c r="X114" i="13"/>
  <c r="Y114" i="13" s="1"/>
  <c r="W114" i="13"/>
  <c r="U114" i="13"/>
  <c r="T114" i="13"/>
  <c r="V114" i="13" s="1"/>
  <c r="R114" i="13"/>
  <c r="S114" i="13" s="1"/>
  <c r="Q114" i="13"/>
  <c r="AV114" i="13" s="1"/>
  <c r="O114" i="13"/>
  <c r="N114" i="13"/>
  <c r="P114" i="13" s="1"/>
  <c r="L114" i="13"/>
  <c r="M114" i="13" s="1"/>
  <c r="K114" i="13"/>
  <c r="I114" i="13"/>
  <c r="AT114" i="13" s="1"/>
  <c r="H114" i="13"/>
  <c r="AU114" i="13" s="1"/>
  <c r="F114" i="13"/>
  <c r="AX113" i="13"/>
  <c r="AW113" i="13"/>
  <c r="AV113" i="13"/>
  <c r="AU113" i="13"/>
  <c r="F113" i="13"/>
  <c r="E113" i="13"/>
  <c r="AW112" i="13"/>
  <c r="AL112" i="13"/>
  <c r="AL109" i="13" s="1"/>
  <c r="AI112" i="13"/>
  <c r="Q112" i="13"/>
  <c r="E112" i="13" s="1"/>
  <c r="N112" i="13"/>
  <c r="AU112" i="13" s="1"/>
  <c r="F112" i="13"/>
  <c r="AX111" i="13"/>
  <c r="AW111" i="13"/>
  <c r="AV111" i="13"/>
  <c r="AU111" i="13"/>
  <c r="F111" i="13"/>
  <c r="E111" i="13"/>
  <c r="AX110" i="13"/>
  <c r="AW110" i="13"/>
  <c r="AV110" i="13"/>
  <c r="AU110" i="13"/>
  <c r="F110" i="13"/>
  <c r="E110" i="13"/>
  <c r="AO109" i="13"/>
  <c r="AJ109" i="13"/>
  <c r="AI109" i="13"/>
  <c r="AG109" i="13"/>
  <c r="AF109" i="13"/>
  <c r="AD109" i="13"/>
  <c r="F109" i="13" s="1"/>
  <c r="AC109" i="13"/>
  <c r="Z109" i="13"/>
  <c r="AW109" i="13" s="1"/>
  <c r="X109" i="13"/>
  <c r="W109" i="13"/>
  <c r="U109" i="13"/>
  <c r="T109" i="13"/>
  <c r="R109" i="13"/>
  <c r="Q109" i="13"/>
  <c r="AV109" i="13" s="1"/>
  <c r="O109" i="13"/>
  <c r="N109" i="13"/>
  <c r="K109" i="13"/>
  <c r="H109" i="13"/>
  <c r="AU109" i="13" s="1"/>
  <c r="AX108" i="13"/>
  <c r="AW108" i="13"/>
  <c r="AV108" i="13"/>
  <c r="AU108" i="13"/>
  <c r="F108" i="13"/>
  <c r="E108" i="13"/>
  <c r="AX107" i="13"/>
  <c r="AW107" i="13"/>
  <c r="AV107" i="13"/>
  <c r="AU107" i="13"/>
  <c r="AT107" i="13"/>
  <c r="AQ107" i="13"/>
  <c r="F107" i="13"/>
  <c r="G107" i="13" s="1"/>
  <c r="E107" i="13"/>
  <c r="AX106" i="13"/>
  <c r="AW106" i="13"/>
  <c r="AV106" i="13"/>
  <c r="AU106" i="13"/>
  <c r="F106" i="13"/>
  <c r="E106" i="13"/>
  <c r="AX105" i="13"/>
  <c r="AW105" i="13"/>
  <c r="AV105" i="13"/>
  <c r="AU105" i="13"/>
  <c r="F105" i="13"/>
  <c r="E105" i="13"/>
  <c r="AP104" i="13"/>
  <c r="AQ104" i="13" s="1"/>
  <c r="AO104" i="13"/>
  <c r="AL104" i="13"/>
  <c r="AX104" i="13" s="1"/>
  <c r="AI104" i="13"/>
  <c r="AG104" i="13"/>
  <c r="AF104" i="13"/>
  <c r="AC104" i="13"/>
  <c r="Z104" i="13"/>
  <c r="AW104" i="13" s="1"/>
  <c r="X104" i="13"/>
  <c r="AT104" i="13" s="1"/>
  <c r="W104" i="13"/>
  <c r="T104" i="13"/>
  <c r="AV104" i="13" s="1"/>
  <c r="Q104" i="13"/>
  <c r="N104" i="13"/>
  <c r="K104" i="13"/>
  <c r="H104" i="13"/>
  <c r="AU104" i="13" s="1"/>
  <c r="F104" i="13"/>
  <c r="AX103" i="13"/>
  <c r="AW103" i="13"/>
  <c r="AV103" i="13"/>
  <c r="AU103" i="13"/>
  <c r="F103" i="13"/>
  <c r="E103" i="13"/>
  <c r="AX102" i="13"/>
  <c r="AV102" i="13"/>
  <c r="AI102" i="13"/>
  <c r="AF102" i="13"/>
  <c r="AF147" i="13" s="1"/>
  <c r="AE102" i="13"/>
  <c r="Z102" i="13"/>
  <c r="AW102" i="13" s="1"/>
  <c r="T102" i="13"/>
  <c r="T147" i="13" s="1"/>
  <c r="S102" i="13"/>
  <c r="Q102" i="13"/>
  <c r="K102" i="13"/>
  <c r="K147" i="13" s="1"/>
  <c r="K144" i="13" s="1"/>
  <c r="F102" i="13"/>
  <c r="AX101" i="13"/>
  <c r="AW101" i="13"/>
  <c r="AV101" i="13"/>
  <c r="AU101" i="13"/>
  <c r="AT101" i="13"/>
  <c r="AE101" i="13"/>
  <c r="F101" i="13"/>
  <c r="E101" i="13"/>
  <c r="G101" i="13" s="1"/>
  <c r="AX100" i="13"/>
  <c r="AW100" i="13"/>
  <c r="AV100" i="13"/>
  <c r="AU100" i="13"/>
  <c r="F100" i="13"/>
  <c r="E100" i="13"/>
  <c r="AO99" i="13"/>
  <c r="AM99" i="13"/>
  <c r="AL99" i="13"/>
  <c r="AJ99" i="13"/>
  <c r="AI99" i="13"/>
  <c r="AX99" i="13" s="1"/>
  <c r="AG99" i="13"/>
  <c r="AF99" i="13"/>
  <c r="AW99" i="13" s="1"/>
  <c r="AD99" i="13"/>
  <c r="AE99" i="13" s="1"/>
  <c r="AC99" i="13"/>
  <c r="AA99" i="13"/>
  <c r="Z99" i="13"/>
  <c r="X99" i="13"/>
  <c r="W99" i="13"/>
  <c r="U99" i="13"/>
  <c r="F99" i="13" s="1"/>
  <c r="G99" i="13" s="1"/>
  <c r="T99" i="13"/>
  <c r="R99" i="13"/>
  <c r="Q99" i="13"/>
  <c r="AV99" i="13" s="1"/>
  <c r="O99" i="13"/>
  <c r="N99" i="13"/>
  <c r="L99" i="13"/>
  <c r="AT99" i="13" s="1"/>
  <c r="K99" i="13"/>
  <c r="AU99" i="13" s="1"/>
  <c r="H99" i="13"/>
  <c r="E99" i="13"/>
  <c r="AX98" i="13"/>
  <c r="AW98" i="13"/>
  <c r="AV98" i="13"/>
  <c r="AU98" i="13"/>
  <c r="F98" i="13"/>
  <c r="E98" i="13"/>
  <c r="AX97" i="13"/>
  <c r="AW97" i="13"/>
  <c r="AV97" i="13"/>
  <c r="AU97" i="13"/>
  <c r="F97" i="13"/>
  <c r="E97" i="13"/>
  <c r="AX96" i="13"/>
  <c r="AW96" i="13"/>
  <c r="AV96" i="13"/>
  <c r="AU96" i="13"/>
  <c r="F96" i="13"/>
  <c r="E96" i="13"/>
  <c r="AX95" i="13"/>
  <c r="AW95" i="13"/>
  <c r="AV95" i="13"/>
  <c r="AU95" i="13"/>
  <c r="F95" i="13"/>
  <c r="E95" i="13"/>
  <c r="AO94" i="13"/>
  <c r="AL94" i="13"/>
  <c r="AI94" i="13"/>
  <c r="AX94" i="13" s="1"/>
  <c r="AF94" i="13"/>
  <c r="AC94" i="13"/>
  <c r="Z94" i="13"/>
  <c r="AW94" i="13" s="1"/>
  <c r="W94" i="13"/>
  <c r="T94" i="13"/>
  <c r="Q94" i="13"/>
  <c r="AV94" i="13" s="1"/>
  <c r="N94" i="13"/>
  <c r="K94" i="13"/>
  <c r="E94" i="13" s="1"/>
  <c r="H94" i="13"/>
  <c r="AU94" i="13" s="1"/>
  <c r="F94" i="13"/>
  <c r="AX93" i="13"/>
  <c r="AW93" i="13"/>
  <c r="AV93" i="13"/>
  <c r="AU93" i="13"/>
  <c r="F93" i="13"/>
  <c r="E93" i="13"/>
  <c r="AL92" i="13"/>
  <c r="AI92" i="13"/>
  <c r="AI147" i="13" s="1"/>
  <c r="AX147" i="13" s="1"/>
  <c r="AC92" i="13"/>
  <c r="AC147" i="13" s="1"/>
  <c r="AC144" i="13" s="1"/>
  <c r="W92" i="13"/>
  <c r="W147" i="13" s="1"/>
  <c r="Q92" i="13"/>
  <c r="Q147" i="13" s="1"/>
  <c r="AV147" i="13" s="1"/>
  <c r="N92" i="13"/>
  <c r="N147" i="13" s="1"/>
  <c r="N144" i="13" s="1"/>
  <c r="P144" i="13" s="1"/>
  <c r="H92" i="13"/>
  <c r="H147" i="13" s="1"/>
  <c r="F92" i="13"/>
  <c r="AX91" i="13"/>
  <c r="AW91" i="13"/>
  <c r="AV91" i="13"/>
  <c r="AU91" i="13"/>
  <c r="F91" i="13"/>
  <c r="E91" i="13"/>
  <c r="AX90" i="13"/>
  <c r="AW90" i="13"/>
  <c r="AV90" i="13"/>
  <c r="AU90" i="13"/>
  <c r="F90" i="13"/>
  <c r="E90" i="13"/>
  <c r="AO89" i="13"/>
  <c r="AM89" i="13"/>
  <c r="AL89" i="13"/>
  <c r="AJ89" i="13"/>
  <c r="AF89" i="13"/>
  <c r="AD89" i="13"/>
  <c r="AA89" i="13"/>
  <c r="Z89" i="13"/>
  <c r="X89" i="13"/>
  <c r="W89" i="13"/>
  <c r="Y89" i="13" s="1"/>
  <c r="U89" i="13"/>
  <c r="T89" i="13"/>
  <c r="R89" i="13"/>
  <c r="O89" i="13"/>
  <c r="N89" i="13"/>
  <c r="P89" i="13" s="1"/>
  <c r="L89" i="13"/>
  <c r="K89" i="13"/>
  <c r="I89" i="13"/>
  <c r="AX88" i="13"/>
  <c r="AW88" i="13"/>
  <c r="AV88" i="13"/>
  <c r="AU88" i="13"/>
  <c r="F88" i="13"/>
  <c r="E88" i="13"/>
  <c r="AW87" i="13"/>
  <c r="AV87" i="13"/>
  <c r="AU87" i="13"/>
  <c r="AQ87" i="13"/>
  <c r="AL87" i="13"/>
  <c r="AL147" i="13" s="1"/>
  <c r="M87" i="13"/>
  <c r="F87" i="13"/>
  <c r="G87" i="13" s="1"/>
  <c r="E87" i="13"/>
  <c r="AX86" i="13"/>
  <c r="AW86" i="13"/>
  <c r="AV86" i="13"/>
  <c r="AU86" i="13"/>
  <c r="F86" i="13"/>
  <c r="E86" i="13"/>
  <c r="AX85" i="13"/>
  <c r="AW85" i="13"/>
  <c r="AV85" i="13"/>
  <c r="AU85" i="13"/>
  <c r="F85" i="13"/>
  <c r="E85" i="13"/>
  <c r="AX84" i="13"/>
  <c r="AV84" i="13"/>
  <c r="AP84" i="13"/>
  <c r="AQ84" i="13" s="1"/>
  <c r="AO84" i="13"/>
  <c r="AM84" i="13"/>
  <c r="AL84" i="13"/>
  <c r="AJ84" i="13"/>
  <c r="AI84" i="13"/>
  <c r="AF84" i="13"/>
  <c r="AD84" i="13"/>
  <c r="AC84" i="13"/>
  <c r="AA84" i="13"/>
  <c r="Z84" i="13"/>
  <c r="AW84" i="13" s="1"/>
  <c r="W84" i="13"/>
  <c r="U84" i="13"/>
  <c r="T84" i="13"/>
  <c r="R84" i="13"/>
  <c r="Q84" i="13"/>
  <c r="O84" i="13"/>
  <c r="F84" i="13" s="1"/>
  <c r="G84" i="13" s="1"/>
  <c r="N84" i="13"/>
  <c r="L84" i="13"/>
  <c r="K84" i="13"/>
  <c r="M84" i="13" s="1"/>
  <c r="H84" i="13"/>
  <c r="AU84" i="13" s="1"/>
  <c r="E84" i="13"/>
  <c r="AX83" i="13"/>
  <c r="AW83" i="13"/>
  <c r="AV83" i="13"/>
  <c r="AU83" i="13"/>
  <c r="AP82" i="13"/>
  <c r="AP265" i="13" s="1"/>
  <c r="AM82" i="13"/>
  <c r="AM265" i="13" s="1"/>
  <c r="AJ82" i="13"/>
  <c r="AG82" i="13"/>
  <c r="AG265" i="13" s="1"/>
  <c r="AD82" i="13"/>
  <c r="AD265" i="13" s="1"/>
  <c r="AA82" i="13"/>
  <c r="AA265" i="13" s="1"/>
  <c r="X82" i="13"/>
  <c r="X265" i="13" s="1"/>
  <c r="U82" i="13"/>
  <c r="U265" i="13" s="1"/>
  <c r="R82" i="13"/>
  <c r="R265" i="13" s="1"/>
  <c r="O82" i="13"/>
  <c r="O265" i="13" s="1"/>
  <c r="E82" i="13"/>
  <c r="AP81" i="13"/>
  <c r="AM81" i="13"/>
  <c r="AM264" i="13" s="1"/>
  <c r="AJ81" i="13"/>
  <c r="AJ264" i="13" s="1"/>
  <c r="AG81" i="13"/>
  <c r="AG264" i="13" s="1"/>
  <c r="AD81" i="13"/>
  <c r="AA81" i="13"/>
  <c r="AG80" i="13"/>
  <c r="AD80" i="13"/>
  <c r="AA80" i="13"/>
  <c r="AP79" i="13"/>
  <c r="AM79" i="13"/>
  <c r="AJ79" i="13"/>
  <c r="AG79" i="13"/>
  <c r="AD79" i="13"/>
  <c r="AA79" i="13"/>
  <c r="AP78" i="13"/>
  <c r="AM78" i="13"/>
  <c r="AJ78" i="13"/>
  <c r="AG78" i="13"/>
  <c r="AD78" i="13"/>
  <c r="AD77" i="13" s="1"/>
  <c r="AA78" i="13"/>
  <c r="AG77" i="13"/>
  <c r="AA77" i="13"/>
  <c r="AX76" i="13"/>
  <c r="AW76" i="13"/>
  <c r="AV76" i="13"/>
  <c r="AU76" i="13"/>
  <c r="F76" i="13"/>
  <c r="E76" i="13"/>
  <c r="AW75" i="13"/>
  <c r="AV75" i="13"/>
  <c r="AO75" i="13"/>
  <c r="AQ75" i="13" s="1"/>
  <c r="AL75" i="13"/>
  <c r="AL80" i="13" s="1"/>
  <c r="AK75" i="13"/>
  <c r="AI75" i="13"/>
  <c r="AB75" i="13"/>
  <c r="W75" i="13"/>
  <c r="S75" i="13"/>
  <c r="Q75" i="13"/>
  <c r="N75" i="13"/>
  <c r="AU75" i="13" s="1"/>
  <c r="F75" i="13"/>
  <c r="AX74" i="13"/>
  <c r="AW74" i="13"/>
  <c r="AV74" i="13"/>
  <c r="AU74" i="13"/>
  <c r="F74" i="13"/>
  <c r="E74" i="13"/>
  <c r="AX73" i="13"/>
  <c r="AW73" i="13"/>
  <c r="AV73" i="13"/>
  <c r="AU73" i="13"/>
  <c r="F73" i="13"/>
  <c r="E73" i="13"/>
  <c r="AP72" i="13"/>
  <c r="AL72" i="13"/>
  <c r="AJ72" i="13"/>
  <c r="AK72" i="13" s="1"/>
  <c r="AI72" i="13"/>
  <c r="AG72" i="13"/>
  <c r="AF72" i="13"/>
  <c r="AD72" i="13"/>
  <c r="AC72" i="13"/>
  <c r="AA72" i="13"/>
  <c r="Z72" i="13"/>
  <c r="AW72" i="13" s="1"/>
  <c r="W72" i="13"/>
  <c r="U72" i="13"/>
  <c r="T72" i="13"/>
  <c r="R72" i="13"/>
  <c r="Q72" i="13"/>
  <c r="AV72" i="13" s="1"/>
  <c r="L72" i="13"/>
  <c r="K72" i="13"/>
  <c r="H72" i="13"/>
  <c r="F72" i="13"/>
  <c r="F71" i="13"/>
  <c r="E71" i="13"/>
  <c r="AX70" i="13"/>
  <c r="AW70" i="13"/>
  <c r="AV70" i="13"/>
  <c r="AU70" i="13"/>
  <c r="F70" i="13"/>
  <c r="E70" i="13"/>
  <c r="AV69" i="13"/>
  <c r="AI69" i="13"/>
  <c r="AK69" i="13" s="1"/>
  <c r="AF69" i="13"/>
  <c r="AE69" i="13"/>
  <c r="Z69" i="13"/>
  <c r="AW69" i="13" s="1"/>
  <c r="W69" i="13"/>
  <c r="W80" i="13" s="1"/>
  <c r="V69" i="13"/>
  <c r="T69" i="13"/>
  <c r="T80" i="13" s="1"/>
  <c r="S69" i="13"/>
  <c r="Q69" i="13"/>
  <c r="Q80" i="13" s="1"/>
  <c r="AV80" i="13" s="1"/>
  <c r="P69" i="13"/>
  <c r="N69" i="13"/>
  <c r="AU69" i="13" s="1"/>
  <c r="F69" i="13"/>
  <c r="E69" i="13"/>
  <c r="G69" i="13" s="1"/>
  <c r="AX68" i="13"/>
  <c r="AW68" i="13"/>
  <c r="AU68" i="13"/>
  <c r="AK68" i="13"/>
  <c r="AH68" i="13"/>
  <c r="AE68" i="13"/>
  <c r="AB68" i="13"/>
  <c r="W68" i="13"/>
  <c r="W79" i="13" s="1"/>
  <c r="Q68" i="13"/>
  <c r="AV68" i="13" s="1"/>
  <c r="F68" i="13"/>
  <c r="AX67" i="13"/>
  <c r="AW67" i="13"/>
  <c r="AV67" i="13"/>
  <c r="AU67" i="13"/>
  <c r="F67" i="13"/>
  <c r="E67" i="13"/>
  <c r="AP66" i="13"/>
  <c r="AO66" i="13"/>
  <c r="AM66" i="13"/>
  <c r="AL66" i="13"/>
  <c r="AJ66" i="13"/>
  <c r="AG66" i="13"/>
  <c r="AF66" i="13"/>
  <c r="AH66" i="13" s="1"/>
  <c r="AD66" i="13"/>
  <c r="AE66" i="13" s="1"/>
  <c r="AC66" i="13"/>
  <c r="AA66" i="13"/>
  <c r="Z66" i="13"/>
  <c r="AW66" i="13" s="1"/>
  <c r="X66" i="13"/>
  <c r="W66" i="13"/>
  <c r="U66" i="13"/>
  <c r="V66" i="13" s="1"/>
  <c r="T66" i="13"/>
  <c r="R66" i="13"/>
  <c r="Q66" i="13"/>
  <c r="AV66" i="13" s="1"/>
  <c r="O66" i="13"/>
  <c r="P66" i="13" s="1"/>
  <c r="N66" i="13"/>
  <c r="L66" i="13"/>
  <c r="K66" i="13"/>
  <c r="H66" i="13"/>
  <c r="AU66" i="13" s="1"/>
  <c r="F66" i="13"/>
  <c r="AX65" i="13"/>
  <c r="AW65" i="13"/>
  <c r="AV65" i="13"/>
  <c r="AU65" i="13"/>
  <c r="F65" i="13"/>
  <c r="E65" i="13"/>
  <c r="AX64" i="13"/>
  <c r="AW64" i="13"/>
  <c r="AV64" i="13"/>
  <c r="AU64" i="13"/>
  <c r="AT64" i="13"/>
  <c r="AI64" i="13"/>
  <c r="F64" i="13"/>
  <c r="E64" i="13"/>
  <c r="G64" i="13" s="1"/>
  <c r="AX63" i="13"/>
  <c r="AW63" i="13"/>
  <c r="AV63" i="13"/>
  <c r="AU63" i="13"/>
  <c r="F63" i="13"/>
  <c r="E63" i="13"/>
  <c r="AX62" i="13"/>
  <c r="AW62" i="13"/>
  <c r="AV62" i="13"/>
  <c r="AU62" i="13"/>
  <c r="F62" i="13"/>
  <c r="E62" i="13"/>
  <c r="AP61" i="13"/>
  <c r="AO61" i="13"/>
  <c r="AM61" i="13"/>
  <c r="AL61" i="13"/>
  <c r="AJ61" i="13"/>
  <c r="AT61" i="13" s="1"/>
  <c r="AI61" i="13"/>
  <c r="AX61" i="13" s="1"/>
  <c r="AF61" i="13"/>
  <c r="AC61" i="13"/>
  <c r="Z61" i="13"/>
  <c r="AW61" i="13" s="1"/>
  <c r="W61" i="13"/>
  <c r="T61" i="13"/>
  <c r="Q61" i="13"/>
  <c r="AV61" i="13" s="1"/>
  <c r="N61" i="13"/>
  <c r="K61" i="13"/>
  <c r="H61" i="13"/>
  <c r="E61" i="13" s="1"/>
  <c r="F61" i="13"/>
  <c r="AX60" i="13"/>
  <c r="AW60" i="13"/>
  <c r="AV60" i="13"/>
  <c r="AU60" i="13"/>
  <c r="F60" i="13"/>
  <c r="E60" i="13"/>
  <c r="AX59" i="13"/>
  <c r="AW59" i="13"/>
  <c r="AV59" i="13"/>
  <c r="AU59" i="13"/>
  <c r="F59" i="13"/>
  <c r="E59" i="13"/>
  <c r="AX58" i="13"/>
  <c r="AW58" i="13"/>
  <c r="AV58" i="13"/>
  <c r="AU58" i="13"/>
  <c r="F58" i="13"/>
  <c r="E58" i="13"/>
  <c r="AX57" i="13"/>
  <c r="AW57" i="13"/>
  <c r="AV57" i="13"/>
  <c r="AU57" i="13"/>
  <c r="F57" i="13"/>
  <c r="E57" i="13"/>
  <c r="AO56" i="13"/>
  <c r="AL56" i="13"/>
  <c r="AI56" i="13"/>
  <c r="AX56" i="13" s="1"/>
  <c r="AF56" i="13"/>
  <c r="AC56" i="13"/>
  <c r="Z56" i="13"/>
  <c r="AW56" i="13" s="1"/>
  <c r="W56" i="13"/>
  <c r="T56" i="13"/>
  <c r="Q56" i="13"/>
  <c r="AV56" i="13" s="1"/>
  <c r="N56" i="13"/>
  <c r="K56" i="13"/>
  <c r="E56" i="13" s="1"/>
  <c r="H56" i="13"/>
  <c r="AU56" i="13" s="1"/>
  <c r="F56" i="13"/>
  <c r="AX55" i="13"/>
  <c r="AW55" i="13"/>
  <c r="AV55" i="13"/>
  <c r="AU55" i="13"/>
  <c r="F55" i="13"/>
  <c r="E55" i="13"/>
  <c r="AX54" i="13"/>
  <c r="AW54" i="13"/>
  <c r="AV54" i="13"/>
  <c r="AU54" i="13"/>
  <c r="F54" i="13"/>
  <c r="E54" i="13"/>
  <c r="AX53" i="13"/>
  <c r="AW53" i="13"/>
  <c r="AV53" i="13"/>
  <c r="AU53" i="13"/>
  <c r="F53" i="13"/>
  <c r="E53" i="13"/>
  <c r="AX52" i="13"/>
  <c r="AW52" i="13"/>
  <c r="AV52" i="13"/>
  <c r="AU52" i="13"/>
  <c r="F52" i="13"/>
  <c r="E52" i="13"/>
  <c r="AO51" i="13"/>
  <c r="AL51" i="13"/>
  <c r="AI51" i="13"/>
  <c r="AX51" i="13" s="1"/>
  <c r="AF51" i="13"/>
  <c r="AC51" i="13"/>
  <c r="Z51" i="13"/>
  <c r="AW51" i="13" s="1"/>
  <c r="W51" i="13"/>
  <c r="T51" i="13"/>
  <c r="Q51" i="13"/>
  <c r="AV51" i="13" s="1"/>
  <c r="N51" i="13"/>
  <c r="K51" i="13"/>
  <c r="E51" i="13" s="1"/>
  <c r="H51" i="13"/>
  <c r="AU51" i="13" s="1"/>
  <c r="F51" i="13"/>
  <c r="AV50" i="13"/>
  <c r="AO50" i="13"/>
  <c r="AO270" i="13" s="1"/>
  <c r="AL50" i="13"/>
  <c r="AL270" i="13" s="1"/>
  <c r="AI50" i="13"/>
  <c r="AI270" i="13" s="1"/>
  <c r="AX270" i="13" s="1"/>
  <c r="AF50" i="13"/>
  <c r="AF270" i="13" s="1"/>
  <c r="AC50" i="13"/>
  <c r="AC270" i="13" s="1"/>
  <c r="Z50" i="13"/>
  <c r="Z270" i="13" s="1"/>
  <c r="X50" i="13"/>
  <c r="X270" i="13" s="1"/>
  <c r="W50" i="13"/>
  <c r="W270" i="13" s="1"/>
  <c r="U50" i="13"/>
  <c r="U270" i="13" s="1"/>
  <c r="T50" i="13"/>
  <c r="T270" i="13" s="1"/>
  <c r="R50" i="13"/>
  <c r="R270" i="13" s="1"/>
  <c r="Q50" i="13"/>
  <c r="Q270" i="13" s="1"/>
  <c r="AV270" i="13" s="1"/>
  <c r="O50" i="13"/>
  <c r="O270" i="13" s="1"/>
  <c r="N50" i="13"/>
  <c r="N270" i="13" s="1"/>
  <c r="L50" i="13"/>
  <c r="L270" i="13" s="1"/>
  <c r="K50" i="13"/>
  <c r="K270" i="13" s="1"/>
  <c r="I50" i="13"/>
  <c r="I270" i="13" s="1"/>
  <c r="H50" i="13"/>
  <c r="H270" i="13" s="1"/>
  <c r="F50" i="13"/>
  <c r="AV49" i="13"/>
  <c r="AP49" i="13"/>
  <c r="AP269" i="13" s="1"/>
  <c r="AO49" i="13"/>
  <c r="AO269" i="13" s="1"/>
  <c r="AM49" i="13"/>
  <c r="AL49" i="13"/>
  <c r="AL269" i="13" s="1"/>
  <c r="AJ49" i="13"/>
  <c r="AJ269" i="13" s="1"/>
  <c r="AI49" i="13"/>
  <c r="AX49" i="13" s="1"/>
  <c r="AF49" i="13"/>
  <c r="AC49" i="13"/>
  <c r="AC269" i="13" s="1"/>
  <c r="AE269" i="13" s="1"/>
  <c r="Z49" i="13"/>
  <c r="Z269" i="13" s="1"/>
  <c r="X49" i="13"/>
  <c r="X269" i="13" s="1"/>
  <c r="W49" i="13"/>
  <c r="W269" i="13" s="1"/>
  <c r="U49" i="13"/>
  <c r="U269" i="13" s="1"/>
  <c r="T49" i="13"/>
  <c r="T269" i="13" s="1"/>
  <c r="R49" i="13"/>
  <c r="R269" i="13" s="1"/>
  <c r="Q49" i="13"/>
  <c r="Q269" i="13" s="1"/>
  <c r="AV269" i="13" s="1"/>
  <c r="O49" i="13"/>
  <c r="O269" i="13" s="1"/>
  <c r="N49" i="13"/>
  <c r="L49" i="13"/>
  <c r="L269" i="13" s="1"/>
  <c r="K49" i="13"/>
  <c r="K269" i="13" s="1"/>
  <c r="I49" i="13"/>
  <c r="I269" i="13" s="1"/>
  <c r="H49" i="13"/>
  <c r="H269" i="13" s="1"/>
  <c r="E49" i="13"/>
  <c r="AO48" i="13"/>
  <c r="AO268" i="13" s="1"/>
  <c r="AL48" i="13"/>
  <c r="AL268" i="13" s="1"/>
  <c r="AI48" i="13"/>
  <c r="AI268" i="13" s="1"/>
  <c r="AF48" i="13"/>
  <c r="AF268" i="13" s="1"/>
  <c r="AC48" i="13"/>
  <c r="AC268" i="13" s="1"/>
  <c r="Z48" i="13"/>
  <c r="Z268" i="13" s="1"/>
  <c r="AW268" i="13" s="1"/>
  <c r="X48" i="13"/>
  <c r="X268" i="13" s="1"/>
  <c r="W48" i="13"/>
  <c r="W268" i="13" s="1"/>
  <c r="U48" i="13"/>
  <c r="U268" i="13" s="1"/>
  <c r="T48" i="13"/>
  <c r="T268" i="13" s="1"/>
  <c r="R48" i="13"/>
  <c r="R268" i="13" s="1"/>
  <c r="Q48" i="13"/>
  <c r="Q268" i="13" s="1"/>
  <c r="AV268" i="13" s="1"/>
  <c r="O48" i="13"/>
  <c r="O268" i="13" s="1"/>
  <c r="N48" i="13"/>
  <c r="N268" i="13" s="1"/>
  <c r="L48" i="13"/>
  <c r="L268" i="13" s="1"/>
  <c r="K48" i="13"/>
  <c r="K268" i="13" s="1"/>
  <c r="I48" i="13"/>
  <c r="I268" i="13" s="1"/>
  <c r="F268" i="13" s="1"/>
  <c r="H48" i="13"/>
  <c r="H268" i="13" s="1"/>
  <c r="F48" i="13"/>
  <c r="E48" i="13"/>
  <c r="AO47" i="13"/>
  <c r="AO267" i="13" s="1"/>
  <c r="AL47" i="13"/>
  <c r="AL267" i="13" s="1"/>
  <c r="AL266" i="13" s="1"/>
  <c r="AI47" i="13"/>
  <c r="AI267" i="13" s="1"/>
  <c r="AF47" i="13"/>
  <c r="AF267" i="13" s="1"/>
  <c r="AC47" i="13"/>
  <c r="AC267" i="13" s="1"/>
  <c r="Z47" i="13"/>
  <c r="Z267" i="13" s="1"/>
  <c r="X47" i="13"/>
  <c r="X267" i="13" s="1"/>
  <c r="W47" i="13"/>
  <c r="W267" i="13" s="1"/>
  <c r="W266" i="13" s="1"/>
  <c r="U47" i="13"/>
  <c r="U267" i="13" s="1"/>
  <c r="T47" i="13"/>
  <c r="T267" i="13" s="1"/>
  <c r="T266" i="13" s="1"/>
  <c r="R47" i="13"/>
  <c r="R267" i="13" s="1"/>
  <c r="Q47" i="13"/>
  <c r="Q267" i="13" s="1"/>
  <c r="O47" i="13"/>
  <c r="O267" i="13" s="1"/>
  <c r="N47" i="13"/>
  <c r="N267" i="13" s="1"/>
  <c r="L47" i="13"/>
  <c r="L267" i="13" s="1"/>
  <c r="K47" i="13"/>
  <c r="K267" i="13" s="1"/>
  <c r="K266" i="13" s="1"/>
  <c r="I47" i="13"/>
  <c r="I267" i="13" s="1"/>
  <c r="H47" i="13"/>
  <c r="H267" i="13" s="1"/>
  <c r="F47" i="13"/>
  <c r="E47" i="13"/>
  <c r="AP46" i="13"/>
  <c r="AO46" i="13"/>
  <c r="AM46" i="13"/>
  <c r="AJ46" i="13"/>
  <c r="AI46" i="13"/>
  <c r="AG46" i="13"/>
  <c r="AC46" i="13"/>
  <c r="X46" i="13"/>
  <c r="U46" i="13"/>
  <c r="R46" i="13"/>
  <c r="O46" i="13"/>
  <c r="L46" i="13"/>
  <c r="I46" i="13"/>
  <c r="F45" i="13"/>
  <c r="AX44" i="13"/>
  <c r="AW44" i="13"/>
  <c r="AV44" i="13"/>
  <c r="AU44" i="13"/>
  <c r="F44" i="13"/>
  <c r="E44" i="13"/>
  <c r="AX43" i="13"/>
  <c r="AV43" i="13"/>
  <c r="AQ43" i="13"/>
  <c r="AM43" i="13"/>
  <c r="AI43" i="13"/>
  <c r="AH43" i="13"/>
  <c r="AF43" i="13"/>
  <c r="AF80" i="13" s="1"/>
  <c r="AH80" i="13" s="1"/>
  <c r="AE43" i="13"/>
  <c r="N43" i="13"/>
  <c r="F43" i="13"/>
  <c r="AX42" i="13"/>
  <c r="AW42" i="13"/>
  <c r="AV42" i="13"/>
  <c r="AU42" i="13"/>
  <c r="F42" i="13"/>
  <c r="E42" i="13"/>
  <c r="AX41" i="13"/>
  <c r="AW41" i="13"/>
  <c r="AV41" i="13"/>
  <c r="AU41" i="13"/>
  <c r="F41" i="13"/>
  <c r="E41" i="13"/>
  <c r="AX40" i="13"/>
  <c r="AP40" i="13"/>
  <c r="AQ40" i="13" s="1"/>
  <c r="AO40" i="13"/>
  <c r="AM40" i="13"/>
  <c r="AL40" i="13"/>
  <c r="AJ40" i="13"/>
  <c r="AI40" i="13"/>
  <c r="AG40" i="13"/>
  <c r="AF40" i="13"/>
  <c r="AH40" i="13" s="1"/>
  <c r="AD40" i="13"/>
  <c r="AE40" i="13" s="1"/>
  <c r="AC40" i="13"/>
  <c r="Z40" i="13"/>
  <c r="AW40" i="13" s="1"/>
  <c r="X40" i="13"/>
  <c r="W40" i="13"/>
  <c r="AV40" i="13" s="1"/>
  <c r="T40" i="13"/>
  <c r="R40" i="13"/>
  <c r="AT40" i="13" s="1"/>
  <c r="Q40" i="13"/>
  <c r="O40" i="13"/>
  <c r="N40" i="13"/>
  <c r="P40" i="13" s="1"/>
  <c r="K40" i="13"/>
  <c r="H40" i="13"/>
  <c r="AU40" i="13" s="1"/>
  <c r="F40" i="13"/>
  <c r="AX39" i="13"/>
  <c r="AW39" i="13"/>
  <c r="AV39" i="13"/>
  <c r="AU39" i="13"/>
  <c r="F39" i="13"/>
  <c r="E39" i="13"/>
  <c r="AX38" i="13"/>
  <c r="AW38" i="13"/>
  <c r="AV38" i="13"/>
  <c r="AU38" i="13"/>
  <c r="F38" i="13"/>
  <c r="E38" i="13"/>
  <c r="AX37" i="13"/>
  <c r="AW37" i="13"/>
  <c r="AV37" i="13"/>
  <c r="AU37" i="13"/>
  <c r="F37" i="13"/>
  <c r="E37" i="13"/>
  <c r="AX36" i="13"/>
  <c r="AW36" i="13"/>
  <c r="AV36" i="13"/>
  <c r="AU36" i="13"/>
  <c r="F36" i="13"/>
  <c r="E36" i="13"/>
  <c r="AO35" i="13"/>
  <c r="AL35" i="13"/>
  <c r="AI35" i="13"/>
  <c r="AX35" i="13" s="1"/>
  <c r="AF35" i="13"/>
  <c r="AD35" i="13"/>
  <c r="F35" i="13" s="1"/>
  <c r="AC35" i="13"/>
  <c r="Z35" i="13"/>
  <c r="AW35" i="13" s="1"/>
  <c r="W35" i="13"/>
  <c r="T35" i="13"/>
  <c r="AV35" i="13" s="1"/>
  <c r="Q35" i="13"/>
  <c r="N35" i="13"/>
  <c r="K35" i="13"/>
  <c r="H35" i="13"/>
  <c r="AU35" i="13" s="1"/>
  <c r="E35" i="13"/>
  <c r="AX34" i="13"/>
  <c r="AW34" i="13"/>
  <c r="AV34" i="13"/>
  <c r="AU34" i="13"/>
  <c r="AO33" i="13"/>
  <c r="AL33" i="13"/>
  <c r="AI33" i="13"/>
  <c r="AF33" i="13"/>
  <c r="AD33" i="13"/>
  <c r="AD264" i="13" s="1"/>
  <c r="AC33" i="13"/>
  <c r="AA33" i="13"/>
  <c r="AA264" i="13" s="1"/>
  <c r="Z33" i="13"/>
  <c r="X33" i="13"/>
  <c r="W33" i="13"/>
  <c r="U33" i="13"/>
  <c r="T33" i="13"/>
  <c r="R33" i="13"/>
  <c r="Q33" i="13"/>
  <c r="O33" i="13"/>
  <c r="N33" i="13"/>
  <c r="L33" i="13"/>
  <c r="K33" i="13"/>
  <c r="I33" i="13"/>
  <c r="H33" i="13"/>
  <c r="F33" i="13"/>
  <c r="E33" i="13"/>
  <c r="AP32" i="13"/>
  <c r="AM32" i="13"/>
  <c r="AJ32" i="13"/>
  <c r="AI32" i="13"/>
  <c r="AD32" i="13"/>
  <c r="AD263" i="13" s="1"/>
  <c r="AC32" i="13"/>
  <c r="AA32" i="13"/>
  <c r="AA263" i="13" s="1"/>
  <c r="Z32" i="13"/>
  <c r="X32" i="13"/>
  <c r="U32" i="13"/>
  <c r="T32" i="13"/>
  <c r="R32" i="13"/>
  <c r="Q32" i="13"/>
  <c r="O32" i="13"/>
  <c r="N32" i="13"/>
  <c r="L32" i="13"/>
  <c r="K32" i="13"/>
  <c r="I32" i="13"/>
  <c r="H32" i="13"/>
  <c r="AP31" i="13"/>
  <c r="AP262" i="13" s="1"/>
  <c r="AM31" i="13"/>
  <c r="AM262" i="13" s="1"/>
  <c r="AJ31" i="13"/>
  <c r="AJ262" i="13" s="1"/>
  <c r="AG31" i="13"/>
  <c r="AG262" i="13" s="1"/>
  <c r="AD31" i="13"/>
  <c r="AD262" i="13" s="1"/>
  <c r="AA31" i="13"/>
  <c r="AA262" i="13" s="1"/>
  <c r="Z31" i="13"/>
  <c r="U31" i="13"/>
  <c r="R31" i="13"/>
  <c r="O31" i="13"/>
  <c r="N31" i="13"/>
  <c r="L31" i="13"/>
  <c r="K31" i="13"/>
  <c r="I31" i="13"/>
  <c r="H31" i="13"/>
  <c r="AP30" i="13"/>
  <c r="AP261" i="13" s="1"/>
  <c r="AO30" i="13"/>
  <c r="AM30" i="13"/>
  <c r="AM261" i="13" s="1"/>
  <c r="AL30" i="13"/>
  <c r="AJ30" i="13"/>
  <c r="AJ261" i="13" s="1"/>
  <c r="AI30" i="13"/>
  <c r="AG30" i="13"/>
  <c r="AG261" i="13" s="1"/>
  <c r="AF30" i="13"/>
  <c r="AD30" i="13"/>
  <c r="AD261" i="13" s="1"/>
  <c r="AC30" i="13"/>
  <c r="AA30" i="13"/>
  <c r="AA261" i="13" s="1"/>
  <c r="Z30" i="13"/>
  <c r="X30" i="13"/>
  <c r="W30" i="13"/>
  <c r="U30" i="13"/>
  <c r="T30" i="13"/>
  <c r="R30" i="13"/>
  <c r="Q30" i="13"/>
  <c r="O30" i="13"/>
  <c r="N30" i="13"/>
  <c r="L30" i="13"/>
  <c r="K30" i="13"/>
  <c r="I30" i="13"/>
  <c r="H30" i="13"/>
  <c r="F30" i="13"/>
  <c r="E30" i="13"/>
  <c r="AP29" i="13"/>
  <c r="AM29" i="13"/>
  <c r="AJ29" i="13"/>
  <c r="AD29" i="13"/>
  <c r="AA29" i="13"/>
  <c r="AB29" i="13" s="1"/>
  <c r="Z29" i="13"/>
  <c r="U29" i="13"/>
  <c r="R29" i="13"/>
  <c r="O29" i="13"/>
  <c r="L29" i="13"/>
  <c r="K29" i="13"/>
  <c r="M29" i="13" s="1"/>
  <c r="I29" i="13"/>
  <c r="AX28" i="13"/>
  <c r="AW28" i="13"/>
  <c r="AV28" i="13"/>
  <c r="AU28" i="13"/>
  <c r="F28" i="13"/>
  <c r="E28" i="13"/>
  <c r="AX27" i="13"/>
  <c r="AW27" i="13"/>
  <c r="AV27" i="13"/>
  <c r="AU27" i="13"/>
  <c r="F27" i="13"/>
  <c r="E27" i="13"/>
  <c r="AU26" i="13"/>
  <c r="AQ26" i="13"/>
  <c r="AO26" i="13"/>
  <c r="AN26" i="13"/>
  <c r="AL26" i="13"/>
  <c r="AL31" i="13" s="1"/>
  <c r="AK26" i="13"/>
  <c r="AI26" i="13"/>
  <c r="AX26" i="13" s="1"/>
  <c r="AF26" i="13"/>
  <c r="AC26" i="13"/>
  <c r="AE26" i="13" s="1"/>
  <c r="AB26" i="13"/>
  <c r="W26" i="13"/>
  <c r="T26" i="13"/>
  <c r="T31" i="13" s="1"/>
  <c r="S26" i="13"/>
  <c r="Q26" i="13"/>
  <c r="AV26" i="13" s="1"/>
  <c r="P26" i="13"/>
  <c r="M26" i="13"/>
  <c r="F26" i="13"/>
  <c r="E26" i="13"/>
  <c r="G26" i="13" s="1"/>
  <c r="AX25" i="13"/>
  <c r="AW25" i="13"/>
  <c r="AV25" i="13"/>
  <c r="AU25" i="13"/>
  <c r="F25" i="13"/>
  <c r="E25" i="13"/>
  <c r="AP24" i="13"/>
  <c r="AO24" i="13"/>
  <c r="AQ24" i="13" s="1"/>
  <c r="AM24" i="13"/>
  <c r="AN24" i="13" s="1"/>
  <c r="AL24" i="13"/>
  <c r="AJ24" i="13"/>
  <c r="AI24" i="13"/>
  <c r="AX24" i="13" s="1"/>
  <c r="AG24" i="13"/>
  <c r="AF24" i="13"/>
  <c r="AD24" i="13"/>
  <c r="AE24" i="13" s="1"/>
  <c r="AC24" i="13"/>
  <c r="AA24" i="13"/>
  <c r="Z24" i="13"/>
  <c r="AW24" i="13" s="1"/>
  <c r="X24" i="13"/>
  <c r="W24" i="13"/>
  <c r="U24" i="13"/>
  <c r="T24" i="13"/>
  <c r="R24" i="13"/>
  <c r="S24" i="13" s="1"/>
  <c r="Q24" i="13"/>
  <c r="AV24" i="13" s="1"/>
  <c r="O24" i="13"/>
  <c r="N24" i="13"/>
  <c r="P24" i="13" s="1"/>
  <c r="L24" i="13"/>
  <c r="AT24" i="13" s="1"/>
  <c r="K24" i="13"/>
  <c r="H24" i="13"/>
  <c r="E24" i="13" s="1"/>
  <c r="F24" i="13"/>
  <c r="G24" i="13" s="1"/>
  <c r="AX23" i="13"/>
  <c r="AW23" i="13"/>
  <c r="AV23" i="13"/>
  <c r="AU23" i="13"/>
  <c r="F23" i="13"/>
  <c r="E23" i="13"/>
  <c r="AU22" i="13"/>
  <c r="AO22" i="13"/>
  <c r="AQ22" i="13" s="1"/>
  <c r="AL22" i="13"/>
  <c r="AL32" i="13" s="1"/>
  <c r="AK22" i="13"/>
  <c r="AG22" i="13"/>
  <c r="AG32" i="13" s="1"/>
  <c r="AF22" i="13"/>
  <c r="AF32" i="13" s="1"/>
  <c r="AE22" i="13"/>
  <c r="AB22" i="13"/>
  <c r="W22" i="13"/>
  <c r="Y22" i="13" s="1"/>
  <c r="V22" i="13"/>
  <c r="S22" i="13"/>
  <c r="P22" i="13"/>
  <c r="M22" i="13"/>
  <c r="J22" i="13"/>
  <c r="F22" i="13"/>
  <c r="E22" i="13"/>
  <c r="G22" i="13" s="1"/>
  <c r="AU21" i="13"/>
  <c r="AQ21" i="13"/>
  <c r="AO21" i="13"/>
  <c r="AO31" i="13" s="1"/>
  <c r="AN21" i="13"/>
  <c r="AI21" i="13"/>
  <c r="AX21" i="13" s="1"/>
  <c r="AF21" i="13"/>
  <c r="AF31" i="13" s="1"/>
  <c r="AE21" i="13"/>
  <c r="AB21" i="13"/>
  <c r="X21" i="13"/>
  <c r="X31" i="13" s="1"/>
  <c r="W21" i="13"/>
  <c r="AV21" i="13" s="1"/>
  <c r="V21" i="13"/>
  <c r="S21" i="13"/>
  <c r="P21" i="13"/>
  <c r="M21" i="13"/>
  <c r="J21" i="13"/>
  <c r="F21" i="13"/>
  <c r="AX20" i="13"/>
  <c r="AW20" i="13"/>
  <c r="AV20" i="13"/>
  <c r="AU20" i="13"/>
  <c r="F20" i="13"/>
  <c r="E20" i="13"/>
  <c r="AP19" i="13"/>
  <c r="AQ19" i="13" s="1"/>
  <c r="AO19" i="13"/>
  <c r="AM19" i="13"/>
  <c r="AL19" i="13"/>
  <c r="AN19" i="13" s="1"/>
  <c r="AJ19" i="13"/>
  <c r="AG19" i="13"/>
  <c r="AF19" i="13"/>
  <c r="AH19" i="13" s="1"/>
  <c r="AD19" i="13"/>
  <c r="AE19" i="13" s="1"/>
  <c r="AC19" i="13"/>
  <c r="AA19" i="13"/>
  <c r="Z19" i="13"/>
  <c r="AW19" i="13" s="1"/>
  <c r="X19" i="13"/>
  <c r="Y19" i="13" s="1"/>
  <c r="W19" i="13"/>
  <c r="U19" i="13"/>
  <c r="T19" i="13"/>
  <c r="AV19" i="13" s="1"/>
  <c r="R19" i="13"/>
  <c r="S19" i="13" s="1"/>
  <c r="Q19" i="13"/>
  <c r="O19" i="13"/>
  <c r="N19" i="13"/>
  <c r="P19" i="13" s="1"/>
  <c r="L19" i="13"/>
  <c r="M19" i="13" s="1"/>
  <c r="K19" i="13"/>
  <c r="I19" i="13"/>
  <c r="H19" i="13"/>
  <c r="AU19" i="13" s="1"/>
  <c r="F19" i="13"/>
  <c r="AX18" i="13"/>
  <c r="AW18" i="13"/>
  <c r="AV18" i="13"/>
  <c r="AU18" i="13"/>
  <c r="F18" i="13"/>
  <c r="E18" i="13"/>
  <c r="AX17" i="13"/>
  <c r="AW17" i="13"/>
  <c r="AV17" i="13"/>
  <c r="AU17" i="13"/>
  <c r="F17" i="13"/>
  <c r="E17" i="13"/>
  <c r="AX16" i="13"/>
  <c r="AW16" i="13"/>
  <c r="AV16" i="13"/>
  <c r="AU16" i="13"/>
  <c r="F16" i="13"/>
  <c r="E16" i="13"/>
  <c r="AX15" i="13"/>
  <c r="AW15" i="13"/>
  <c r="AV15" i="13"/>
  <c r="AU15" i="13"/>
  <c r="F15" i="13"/>
  <c r="E15" i="13"/>
  <c r="AO14" i="13"/>
  <c r="AL14" i="13"/>
  <c r="AI14" i="13"/>
  <c r="AX14" i="13" s="1"/>
  <c r="AF14" i="13"/>
  <c r="AD14" i="13"/>
  <c r="F14" i="13" s="1"/>
  <c r="AC14" i="13"/>
  <c r="Z14" i="13"/>
  <c r="AW14" i="13" s="1"/>
  <c r="W14" i="13"/>
  <c r="T14" i="13"/>
  <c r="AV14" i="13" s="1"/>
  <c r="Q14" i="13"/>
  <c r="N14" i="13"/>
  <c r="K14" i="13"/>
  <c r="H14" i="13"/>
  <c r="AU14" i="13" s="1"/>
  <c r="E14" i="13"/>
  <c r="AX13" i="13"/>
  <c r="AW13" i="13"/>
  <c r="AV13" i="13"/>
  <c r="AU13" i="13"/>
  <c r="F13" i="13"/>
  <c r="E13" i="13"/>
  <c r="AX12" i="13"/>
  <c r="AW12" i="13"/>
  <c r="AV12" i="13"/>
  <c r="AU12" i="13"/>
  <c r="F12" i="13"/>
  <c r="E12" i="13"/>
  <c r="AX11" i="13"/>
  <c r="AW11" i="13"/>
  <c r="AV11" i="13"/>
  <c r="AU11" i="13"/>
  <c r="AT11" i="13"/>
  <c r="AB11" i="13"/>
  <c r="F11" i="13"/>
  <c r="G11" i="13" s="1"/>
  <c r="E11" i="13"/>
  <c r="AX10" i="13"/>
  <c r="AW10" i="13"/>
  <c r="AV10" i="13"/>
  <c r="AU10" i="13"/>
  <c r="F10" i="13"/>
  <c r="E10" i="13"/>
  <c r="AO9" i="13"/>
  <c r="AL9" i="13"/>
  <c r="AX9" i="13" s="1"/>
  <c r="AI9" i="13"/>
  <c r="AF9" i="13"/>
  <c r="AD9" i="13"/>
  <c r="AC9" i="13"/>
  <c r="AA9" i="13"/>
  <c r="AB9" i="13" s="1"/>
  <c r="Z9" i="13"/>
  <c r="AW9" i="13" s="1"/>
  <c r="X9" i="13"/>
  <c r="F9" i="13" s="1"/>
  <c r="G9" i="13" s="1"/>
  <c r="W9" i="13"/>
  <c r="T9" i="13"/>
  <c r="R9" i="13"/>
  <c r="Q9" i="13"/>
  <c r="AV9" i="13" s="1"/>
  <c r="N9" i="13"/>
  <c r="K9" i="13"/>
  <c r="H9" i="13"/>
  <c r="AU9" i="13" s="1"/>
  <c r="E9" i="13"/>
  <c r="X29" i="13" l="1"/>
  <c r="AQ31" i="13"/>
  <c r="AG263" i="13"/>
  <c r="AH32" i="13"/>
  <c r="AG29" i="13"/>
  <c r="AL29" i="13"/>
  <c r="G61" i="13"/>
  <c r="AF29" i="13"/>
  <c r="T29" i="13"/>
  <c r="V29" i="13" s="1"/>
  <c r="AN29" i="13"/>
  <c r="J19" i="13"/>
  <c r="V19" i="13"/>
  <c r="AB19" i="13"/>
  <c r="AW21" i="13"/>
  <c r="AH22" i="13"/>
  <c r="AT22" i="13"/>
  <c r="AV22" i="13"/>
  <c r="AX22" i="13"/>
  <c r="AB24" i="13"/>
  <c r="AK24" i="13"/>
  <c r="AU24" i="13"/>
  <c r="AW26" i="13"/>
  <c r="AU30" i="13"/>
  <c r="AW30" i="13"/>
  <c r="M31" i="13"/>
  <c r="Q31" i="13"/>
  <c r="W31" i="13"/>
  <c r="AA281" i="13"/>
  <c r="AA274" i="13"/>
  <c r="AC31" i="13"/>
  <c r="AG281" i="13"/>
  <c r="AG274" i="13"/>
  <c r="AI31" i="13"/>
  <c r="AM281" i="13"/>
  <c r="AM274" i="13"/>
  <c r="AU31" i="13"/>
  <c r="M32" i="13"/>
  <c r="S32" i="13"/>
  <c r="W32" i="13"/>
  <c r="AA282" i="13"/>
  <c r="AA275" i="13"/>
  <c r="AE32" i="13"/>
  <c r="AK32" i="13"/>
  <c r="AO32" i="13"/>
  <c r="AU32" i="13"/>
  <c r="AW32" i="13"/>
  <c r="AU33" i="13"/>
  <c r="AW33" i="13"/>
  <c r="N288" i="13"/>
  <c r="N269" i="13"/>
  <c r="AM288" i="13"/>
  <c r="AM269" i="13"/>
  <c r="AM266" i="13" s="1"/>
  <c r="AT43" i="13"/>
  <c r="AU267" i="13"/>
  <c r="E267" i="13"/>
  <c r="H266" i="13"/>
  <c r="N266" i="13"/>
  <c r="AV267" i="13"/>
  <c r="Q266" i="13"/>
  <c r="AV266" i="13" s="1"/>
  <c r="AW267" i="13"/>
  <c r="Z266" i="13"/>
  <c r="AU47" i="13"/>
  <c r="AW47" i="13"/>
  <c r="AU268" i="13"/>
  <c r="E268" i="13"/>
  <c r="AU48" i="13"/>
  <c r="AW48" i="13"/>
  <c r="F269" i="13"/>
  <c r="AT49" i="13"/>
  <c r="I276" i="13"/>
  <c r="F270" i="13"/>
  <c r="AX50" i="13"/>
  <c r="AU61" i="13"/>
  <c r="S66" i="13"/>
  <c r="AB66" i="13"/>
  <c r="AT69" i="13"/>
  <c r="AX69" i="13"/>
  <c r="S72" i="13"/>
  <c r="AB72" i="13"/>
  <c r="AT75" i="13"/>
  <c r="AX75" i="13"/>
  <c r="I78" i="13"/>
  <c r="L78" i="13"/>
  <c r="O78" i="13"/>
  <c r="R78" i="13"/>
  <c r="U78" i="13"/>
  <c r="X78" i="13"/>
  <c r="H79" i="13"/>
  <c r="K79" i="13"/>
  <c r="N79" i="13"/>
  <c r="Q79" i="13"/>
  <c r="U79" i="13"/>
  <c r="X79" i="13"/>
  <c r="AC79" i="13"/>
  <c r="AI79" i="13"/>
  <c r="I80" i="13"/>
  <c r="L80" i="13"/>
  <c r="O80" i="13"/>
  <c r="O263" i="13" s="1"/>
  <c r="U80" i="13"/>
  <c r="V80" i="13" s="1"/>
  <c r="Z80" i="13"/>
  <c r="AJ80" i="13"/>
  <c r="AO80" i="13"/>
  <c r="H81" i="13"/>
  <c r="K81" i="13"/>
  <c r="K264" i="13" s="1"/>
  <c r="N81" i="13"/>
  <c r="N264" i="13" s="1"/>
  <c r="Q81" i="13"/>
  <c r="T81" i="13"/>
  <c r="T264" i="13" s="1"/>
  <c r="W81" i="13"/>
  <c r="W264" i="13" s="1"/>
  <c r="Z81" i="13"/>
  <c r="AC81" i="13"/>
  <c r="AC264" i="13" s="1"/>
  <c r="AF81" i="13"/>
  <c r="AF264" i="13" s="1"/>
  <c r="AI81" i="13"/>
  <c r="AL81" i="13"/>
  <c r="AL264" i="13" s="1"/>
  <c r="AO81" i="13"/>
  <c r="AT84" i="13"/>
  <c r="AU147" i="13"/>
  <c r="H144" i="13"/>
  <c r="AT92" i="13"/>
  <c r="AV92" i="13"/>
  <c r="AX92" i="13"/>
  <c r="AV146" i="13"/>
  <c r="Q144" i="13"/>
  <c r="T144" i="13"/>
  <c r="V144" i="13" s="1"/>
  <c r="AX145" i="13"/>
  <c r="E145" i="13"/>
  <c r="G145" i="13"/>
  <c r="AT145" i="13"/>
  <c r="V146" i="13"/>
  <c r="AQ146" i="13"/>
  <c r="P147" i="13"/>
  <c r="V147" i="13"/>
  <c r="K180" i="13"/>
  <c r="E182" i="13"/>
  <c r="W180" i="13"/>
  <c r="M183" i="13"/>
  <c r="F183" i="13"/>
  <c r="L180" i="13"/>
  <c r="Q180" i="13"/>
  <c r="AV180" i="13" s="1"/>
  <c r="AV183" i="13"/>
  <c r="S180" i="13"/>
  <c r="G182" i="13"/>
  <c r="AT182" i="13"/>
  <c r="AU183" i="13"/>
  <c r="P183" i="13"/>
  <c r="Y183" i="13"/>
  <c r="AN183" i="13"/>
  <c r="AO211" i="13"/>
  <c r="N211" i="13"/>
  <c r="P211" i="13" s="1"/>
  <c r="E213" i="13"/>
  <c r="AX213" i="13"/>
  <c r="AI211" i="13"/>
  <c r="AX211" i="13" s="1"/>
  <c r="AW211" i="13"/>
  <c r="AX212" i="13"/>
  <c r="AQ212" i="13"/>
  <c r="AU213" i="13"/>
  <c r="AT213" i="13"/>
  <c r="AV213" i="13"/>
  <c r="Y213" i="13"/>
  <c r="AN213" i="13"/>
  <c r="P214" i="13"/>
  <c r="V214" i="13"/>
  <c r="AW214" i="13"/>
  <c r="AT9" i="13"/>
  <c r="AI19" i="13"/>
  <c r="AX19" i="13" s="1"/>
  <c r="E21" i="13"/>
  <c r="G21" i="13" s="1"/>
  <c r="Y21" i="13"/>
  <c r="AH21" i="13"/>
  <c r="AK21" i="13"/>
  <c r="AT21" i="13"/>
  <c r="AN22" i="13"/>
  <c r="AW22" i="13"/>
  <c r="M24" i="13"/>
  <c r="AT26" i="13"/>
  <c r="F29" i="13"/>
  <c r="H29" i="13"/>
  <c r="J29" i="13" s="1"/>
  <c r="N29" i="13"/>
  <c r="P29" i="13" s="1"/>
  <c r="L261" i="13"/>
  <c r="O261" i="13"/>
  <c r="R261" i="13"/>
  <c r="U261" i="13"/>
  <c r="X261" i="13"/>
  <c r="AA280" i="13"/>
  <c r="AA273" i="13"/>
  <c r="AA260" i="13"/>
  <c r="AD280" i="13"/>
  <c r="AD273" i="13"/>
  <c r="AD260" i="13"/>
  <c r="AG280" i="13"/>
  <c r="AG273" i="13"/>
  <c r="AG260" i="13"/>
  <c r="AJ280" i="13"/>
  <c r="AJ273" i="13"/>
  <c r="AM280" i="13"/>
  <c r="AM273" i="13"/>
  <c r="AP280" i="13"/>
  <c r="AP273" i="13"/>
  <c r="AV30" i="13"/>
  <c r="AX30" i="13"/>
  <c r="F31" i="13"/>
  <c r="H262" i="13"/>
  <c r="J31" i="13"/>
  <c r="N262" i="13"/>
  <c r="P31" i="13"/>
  <c r="V31" i="13"/>
  <c r="AB31" i="13"/>
  <c r="AD281" i="13"/>
  <c r="AD274" i="13"/>
  <c r="AH31" i="13"/>
  <c r="AJ281" i="13"/>
  <c r="AJ274" i="13"/>
  <c r="AN31" i="13"/>
  <c r="AP281" i="13"/>
  <c r="AP274" i="13"/>
  <c r="AT31" i="13"/>
  <c r="F32" i="13"/>
  <c r="J32" i="13"/>
  <c r="L263" i="13"/>
  <c r="P32" i="13"/>
  <c r="T263" i="13"/>
  <c r="V32" i="13"/>
  <c r="AB32" i="13"/>
  <c r="AD282" i="13"/>
  <c r="AD275" i="13"/>
  <c r="AJ263" i="13"/>
  <c r="AJ260" i="13" s="1"/>
  <c r="AN32" i="13"/>
  <c r="AT32" i="13"/>
  <c r="AV32" i="13"/>
  <c r="AX32" i="13"/>
  <c r="AA283" i="13"/>
  <c r="AA276" i="13"/>
  <c r="AD283" i="13"/>
  <c r="AD276" i="13"/>
  <c r="AI264" i="13"/>
  <c r="AO264" i="13"/>
  <c r="AV33" i="13"/>
  <c r="AX33" i="13"/>
  <c r="E40" i="13"/>
  <c r="G40" i="13" s="1"/>
  <c r="E43" i="13"/>
  <c r="G43" i="13" s="1"/>
  <c r="P43" i="13"/>
  <c r="AF288" i="13"/>
  <c r="AF285" i="13" s="1"/>
  <c r="AF269" i="13"/>
  <c r="AF266" i="13" s="1"/>
  <c r="AI288" i="13"/>
  <c r="AI269" i="13"/>
  <c r="AX269" i="13" s="1"/>
  <c r="AU43" i="13"/>
  <c r="AW43" i="13"/>
  <c r="F46" i="13"/>
  <c r="H46" i="13"/>
  <c r="K46" i="13"/>
  <c r="N46" i="13"/>
  <c r="Q46" i="13"/>
  <c r="T46" i="13"/>
  <c r="W46" i="13"/>
  <c r="Z46" i="13"/>
  <c r="AF46" i="13"/>
  <c r="AL46" i="13"/>
  <c r="AX46" i="13" s="1"/>
  <c r="I273" i="13"/>
  <c r="F267" i="13"/>
  <c r="I266" i="13"/>
  <c r="L266" i="13"/>
  <c r="O266" i="13"/>
  <c r="R266" i="13"/>
  <c r="U266" i="13"/>
  <c r="X266" i="13"/>
  <c r="AC266" i="13"/>
  <c r="AX267" i="13"/>
  <c r="AI266" i="13"/>
  <c r="AX266" i="13" s="1"/>
  <c r="AO266" i="13"/>
  <c r="AV47" i="13"/>
  <c r="AX47" i="13"/>
  <c r="AX268" i="13"/>
  <c r="AV48" i="13"/>
  <c r="AX48" i="13"/>
  <c r="F49" i="13"/>
  <c r="G49" i="13" s="1"/>
  <c r="AU269" i="13"/>
  <c r="E269" i="13"/>
  <c r="AW269" i="13"/>
  <c r="AK269" i="13"/>
  <c r="AJ266" i="13"/>
  <c r="AK266" i="13" s="1"/>
  <c r="AQ269" i="13"/>
  <c r="AP266" i="13"/>
  <c r="AQ266" i="13" s="1"/>
  <c r="AU49" i="13"/>
  <c r="AW49" i="13"/>
  <c r="E50" i="13"/>
  <c r="AU270" i="13"/>
  <c r="E270" i="13"/>
  <c r="AW270" i="13"/>
  <c r="AU50" i="13"/>
  <c r="AW50" i="13"/>
  <c r="AI66" i="13"/>
  <c r="AX66" i="13" s="1"/>
  <c r="E68" i="13"/>
  <c r="G68" i="13" s="1"/>
  <c r="S68" i="13"/>
  <c r="AT68" i="13"/>
  <c r="AB69" i="13"/>
  <c r="N72" i="13"/>
  <c r="AU72" i="13" s="1"/>
  <c r="AO72" i="13"/>
  <c r="AX72" i="13" s="1"/>
  <c r="E75" i="13"/>
  <c r="G75" i="13" s="1"/>
  <c r="H78" i="13"/>
  <c r="K78" i="13"/>
  <c r="K261" i="13" s="1"/>
  <c r="N78" i="13"/>
  <c r="N261" i="13" s="1"/>
  <c r="Q78" i="13"/>
  <c r="T78" i="13"/>
  <c r="T261" i="13" s="1"/>
  <c r="W78" i="13"/>
  <c r="W77" i="13" s="1"/>
  <c r="Z78" i="13"/>
  <c r="AC78" i="13"/>
  <c r="AC261" i="13" s="1"/>
  <c r="AF78" i="13"/>
  <c r="AF261" i="13" s="1"/>
  <c r="AI78" i="13"/>
  <c r="AL78" i="13"/>
  <c r="AL261" i="13" s="1"/>
  <c r="AO78" i="13"/>
  <c r="AO261" i="13" s="1"/>
  <c r="I79" i="13"/>
  <c r="L79" i="13"/>
  <c r="O79" i="13"/>
  <c r="R79" i="13"/>
  <c r="R262" i="13" s="1"/>
  <c r="T79" i="13"/>
  <c r="T77" i="13" s="1"/>
  <c r="Z79" i="13"/>
  <c r="AB79" i="13" s="1"/>
  <c r="AF79" i="13"/>
  <c r="AF77" i="13" s="1"/>
  <c r="AH77" i="13" s="1"/>
  <c r="AL79" i="13"/>
  <c r="AL77" i="13" s="1"/>
  <c r="AO79" i="13"/>
  <c r="AO77" i="13" s="1"/>
  <c r="H80" i="13"/>
  <c r="K80" i="13"/>
  <c r="K263" i="13" s="1"/>
  <c r="N80" i="13"/>
  <c r="N263" i="13" s="1"/>
  <c r="R80" i="13"/>
  <c r="S80" i="13" s="1"/>
  <c r="X80" i="13"/>
  <c r="X263" i="13" s="1"/>
  <c r="AC80" i="13"/>
  <c r="AE80" i="13" s="1"/>
  <c r="AI80" i="13"/>
  <c r="AX80" i="13" s="1"/>
  <c r="AM80" i="13"/>
  <c r="AM77" i="13" s="1"/>
  <c r="AP80" i="13"/>
  <c r="I81" i="13"/>
  <c r="L81" i="13"/>
  <c r="L264" i="13" s="1"/>
  <c r="O81" i="13"/>
  <c r="O264" i="13" s="1"/>
  <c r="R81" i="13"/>
  <c r="R264" i="13" s="1"/>
  <c r="U81" i="13"/>
  <c r="U264" i="13" s="1"/>
  <c r="X81" i="13"/>
  <c r="X264" i="13" s="1"/>
  <c r="AG283" i="13"/>
  <c r="AG276" i="13"/>
  <c r="AJ283" i="13"/>
  <c r="AJ276" i="13"/>
  <c r="AM283" i="13"/>
  <c r="AM276" i="13"/>
  <c r="F82" i="13"/>
  <c r="AJ284" i="13"/>
  <c r="F284" i="13" s="1"/>
  <c r="AJ277" i="13"/>
  <c r="F277" i="13" s="1"/>
  <c r="AJ265" i="13"/>
  <c r="F265" i="13" s="1"/>
  <c r="AL144" i="13"/>
  <c r="AN144" i="13" s="1"/>
  <c r="AN147" i="13"/>
  <c r="AT87" i="13"/>
  <c r="AX87" i="13"/>
  <c r="F89" i="13"/>
  <c r="H89" i="13"/>
  <c r="J89" i="13" s="1"/>
  <c r="Q89" i="13"/>
  <c r="AV89" i="13" s="1"/>
  <c r="AC89" i="13"/>
  <c r="AW89" i="13" s="1"/>
  <c r="AI89" i="13"/>
  <c r="AX89" i="13" s="1"/>
  <c r="E92" i="13"/>
  <c r="G92" i="13" s="1"/>
  <c r="J92" i="13"/>
  <c r="P92" i="13"/>
  <c r="S92" i="13"/>
  <c r="Y92" i="13"/>
  <c r="AE92" i="13"/>
  <c r="AU92" i="13"/>
  <c r="AW92" i="13"/>
  <c r="AF144" i="13"/>
  <c r="AH144" i="13" s="1"/>
  <c r="AH147" i="13"/>
  <c r="AX109" i="13"/>
  <c r="E109" i="13"/>
  <c r="W144" i="13"/>
  <c r="AX146" i="13"/>
  <c r="AI144" i="13"/>
  <c r="AX144" i="13" s="1"/>
  <c r="G124" i="13"/>
  <c r="G134" i="13"/>
  <c r="M144" i="13"/>
  <c r="S144" i="13"/>
  <c r="Y144" i="13"/>
  <c r="AE144" i="13"/>
  <c r="AK144" i="13"/>
  <c r="AQ144" i="13"/>
  <c r="AK145" i="13"/>
  <c r="S146" i="13"/>
  <c r="Y146" i="13"/>
  <c r="AK146" i="13"/>
  <c r="M147" i="13"/>
  <c r="S147" i="13"/>
  <c r="Y147" i="13"/>
  <c r="AE147" i="13"/>
  <c r="AK147" i="13"/>
  <c r="AQ147" i="13"/>
  <c r="AK183" i="13"/>
  <c r="AI180" i="13"/>
  <c r="AX180" i="13" s="1"/>
  <c r="AX183" i="13"/>
  <c r="AQ183" i="13"/>
  <c r="AP180" i="13"/>
  <c r="AQ180" i="13" s="1"/>
  <c r="AU180" i="13"/>
  <c r="P180" i="13"/>
  <c r="Y180" i="13"/>
  <c r="AN180" i="13"/>
  <c r="AV182" i="13"/>
  <c r="Y182" i="13"/>
  <c r="S183" i="13"/>
  <c r="AU211" i="13"/>
  <c r="Y211" i="13"/>
  <c r="AK211" i="13"/>
  <c r="AQ211" i="13"/>
  <c r="AT212" i="13"/>
  <c r="G213" i="13"/>
  <c r="P213" i="13"/>
  <c r="AK213" i="13"/>
  <c r="AQ213" i="13"/>
  <c r="AU214" i="13"/>
  <c r="AX214" i="13"/>
  <c r="AQ214" i="13"/>
  <c r="S99" i="13"/>
  <c r="AT102" i="13"/>
  <c r="AV112" i="13"/>
  <c r="AX112" i="13"/>
  <c r="J114" i="13"/>
  <c r="AB114" i="13"/>
  <c r="AN114" i="13"/>
  <c r="AT116" i="13"/>
  <c r="AX116" i="13"/>
  <c r="S119" i="13"/>
  <c r="AK119" i="13"/>
  <c r="AT122" i="13"/>
  <c r="AX122" i="13"/>
  <c r="J124" i="13"/>
  <c r="AK124" i="13"/>
  <c r="AU124" i="13"/>
  <c r="AU127" i="13"/>
  <c r="S129" i="13"/>
  <c r="AK129" i="13"/>
  <c r="AT131" i="13"/>
  <c r="AV131" i="13"/>
  <c r="AU134" i="13"/>
  <c r="AT140" i="13"/>
  <c r="AX140" i="13"/>
  <c r="AK141" i="13"/>
  <c r="J146" i="13"/>
  <c r="Z146" i="13"/>
  <c r="J147" i="13"/>
  <c r="Z147" i="13"/>
  <c r="E147" i="13" s="1"/>
  <c r="G147" i="13" s="1"/>
  <c r="AU153" i="13"/>
  <c r="AT155" i="13"/>
  <c r="F160" i="13"/>
  <c r="G160" i="13" s="1"/>
  <c r="AH163" i="13"/>
  <c r="AT163" i="13"/>
  <c r="F165" i="13"/>
  <c r="G165" i="13" s="1"/>
  <c r="J165" i="13"/>
  <c r="AV165" i="13"/>
  <c r="AX165" i="13"/>
  <c r="Y168" i="13"/>
  <c r="AT168" i="13"/>
  <c r="AV168" i="13"/>
  <c r="F170" i="13"/>
  <c r="G170" i="13" s="1"/>
  <c r="J170" i="13"/>
  <c r="AV170" i="13"/>
  <c r="AX170" i="13"/>
  <c r="Y172" i="13"/>
  <c r="M173" i="13"/>
  <c r="AB173" i="13"/>
  <c r="AT173" i="13"/>
  <c r="AV173" i="13"/>
  <c r="AX173" i="13"/>
  <c r="J180" i="13"/>
  <c r="J182" i="13"/>
  <c r="J183" i="13"/>
  <c r="Z183" i="13"/>
  <c r="AF183" i="13"/>
  <c r="AF180" i="13" s="1"/>
  <c r="AH180" i="13" s="1"/>
  <c r="F186" i="13"/>
  <c r="G186" i="13" s="1"/>
  <c r="P186" i="13"/>
  <c r="F196" i="13"/>
  <c r="G196" i="13" s="1"/>
  <c r="AB196" i="13"/>
  <c r="AT199" i="13"/>
  <c r="F201" i="13"/>
  <c r="G201" i="13" s="1"/>
  <c r="E204" i="13"/>
  <c r="G204" i="13" s="1"/>
  <c r="P204" i="13"/>
  <c r="AQ204" i="13"/>
  <c r="AU204" i="13"/>
  <c r="E206" i="13"/>
  <c r="G206" i="13" s="1"/>
  <c r="M206" i="13"/>
  <c r="AX206" i="13"/>
  <c r="AT207" i="13"/>
  <c r="AX207" i="13"/>
  <c r="P208" i="13"/>
  <c r="AT208" i="13"/>
  <c r="AV208" i="13"/>
  <c r="AX208" i="13"/>
  <c r="P209" i="13"/>
  <c r="S209" i="13"/>
  <c r="AQ209" i="13"/>
  <c r="AU209" i="13"/>
  <c r="M211" i="13"/>
  <c r="E212" i="13"/>
  <c r="G212" i="13" s="1"/>
  <c r="M213" i="13"/>
  <c r="Q214" i="13"/>
  <c r="AK217" i="13"/>
  <c r="AV236" i="13"/>
  <c r="Q233" i="13"/>
  <c r="AV233" i="13" s="1"/>
  <c r="Z233" i="13"/>
  <c r="AX236" i="13"/>
  <c r="AI233" i="13"/>
  <c r="AK236" i="13"/>
  <c r="AW220" i="13"/>
  <c r="AL236" i="13"/>
  <c r="AL233" i="13" s="1"/>
  <c r="AN233" i="13" s="1"/>
  <c r="AX225" i="13"/>
  <c r="AN236" i="13"/>
  <c r="X255" i="13"/>
  <c r="F257" i="13"/>
  <c r="AO255" i="13"/>
  <c r="V257" i="13"/>
  <c r="AE257" i="13"/>
  <c r="V258" i="13"/>
  <c r="E102" i="13"/>
  <c r="G102" i="13" s="1"/>
  <c r="AU102" i="13"/>
  <c r="E104" i="13"/>
  <c r="G104" i="13" s="1"/>
  <c r="E114" i="13"/>
  <c r="G114" i="13" s="1"/>
  <c r="E116" i="13"/>
  <c r="G116" i="13" s="1"/>
  <c r="AQ116" i="13"/>
  <c r="AT117" i="13"/>
  <c r="F119" i="13"/>
  <c r="G119" i="13" s="1"/>
  <c r="J119" i="13"/>
  <c r="AB122" i="13"/>
  <c r="AT141" i="13"/>
  <c r="E146" i="13"/>
  <c r="G146" i="13" s="1"/>
  <c r="F150" i="13"/>
  <c r="G150" i="13" s="1"/>
  <c r="J150" i="13"/>
  <c r="AT153" i="13"/>
  <c r="AX153" i="13"/>
  <c r="AQ168" i="13"/>
  <c r="AT172" i="13"/>
  <c r="AV172" i="13"/>
  <c r="AE196" i="13"/>
  <c r="AT204" i="13"/>
  <c r="AX204" i="13"/>
  <c r="AU208" i="13"/>
  <c r="E214" i="13"/>
  <c r="G214" i="13" s="1"/>
  <c r="E220" i="13"/>
  <c r="G220" i="13" s="1"/>
  <c r="AK220" i="13"/>
  <c r="AT220" i="13"/>
  <c r="AV220" i="13"/>
  <c r="AX220" i="13"/>
  <c r="AF236" i="13"/>
  <c r="AF233" i="13" s="1"/>
  <c r="AH233" i="13" s="1"/>
  <c r="AT225" i="13"/>
  <c r="AH225" i="13"/>
  <c r="E225" i="13"/>
  <c r="G225" i="13" s="1"/>
  <c r="AW225" i="13"/>
  <c r="AK233" i="13"/>
  <c r="AT236" i="13"/>
  <c r="AW258" i="13"/>
  <c r="AM255" i="13"/>
  <c r="V255" i="13"/>
  <c r="AE255" i="13"/>
  <c r="P257" i="13"/>
  <c r="AE258" i="13"/>
  <c r="AX258" i="13"/>
  <c r="AT230" i="13"/>
  <c r="AV230" i="13"/>
  <c r="N236" i="13"/>
  <c r="AU236" i="13"/>
  <c r="AB240" i="13"/>
  <c r="AT242" i="13"/>
  <c r="AX242" i="13"/>
  <c r="AW243" i="13"/>
  <c r="K257" i="13"/>
  <c r="AT257" i="13" s="1"/>
  <c r="W257" i="13"/>
  <c r="Z257" i="13"/>
  <c r="AB257" i="13" s="1"/>
  <c r="AL257" i="13"/>
  <c r="W258" i="13"/>
  <c r="Y258" i="13" s="1"/>
  <c r="AL258" i="13"/>
  <c r="AN258" i="13" s="1"/>
  <c r="F227" i="13"/>
  <c r="G227" i="13" s="1"/>
  <c r="F233" i="13"/>
  <c r="M236" i="13"/>
  <c r="F240" i="13"/>
  <c r="G240" i="13" s="1"/>
  <c r="AB242" i="13"/>
  <c r="AE242" i="13"/>
  <c r="E243" i="13"/>
  <c r="G243" i="13" s="1"/>
  <c r="V243" i="13"/>
  <c r="AN243" i="13"/>
  <c r="AT243" i="13"/>
  <c r="AV243" i="13"/>
  <c r="AX247" i="13"/>
  <c r="AT248" i="13"/>
  <c r="F258" i="13"/>
  <c r="AE266" i="13"/>
  <c r="AT288" i="13"/>
  <c r="AK288" i="13"/>
  <c r="AW285" i="13"/>
  <c r="AW288" i="13"/>
  <c r="AT293" i="13"/>
  <c r="F34" i="14"/>
  <c r="F33" i="14"/>
  <c r="F32" i="14"/>
  <c r="F31" i="14"/>
  <c r="F30" i="14"/>
  <c r="F28" i="14"/>
  <c r="F27" i="14"/>
  <c r="F26" i="14"/>
  <c r="F25" i="14"/>
  <c r="F24" i="14"/>
  <c r="F23" i="14"/>
  <c r="F22" i="14"/>
  <c r="F21" i="14"/>
  <c r="F15" i="14"/>
  <c r="F13" i="14"/>
  <c r="F12" i="14"/>
  <c r="F10" i="14"/>
  <c r="F8" i="14"/>
  <c r="X283" i="13" l="1"/>
  <c r="X276" i="13"/>
  <c r="R283" i="13"/>
  <c r="R276" i="13"/>
  <c r="L283" i="13"/>
  <c r="L276" i="13"/>
  <c r="F264" i="13"/>
  <c r="X282" i="13"/>
  <c r="X275" i="13"/>
  <c r="N282" i="13"/>
  <c r="N275" i="13"/>
  <c r="R281" i="13"/>
  <c r="R274" i="13"/>
  <c r="AO280" i="13"/>
  <c r="AO273" i="13"/>
  <c r="AQ261" i="13"/>
  <c r="AC280" i="13"/>
  <c r="AC273" i="13"/>
  <c r="K280" i="13"/>
  <c r="K273" i="13"/>
  <c r="AC283" i="13"/>
  <c r="AC276" i="13"/>
  <c r="W283" i="13"/>
  <c r="W276" i="13"/>
  <c r="K283" i="13"/>
  <c r="K276" i="13"/>
  <c r="O282" i="13"/>
  <c r="O275" i="13"/>
  <c r="P275" i="13" s="1"/>
  <c r="P263" i="13"/>
  <c r="P282" i="13" s="1"/>
  <c r="U283" i="13"/>
  <c r="U276" i="13"/>
  <c r="O283" i="13"/>
  <c r="O276" i="13"/>
  <c r="K282" i="13"/>
  <c r="K275" i="13"/>
  <c r="AL280" i="13"/>
  <c r="AL273" i="13"/>
  <c r="AF280" i="13"/>
  <c r="AF273" i="13"/>
  <c r="T280" i="13"/>
  <c r="T273" i="13"/>
  <c r="N280" i="13"/>
  <c r="N273" i="13"/>
  <c r="N260" i="13"/>
  <c r="AL283" i="13"/>
  <c r="AL276" i="13"/>
  <c r="AF283" i="13"/>
  <c r="AF276" i="13"/>
  <c r="T283" i="13"/>
  <c r="T276" i="13"/>
  <c r="N283" i="13"/>
  <c r="N276" i="13"/>
  <c r="AL255" i="13"/>
  <c r="AX255" i="13" s="1"/>
  <c r="W255" i="13"/>
  <c r="AV255" i="13" s="1"/>
  <c r="N233" i="13"/>
  <c r="P236" i="13"/>
  <c r="E236" i="13"/>
  <c r="G236" i="13" s="1"/>
  <c r="AN257" i="13"/>
  <c r="AV257" i="13"/>
  <c r="Y255" i="13"/>
  <c r="AW236" i="13"/>
  <c r="AV214" i="13"/>
  <c r="Q211" i="13"/>
  <c r="S214" i="13"/>
  <c r="F81" i="13"/>
  <c r="O77" i="13"/>
  <c r="AT79" i="13"/>
  <c r="I77" i="13"/>
  <c r="F79" i="13"/>
  <c r="AW78" i="13"/>
  <c r="AU78" i="13"/>
  <c r="E78" i="13"/>
  <c r="E72" i="13"/>
  <c r="G72" i="13" s="1"/>
  <c r="E66" i="13"/>
  <c r="G66" i="13" s="1"/>
  <c r="AW46" i="13"/>
  <c r="AU46" i="13"/>
  <c r="E46" i="13"/>
  <c r="AI283" i="13"/>
  <c r="AI276" i="13"/>
  <c r="AX264" i="13"/>
  <c r="Z263" i="13"/>
  <c r="R263" i="13"/>
  <c r="Z262" i="13"/>
  <c r="N281" i="13"/>
  <c r="N274" i="13"/>
  <c r="AQ280" i="13"/>
  <c r="AN273" i="13"/>
  <c r="AD279" i="13"/>
  <c r="AA272" i="13"/>
  <c r="X280" i="13"/>
  <c r="X273" i="13"/>
  <c r="R280" i="13"/>
  <c r="R273" i="13"/>
  <c r="R260" i="13"/>
  <c r="L280" i="13"/>
  <c r="L273" i="13"/>
  <c r="F261" i="13"/>
  <c r="AT147" i="13"/>
  <c r="AT89" i="13"/>
  <c r="AW81" i="13"/>
  <c r="AU81" i="13"/>
  <c r="E81" i="13"/>
  <c r="AK80" i="13"/>
  <c r="AX79" i="13"/>
  <c r="AK79" i="13"/>
  <c r="AI77" i="13"/>
  <c r="AX77" i="13" s="1"/>
  <c r="X77" i="13"/>
  <c r="AV79" i="13"/>
  <c r="Q77" i="13"/>
  <c r="AV77" i="13" s="1"/>
  <c r="K77" i="13"/>
  <c r="G269" i="13"/>
  <c r="AW266" i="13"/>
  <c r="F288" i="13"/>
  <c r="G288" i="13" s="1"/>
  <c r="AM285" i="13"/>
  <c r="AU288" i="13"/>
  <c r="E288" i="13"/>
  <c r="N285" i="13"/>
  <c r="Z264" i="13"/>
  <c r="H264" i="13"/>
  <c r="AM263" i="13"/>
  <c r="AI263" i="13"/>
  <c r="AC263" i="13"/>
  <c r="W263" i="13"/>
  <c r="Y32" i="13"/>
  <c r="E32" i="13"/>
  <c r="G32" i="13" s="1"/>
  <c r="AI262" i="13"/>
  <c r="AX31" i="13"/>
  <c r="AK31" i="13"/>
  <c r="AI29" i="13"/>
  <c r="AC262" i="13"/>
  <c r="AC260" i="13" s="1"/>
  <c r="AE260" i="13" s="1"/>
  <c r="AW31" i="13"/>
  <c r="AE31" i="13"/>
  <c r="AC29" i="13"/>
  <c r="W262" i="13"/>
  <c r="W29" i="13"/>
  <c r="Q262" i="13"/>
  <c r="AV31" i="13"/>
  <c r="S31" i="13"/>
  <c r="E31" i="13"/>
  <c r="G31" i="13" s="1"/>
  <c r="Q29" i="13"/>
  <c r="I262" i="13"/>
  <c r="Z261" i="13"/>
  <c r="H261" i="13"/>
  <c r="AT19" i="13"/>
  <c r="S89" i="13"/>
  <c r="AJ77" i="13"/>
  <c r="AK77" i="13" s="1"/>
  <c r="AF263" i="13"/>
  <c r="AF262" i="13"/>
  <c r="AE89" i="13"/>
  <c r="AT72" i="13"/>
  <c r="AK66" i="13"/>
  <c r="AT46" i="13"/>
  <c r="AL262" i="13"/>
  <c r="AH29" i="13"/>
  <c r="AG282" i="13"/>
  <c r="AG275" i="13"/>
  <c r="AH263" i="13"/>
  <c r="AH282" i="13" s="1"/>
  <c r="Y31" i="13"/>
  <c r="X262" i="13"/>
  <c r="Z255" i="13"/>
  <c r="AW257" i="13"/>
  <c r="E257" i="13"/>
  <c r="K255" i="13"/>
  <c r="AT258" i="13"/>
  <c r="AN255" i="13"/>
  <c r="AV258" i="13"/>
  <c r="AX257" i="13"/>
  <c r="AU257" i="13"/>
  <c r="F255" i="13"/>
  <c r="G257" i="13"/>
  <c r="E258" i="13"/>
  <c r="G258" i="13" s="1"/>
  <c r="AH236" i="13"/>
  <c r="AX233" i="13"/>
  <c r="AW233" i="13"/>
  <c r="AW183" i="13"/>
  <c r="Z180" i="13"/>
  <c r="AW147" i="13"/>
  <c r="AB147" i="13"/>
  <c r="AW146" i="13"/>
  <c r="Z144" i="13"/>
  <c r="AB146" i="13"/>
  <c r="AT214" i="13"/>
  <c r="AB183" i="13"/>
  <c r="AT183" i="13"/>
  <c r="AU89" i="13"/>
  <c r="E89" i="13"/>
  <c r="G89" i="13" s="1"/>
  <c r="AQ80" i="13"/>
  <c r="AP77" i="13"/>
  <c r="AQ77" i="13" s="1"/>
  <c r="AU80" i="13"/>
  <c r="E80" i="13"/>
  <c r="Z77" i="13"/>
  <c r="AW79" i="13"/>
  <c r="S79" i="13"/>
  <c r="R77" i="13"/>
  <c r="S77" i="13" s="1"/>
  <c r="L77" i="13"/>
  <c r="AX78" i="13"/>
  <c r="AV78" i="13"/>
  <c r="AT266" i="13"/>
  <c r="F266" i="13"/>
  <c r="AV46" i="13"/>
  <c r="G46" i="13"/>
  <c r="AX288" i="13"/>
  <c r="AI285" i="13"/>
  <c r="AO283" i="13"/>
  <c r="AO276" i="13"/>
  <c r="AP263" i="13"/>
  <c r="AJ282" i="13"/>
  <c r="AJ279" i="13" s="1"/>
  <c r="AJ275" i="13"/>
  <c r="AK263" i="13"/>
  <c r="AK282" i="13" s="1"/>
  <c r="T282" i="13"/>
  <c r="T275" i="13"/>
  <c r="L282" i="13"/>
  <c r="L275" i="13"/>
  <c r="M275" i="13" s="1"/>
  <c r="M263" i="13"/>
  <c r="M282" i="13" s="1"/>
  <c r="H263" i="13"/>
  <c r="L262" i="13"/>
  <c r="L260" i="13" s="1"/>
  <c r="H281" i="13"/>
  <c r="H274" i="13"/>
  <c r="AQ273" i="13"/>
  <c r="AN280" i="13"/>
  <c r="AJ272" i="13"/>
  <c r="AG279" i="13"/>
  <c r="AD272" i="13"/>
  <c r="AA279" i="13"/>
  <c r="U280" i="13"/>
  <c r="U273" i="13"/>
  <c r="O280" i="13"/>
  <c r="O273" i="13"/>
  <c r="AU29" i="13"/>
  <c r="E19" i="13"/>
  <c r="G19" i="13" s="1"/>
  <c r="AH183" i="13"/>
  <c r="AK180" i="13"/>
  <c r="M180" i="13"/>
  <c r="F180" i="13"/>
  <c r="E183" i="13"/>
  <c r="G183" i="13" s="1"/>
  <c r="AT146" i="13"/>
  <c r="AV144" i="13"/>
  <c r="J144" i="13"/>
  <c r="AU144" i="13"/>
  <c r="E144" i="13"/>
  <c r="G144" i="13" s="1"/>
  <c r="AX81" i="13"/>
  <c r="AV81" i="13"/>
  <c r="AW80" i="13"/>
  <c r="AB80" i="13"/>
  <c r="P80" i="13"/>
  <c r="AT80" i="13"/>
  <c r="F80" i="13"/>
  <c r="G80" i="13" s="1"/>
  <c r="AE79" i="13"/>
  <c r="AC77" i="13"/>
  <c r="AE77" i="13" s="1"/>
  <c r="U77" i="13"/>
  <c r="V77" i="13" s="1"/>
  <c r="N77" i="13"/>
  <c r="E79" i="13"/>
  <c r="AU79" i="13"/>
  <c r="H77" i="13"/>
  <c r="F78" i="13"/>
  <c r="F276" i="13"/>
  <c r="AT269" i="13"/>
  <c r="E266" i="13"/>
  <c r="AU266" i="13"/>
  <c r="Q264" i="13"/>
  <c r="AO263" i="13"/>
  <c r="AQ32" i="13"/>
  <c r="U263" i="13"/>
  <c r="Q263" i="13"/>
  <c r="I263" i="13"/>
  <c r="U262" i="13"/>
  <c r="O262" i="13"/>
  <c r="O260" i="13" s="1"/>
  <c r="P260" i="13" s="1"/>
  <c r="K262" i="13"/>
  <c r="AU262" i="13" s="1"/>
  <c r="AI261" i="13"/>
  <c r="W261" i="13"/>
  <c r="Q261" i="13"/>
  <c r="AQ72" i="13"/>
  <c r="AT66" i="13"/>
  <c r="T262" i="13"/>
  <c r="AH79" i="13"/>
  <c r="AL263" i="13"/>
  <c r="AO29" i="13"/>
  <c r="AQ29" i="13" s="1"/>
  <c r="AO262" i="13"/>
  <c r="AO260" i="13" s="1"/>
  <c r="Y29" i="13"/>
  <c r="AK19" i="13"/>
  <c r="AT29" i="13" l="1"/>
  <c r="W280" i="13"/>
  <c r="W273" i="13"/>
  <c r="W260" i="13"/>
  <c r="U281" i="13"/>
  <c r="U274" i="13"/>
  <c r="V262" i="13"/>
  <c r="I282" i="13"/>
  <c r="I275" i="13"/>
  <c r="AT263" i="13"/>
  <c r="J263" i="13"/>
  <c r="J282" i="13" s="1"/>
  <c r="F263" i="13"/>
  <c r="U282" i="13"/>
  <c r="U275" i="13"/>
  <c r="V275" i="13" s="1"/>
  <c r="V263" i="13"/>
  <c r="V282" i="13" s="1"/>
  <c r="AO282" i="13"/>
  <c r="AO275" i="13"/>
  <c r="E29" i="13"/>
  <c r="G29" i="13" s="1"/>
  <c r="U272" i="13"/>
  <c r="AX285" i="13"/>
  <c r="AK285" i="13"/>
  <c r="F273" i="13"/>
  <c r="AB144" i="13"/>
  <c r="AW144" i="13"/>
  <c r="AW180" i="13"/>
  <c r="AB180" i="13"/>
  <c r="AW255" i="13"/>
  <c r="AB255" i="13"/>
  <c r="AF281" i="13"/>
  <c r="AF274" i="13"/>
  <c r="AH274" i="13" s="1"/>
  <c r="AH262" i="13"/>
  <c r="Z280" i="13"/>
  <c r="Z273" i="13"/>
  <c r="AW261" i="13"/>
  <c r="Z260" i="13"/>
  <c r="AV29" i="13"/>
  <c r="S29" i="13"/>
  <c r="Q281" i="13"/>
  <c r="AV262" i="13"/>
  <c r="Q274" i="13"/>
  <c r="W281" i="13"/>
  <c r="W274" i="13"/>
  <c r="AW29" i="13"/>
  <c r="AE29" i="13"/>
  <c r="AI281" i="13"/>
  <c r="AI274" i="13"/>
  <c r="AX262" i="13"/>
  <c r="AK262" i="13"/>
  <c r="W282" i="13"/>
  <c r="W275" i="13"/>
  <c r="AC282" i="13"/>
  <c r="AC275" i="13"/>
  <c r="AE275" i="13" s="1"/>
  <c r="AE263" i="13"/>
  <c r="AE282" i="13" s="1"/>
  <c r="AM282" i="13"/>
  <c r="AM275" i="13"/>
  <c r="AN263" i="13"/>
  <c r="AM260" i="13"/>
  <c r="Z283" i="13"/>
  <c r="AW283" i="13" s="1"/>
  <c r="Z276" i="13"/>
  <c r="AW276" i="13" s="1"/>
  <c r="AW264" i="13"/>
  <c r="F285" i="13"/>
  <c r="AT285" i="13"/>
  <c r="Z281" i="13"/>
  <c r="Z274" i="13"/>
  <c r="AW262" i="13"/>
  <c r="AB262" i="13"/>
  <c r="Z282" i="13"/>
  <c r="Z275" i="13"/>
  <c r="AW263" i="13"/>
  <c r="AB263" i="13"/>
  <c r="AB282" i="13" s="1"/>
  <c r="AX276" i="13"/>
  <c r="G79" i="13"/>
  <c r="N279" i="13"/>
  <c r="AF260" i="13"/>
  <c r="S274" i="13"/>
  <c r="Y263" i="13"/>
  <c r="Y282" i="13" s="1"/>
  <c r="AT144" i="13"/>
  <c r="K281" i="13"/>
  <c r="AU281" i="13" s="1"/>
  <c r="K274" i="13"/>
  <c r="K272" i="13" s="1"/>
  <c r="AO281" i="13"/>
  <c r="AQ281" i="13" s="1"/>
  <c r="AO274" i="13"/>
  <c r="AQ274" i="13" s="1"/>
  <c r="AQ262" i="13"/>
  <c r="AL282" i="13"/>
  <c r="AL275" i="13"/>
  <c r="T281" i="13"/>
  <c r="T274" i="13"/>
  <c r="T272" i="13" s="1"/>
  <c r="Q280" i="13"/>
  <c r="Q273" i="13"/>
  <c r="AV261" i="13"/>
  <c r="Q260" i="13"/>
  <c r="AI280" i="13"/>
  <c r="AI273" i="13"/>
  <c r="AX261" i="13"/>
  <c r="AI260" i="13"/>
  <c r="O281" i="13"/>
  <c r="O279" i="13" s="1"/>
  <c r="P279" i="13" s="1"/>
  <c r="O274" i="13"/>
  <c r="P274" i="13" s="1"/>
  <c r="P262" i="13"/>
  <c r="P281" i="13" s="1"/>
  <c r="Q282" i="13"/>
  <c r="AV282" i="13" s="1"/>
  <c r="Q275" i="13"/>
  <c r="AV275" i="13" s="1"/>
  <c r="AV263" i="13"/>
  <c r="Q283" i="13"/>
  <c r="AV283" i="13" s="1"/>
  <c r="Q276" i="13"/>
  <c r="AV276" i="13" s="1"/>
  <c r="AV264" i="13"/>
  <c r="AU77" i="13"/>
  <c r="E77" i="13"/>
  <c r="O272" i="13"/>
  <c r="U260" i="13"/>
  <c r="U279" i="13"/>
  <c r="E262" i="13"/>
  <c r="AU274" i="13"/>
  <c r="L281" i="13"/>
  <c r="L274" i="13"/>
  <c r="M274" i="13" s="1"/>
  <c r="M262" i="13"/>
  <c r="M281" i="13" s="1"/>
  <c r="H282" i="13"/>
  <c r="H275" i="13"/>
  <c r="AU263" i="13"/>
  <c r="E263" i="13"/>
  <c r="AP282" i="13"/>
  <c r="AP275" i="13"/>
  <c r="AQ263" i="13"/>
  <c r="AP260" i="13"/>
  <c r="AQ260" i="13" s="1"/>
  <c r="G266" i="13"/>
  <c r="AW77" i="13"/>
  <c r="AB77" i="13"/>
  <c r="E255" i="13"/>
  <c r="G255" i="13" s="1"/>
  <c r="M255" i="13"/>
  <c r="AU255" i="13"/>
  <c r="X281" i="13"/>
  <c r="X274" i="13"/>
  <c r="Y274" i="13" s="1"/>
  <c r="Y262" i="13"/>
  <c r="AL281" i="13"/>
  <c r="AN281" i="13" s="1"/>
  <c r="AL274" i="13"/>
  <c r="AN274" i="13" s="1"/>
  <c r="AN262" i="13"/>
  <c r="AN260" i="13" s="1"/>
  <c r="AF282" i="13"/>
  <c r="AF279" i="13" s="1"/>
  <c r="AH279" i="13" s="1"/>
  <c r="AF275" i="13"/>
  <c r="AH275" i="13" s="1"/>
  <c r="H280" i="13"/>
  <c r="H273" i="13"/>
  <c r="AU261" i="13"/>
  <c r="H260" i="13"/>
  <c r="E261" i="13"/>
  <c r="I281" i="13"/>
  <c r="AT262" i="13"/>
  <c r="I274" i="13"/>
  <c r="J262" i="13"/>
  <c r="J281" i="13" s="1"/>
  <c r="F262" i="13"/>
  <c r="G262" i="13" s="1"/>
  <c r="I260" i="13"/>
  <c r="AC281" i="13"/>
  <c r="AC279" i="13" s="1"/>
  <c r="AE279" i="13" s="1"/>
  <c r="AC274" i="13"/>
  <c r="AE274" i="13" s="1"/>
  <c r="AE262" i="13"/>
  <c r="AE281" i="13" s="1"/>
  <c r="AX29" i="13"/>
  <c r="AK29" i="13"/>
  <c r="AI282" i="13"/>
  <c r="AX282" i="13" s="1"/>
  <c r="AI275" i="13"/>
  <c r="AX275" i="13" s="1"/>
  <c r="AX263" i="13"/>
  <c r="H283" i="13"/>
  <c r="H276" i="13"/>
  <c r="AU264" i="13"/>
  <c r="E264" i="13"/>
  <c r="E285" i="13"/>
  <c r="AU285" i="13"/>
  <c r="E180" i="13"/>
  <c r="G180" i="13" s="1"/>
  <c r="AT180" i="13"/>
  <c r="AT261" i="13"/>
  <c r="G261" i="13"/>
  <c r="F280" i="13"/>
  <c r="L279" i="13"/>
  <c r="AT280" i="13"/>
  <c r="X260" i="13"/>
  <c r="X279" i="13"/>
  <c r="AG272" i="13"/>
  <c r="R282" i="13"/>
  <c r="R279" i="13" s="1"/>
  <c r="R275" i="13"/>
  <c r="S275" i="13" s="1"/>
  <c r="S263" i="13"/>
  <c r="S282" i="13" s="1"/>
  <c r="AX283" i="13"/>
  <c r="AT77" i="13"/>
  <c r="F77" i="13"/>
  <c r="G77" i="13" s="1"/>
  <c r="P77" i="13"/>
  <c r="AV211" i="13"/>
  <c r="S211" i="13"/>
  <c r="AT211" i="13"/>
  <c r="E211" i="13"/>
  <c r="G211" i="13" s="1"/>
  <c r="E233" i="13"/>
  <c r="G233" i="13" s="1"/>
  <c r="P233" i="13"/>
  <c r="AU233" i="13"/>
  <c r="AT233" i="13"/>
  <c r="N272" i="13"/>
  <c r="T260" i="13"/>
  <c r="T279" i="13"/>
  <c r="AF272" i="13"/>
  <c r="AL260" i="13"/>
  <c r="AL279" i="13"/>
  <c r="K260" i="13"/>
  <c r="M260" i="13" s="1"/>
  <c r="K279" i="13"/>
  <c r="AC272" i="13"/>
  <c r="AE272" i="13" s="1"/>
  <c r="AO272" i="13"/>
  <c r="S262" i="13"/>
  <c r="Y275" i="13"/>
  <c r="F283" i="13"/>
  <c r="AT255" i="13"/>
  <c r="AU283" i="13" l="1"/>
  <c r="E283" i="13"/>
  <c r="AT274" i="13"/>
  <c r="J274" i="13"/>
  <c r="F274" i="13"/>
  <c r="I272" i="13"/>
  <c r="AT281" i="13"/>
  <c r="F281" i="13"/>
  <c r="I279" i="13"/>
  <c r="AU260" i="13"/>
  <c r="E260" i="13"/>
  <c r="E273" i="13"/>
  <c r="AU273" i="13"/>
  <c r="H272" i="13"/>
  <c r="AQ282" i="13"/>
  <c r="AP279" i="13"/>
  <c r="AU275" i="13"/>
  <c r="E275" i="13"/>
  <c r="V279" i="13"/>
  <c r="P272" i="13"/>
  <c r="AX280" i="13"/>
  <c r="AI279" i="13"/>
  <c r="AV280" i="13"/>
  <c r="Q279" i="13"/>
  <c r="AL272" i="13"/>
  <c r="AW282" i="13"/>
  <c r="AW281" i="13"/>
  <c r="X272" i="13"/>
  <c r="L272" i="13"/>
  <c r="M272" i="13" s="1"/>
  <c r="G285" i="13"/>
  <c r="AN275" i="13"/>
  <c r="AM272" i="13"/>
  <c r="AX281" i="13"/>
  <c r="AW260" i="13"/>
  <c r="AW273" i="13"/>
  <c r="Z272" i="13"/>
  <c r="AH281" i="13"/>
  <c r="AH260" i="13"/>
  <c r="AT273" i="13"/>
  <c r="E281" i="13"/>
  <c r="V272" i="13"/>
  <c r="G263" i="13"/>
  <c r="AT282" i="13"/>
  <c r="F282" i="13"/>
  <c r="V274" i="13"/>
  <c r="W279" i="13"/>
  <c r="S281" i="13"/>
  <c r="S260" i="13"/>
  <c r="AH272" i="13"/>
  <c r="Y279" i="13"/>
  <c r="R272" i="13"/>
  <c r="M279" i="13"/>
  <c r="AU276" i="13"/>
  <c r="E276" i="13"/>
  <c r="AT260" i="13"/>
  <c r="J260" i="13"/>
  <c r="F260" i="13"/>
  <c r="G260" i="13" s="1"/>
  <c r="AU280" i="13"/>
  <c r="H279" i="13"/>
  <c r="E280" i="13"/>
  <c r="G280" i="13" s="1"/>
  <c r="Y281" i="13"/>
  <c r="Y260" i="13"/>
  <c r="AQ275" i="13"/>
  <c r="AP272" i="13"/>
  <c r="AQ272" i="13" s="1"/>
  <c r="AK275" i="13"/>
  <c r="AU282" i="13"/>
  <c r="E282" i="13"/>
  <c r="E274" i="13"/>
  <c r="AX260" i="13"/>
  <c r="AX273" i="13"/>
  <c r="AI272" i="13"/>
  <c r="AK273" i="13"/>
  <c r="AV260" i="13"/>
  <c r="AV273" i="13"/>
  <c r="Q272" i="13"/>
  <c r="AO279" i="13"/>
  <c r="AW275" i="13"/>
  <c r="AB275" i="13"/>
  <c r="AB281" i="13"/>
  <c r="AB260" i="13"/>
  <c r="AW274" i="13"/>
  <c r="AB274" i="13"/>
  <c r="AN282" i="13"/>
  <c r="AM279" i="13"/>
  <c r="AN279" i="13" s="1"/>
  <c r="AK281" i="13"/>
  <c r="AK261" i="13"/>
  <c r="AX274" i="13"/>
  <c r="AK274" i="13"/>
  <c r="AV274" i="13"/>
  <c r="AV281" i="13"/>
  <c r="AW280" i="13"/>
  <c r="Z279" i="13"/>
  <c r="G273" i="13"/>
  <c r="AT275" i="13"/>
  <c r="J275" i="13"/>
  <c r="F275" i="13"/>
  <c r="G275" i="13" s="1"/>
  <c r="V281" i="13"/>
  <c r="V260" i="13"/>
  <c r="W272" i="13"/>
  <c r="AW279" i="13" l="1"/>
  <c r="AB279" i="13"/>
  <c r="AK280" i="13"/>
  <c r="AK260" i="13"/>
  <c r="G282" i="13"/>
  <c r="AW272" i="13"/>
  <c r="AB272" i="13"/>
  <c r="AN272" i="13"/>
  <c r="Y272" i="13"/>
  <c r="AV279" i="13"/>
  <c r="AX279" i="13"/>
  <c r="AK279" i="13"/>
  <c r="AQ279" i="13"/>
  <c r="AU272" i="13"/>
  <c r="E272" i="13"/>
  <c r="G281" i="13"/>
  <c r="AT272" i="13"/>
  <c r="J272" i="13"/>
  <c r="F272" i="13"/>
  <c r="G272" i="13" s="1"/>
  <c r="AV272" i="13"/>
  <c r="AX272" i="13"/>
  <c r="AK272" i="13"/>
  <c r="AU279" i="13"/>
  <c r="E279" i="13"/>
  <c r="S272" i="13"/>
  <c r="AT279" i="13"/>
  <c r="J279" i="13"/>
  <c r="F279" i="13"/>
  <c r="G279" i="13" s="1"/>
  <c r="G274" i="13"/>
  <c r="S279" i="13"/>
</calcChain>
</file>

<file path=xl/sharedStrings.xml><?xml version="1.0" encoding="utf-8"?>
<sst xmlns="http://schemas.openxmlformats.org/spreadsheetml/2006/main" count="671" uniqueCount="300">
  <si>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</si>
  <si>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</si>
  <si>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</si>
  <si>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</si>
  <si>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</si>
  <si>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Бюджет городского округа Урай</t>
  </si>
  <si>
    <t>Управление образования и молодежной политики администрации города Урай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</si>
  <si>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</si>
  <si>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</si>
  <si>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</si>
  <si>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</si>
  <si>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</si>
  <si>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</si>
  <si>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</si>
  <si>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</si>
  <si>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</si>
  <si>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</si>
  <si>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</si>
  <si>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</si>
  <si>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</si>
  <si>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</si>
  <si>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</si>
  <si>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</si>
  <si>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</si>
  <si>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</si>
  <si>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</si>
  <si>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</si>
  <si>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</si>
  <si>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</si>
  <si>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</si>
  <si>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</si>
  <si>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</si>
  <si>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</si>
  <si>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</si>
  <si>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</si>
  <si>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</si>
  <si>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</si>
  <si>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</si>
  <si>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</si>
  <si>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</si>
  <si>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</si>
  <si>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</si>
  <si>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</si>
  <si>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</si>
  <si>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</si>
  <si>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</si>
  <si>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</si>
  <si>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</si>
  <si>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</si>
  <si>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</si>
  <si>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</si>
  <si>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</si>
  <si>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</si>
  <si>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</si>
  <si>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</si>
  <si>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</si>
  <si>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</si>
  <si>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</si>
  <si>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</si>
  <si>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</si>
  <si>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</si>
  <si>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</si>
  <si>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</si>
  <si>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</si>
  <si>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</si>
  <si>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</si>
  <si>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</si>
  <si>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</si>
  <si>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</si>
  <si>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</si>
  <si>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</si>
  <si>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</si>
  <si>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</si>
  <si>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</si>
  <si>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</si>
  <si>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</si>
  <si>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</si>
  <si>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</si>
  <si>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</si>
  <si>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</si>
  <si>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</si>
  <si>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</si>
  <si>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</si>
  <si>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Поддержка инновационной деятельности дошкольных образовательных организаций (проведение грантовых конкурсов и  др.) (1, 2, 3, 4, 5)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</si>
  <si>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</si>
  <si>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</si>
  <si>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</si>
  <si>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</si>
  <si>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</si>
  <si>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</si>
  <si>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</si>
  <si>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</si>
  <si>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</si>
  <si>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</si>
  <si>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</si>
  <si>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</si>
  <si>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</si>
  <si>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</si>
  <si>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</si>
  <si>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</si>
  <si>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</si>
  <si>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Расходы на обеспечение деятельности (оказание услуг) муниципального автономного учреждения города Урай «Городской методический центр» (20, 21, 22)</t>
  </si>
  <si>
    <t>Расходы на обеспечение деятельности Управления образования и молодежной политики администрации города Урай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</si>
  <si>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</si>
  <si>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</si>
  <si>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</si>
  <si>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</si>
  <si>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</si>
  <si>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Организация питания обучающихся в муниципальных общеобразовательных организациях (23)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</si>
  <si>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 (24)</t>
  </si>
  <si>
    <t>6.2.</t>
  </si>
  <si>
    <t>Организация участия детей и молодежи в возрасте от 14 до 30 лет во всероссийских, окружных молодежных мероприятиях (24)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</si>
  <si>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</si>
  <si>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</si>
  <si>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</si>
  <si>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</si>
  <si>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</si>
  <si>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</si>
  <si>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</si>
  <si>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</si>
  <si>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</si>
  <si>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</si>
  <si>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</si>
  <si>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</si>
  <si>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 xml:space="preserve">Ответственный исполнитель
Управление образования и молодежной политики администрации города Урай
</t>
  </si>
  <si>
    <t>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</si>
  <si>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</si>
  <si>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и молодежной политики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</si>
  <si>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</si>
  <si>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И.В. Хусаинова</t>
  </si>
  <si>
    <t>тел.2-31-86 (822)</t>
  </si>
  <si>
    <t>Остатки прошлых лет</t>
  </si>
  <si>
    <t>Организация работы медицинского класса на базе МБОУ СОШ №4</t>
  </si>
  <si>
    <t>Приобретение кубков для проведения городской спартакиады школьников "Старты надежд"</t>
  </si>
  <si>
    <t>Предоставление метеоинформации (трансляция объявлений)</t>
  </si>
  <si>
    <t>Оплата услуг модератора</t>
  </si>
  <si>
    <t>Экономия по фактически сложившимся расходам на оплату труда специалистов</t>
  </si>
  <si>
    <t>Проведение тестирования руководителей МБДОУ "Детский сад №21" и МБОУ СОШ №4</t>
  </si>
  <si>
    <t>2.3.1.</t>
  </si>
  <si>
    <t>2.3.2.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</si>
  <si>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</si>
  <si>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</si>
  <si>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</si>
  <si>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(«Школа в микрорайоне Земля Санникова (Общеобразовательная организация с универсальной безбарьерной средой)»)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</si>
  <si>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</si>
  <si>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</si>
  <si>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</si>
  <si>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</si>
  <si>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</si>
  <si>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Управление образования и молодежной политики администрации города Урай; муниципальное казенное учреждение «Управление капитального строительства города Урай»</t>
  </si>
  <si>
    <t>Приобретение наборов LEGO для робототехники в МБУ ДО "ЦМДО"</t>
  </si>
  <si>
    <t>Оплата труда специалиста по организации выездного отдыха. Приобретение канцелярских товаров. Размещение рекламных материалов</t>
  </si>
  <si>
    <t>1.4.</t>
  </si>
  <si>
    <t>1.3.</t>
  </si>
  <si>
    <t>Приобретение формы для Парада Победы юнармейцам</t>
  </si>
  <si>
    <t>Приобретение и монтаж трансляционного оборудования МБДОУ "Детский сад №21"</t>
  </si>
  <si>
    <t>Приобртение оборудования военно-патриотической направленности</t>
  </si>
  <si>
    <t>Обеспечение защиты каналов связи. Приобретение оборудования и расходных материалов для проведения государственной итоговой аттестации. Выплата компенсации педагогам, привлекаемым к подготовке и проведению ГИА в пунктах проведения экзаменов</t>
  </si>
  <si>
    <t>Изготовление брендовой продукции при открытии Центра образования цифрового и гуманитарного профилей "Точка роста" на базе школы №12</t>
  </si>
  <si>
    <t>Приобретение оборудования для создания новых мест дополнительного образования детей на базе МБОУ Гимназия, МБОУ СОШ №2, 5 и МБУ ДО "ЦМДО"</t>
  </si>
  <si>
    <t>Приобретение оборудования для медицинского блока общеобразовательных организаций</t>
  </si>
  <si>
    <t xml:space="preserve">Обеспечение учащихся шести общеобразовательных организаций завтраками и обедами </t>
  </si>
  <si>
    <t>Организация муниципального этапа окружного иолодежного проекта "Лига молодых управленцев"</t>
  </si>
  <si>
    <t>Выплата ежемесячного денежного вознаграждения за классное руководство педагогическим работникам</t>
  </si>
  <si>
    <t>Выполнение работ по капитальному ремонту кровли здания МБОУ  Гимназия</t>
  </si>
  <si>
    <t xml:space="preserve">Выполнение проектно-сметной документации по объекту "Капитальный ремонт МБУ ДО ЦМДО". Выполнение проектно-сметной документаци и ценовой эксертизы по объекту  «Капитальный ремонт МБОУ СОШ №6» </t>
  </si>
  <si>
    <t>Подготовка образовательных организаций к началу нового учебного года (ремонт помещений, сетей водоснабжения, узлов учета теплоснабжения, замеры сопротивления электроизоляции, огнезащитная обработка, приобретение технологического оборудования). Обеспечение антитеррористической безопасности образовательных организаций (оборудование помещений для охраны)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</si>
  <si>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12 месяцев 2020 года</t>
  </si>
  <si>
    <t>Выплата компенсации части родительской платы за 12 месяцев 2020 года</t>
  </si>
  <si>
    <t>Предоставление электронных услуг Управлением образования и молодежной политики, образовательными организациями и МАУ "Ресурсный центр системы образования"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</si>
  <si>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12 месяцев 2020 года</t>
  </si>
  <si>
    <t>Обеспечение деятельности МБУ ДО "ЦМДО" в части содержания зданий и сооружений и прочих общехозяйственных расходов за 12 месяев 2020 года</t>
  </si>
  <si>
    <t>Обеспечение деятельности МАУ "Ресурсный центр системы образования" в части исполнения муниципального  задания за 12 месяцев 2020 года</t>
  </si>
  <si>
    <t>Осуществление деятельности по выплате компенсации части родительской платы (администрирование) за 12 месяцев 2020 года</t>
  </si>
  <si>
    <t>Расходы по содержанию аппарата Управления образования и молодежной политики за 12 месяцев 2020 года</t>
  </si>
  <si>
    <t>Приобретение технологического оборудовния и мебели в МБОУ Гимназия, мебели, сплит-системы, сушилок для рук, бактерицидных облучателей в МБОУ СОШ №2, снегоуборочной техники, шкафчиков для одежды в МБОУ СОШ №4, мебели для медицинского блока, микшерного пульта, светильника, бактерицидного облучателя-рециркулятора, питьевого фонтанчика в МБОУ СОШ №5.  Ремонт помещения здания МБОУ СОШ №12. Замена оконных блоков в МБУ ДО "ЦМДО"</t>
  </si>
  <si>
    <t>Обеспечение деятельности восьми дошкольных образовательных учреждений в части выполнения стандарта дошкольного образования  за 12 месяцев 2020 года Обустройство площадки под автогородок в МБДОУ "Детский сад №7 "Антошка"</t>
  </si>
  <si>
    <t>Ремонт крыльца центрального входа МБУ ДО "ЦМДО"</t>
  </si>
  <si>
    <t>Остаток средств в связи с отменой предоставления годовой статистической отчетности в автоматизированной информационной системе АВЕРС</t>
  </si>
  <si>
    <t xml:space="preserve">Участие учащихся в региональном этапе всероссийской олимпиады школьников, участие в полуфинале всероссийского конкурса "Большая перемена". Награждение именными премиями ООО "ЛУКойл-Западная Сибирь" и премиями Главы города Урай учащихся общеобразовательных организаций. </t>
  </si>
  <si>
    <t>Изготовление инвентаря для организации муниципального этапа конкурса "Безопасное колесо-2020"</t>
  </si>
  <si>
    <t>Экономия по фактическим расходам на выплату ежемесячного денежного вознаграждения за классное руководство педагогическим работникам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</si>
  <si>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12 месяцев 2020 года. Приобретение жалюзи в МБОУ СОШ №4</t>
  </si>
  <si>
    <t>Организация и проведение городского педагогического совещания. Организация вебинаров для педагогов общеобразовательных организаций</t>
  </si>
  <si>
    <t>Обновление доски почета работников образованич и молодежной политики города Урай. Организация конкурса профессионального мастерства "Педагог года"</t>
  </si>
  <si>
    <t>Экономия по фактически начисленной  заработной плате и больничным лисам работникам, оплатой услуг связи по факту</t>
  </si>
  <si>
    <t>Экономия средств по фактически сложившимся расходам на размещение информации о погодных условиях в СМИ</t>
  </si>
  <si>
    <t>Экономия за счет дней, пропущенных учащимися по причине болезни и в связи с проведением карантинных мероприятий в период коронавирусной инфекции COVID-2019</t>
  </si>
  <si>
    <t>Вручение ежегодной молодежной премии Главы "Лауреат премии главы города"/ Проведение городского слета волонтеров "Волонтер - это стиль жизни". Проведение городского молодежного фестиваля "Моя идея"</t>
  </si>
  <si>
    <t>Осуществление деятельности муниципального ресурсного Центра развития и поддержки добровольчества (волонтерства) города Урай. Приобретение экипировки для волонтеров. Организация информационных мероприятий для молодежи. Организация и проведение образовательно-развлекательных игр "Инры разума"</t>
  </si>
  <si>
    <t>Организация он-лайн лагеря дневного пребывания детей в период летних и осенних каникул</t>
  </si>
  <si>
    <t>Финансирование согласно фактически списанных средств с сертифткатов в рамках заключенных договоров на предоставление дополнительного образования</t>
  </si>
  <si>
    <t>Экономия по итогам проведения закупок конкурентным способом по оборудованию новых мест дополнительного образования детей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</si>
  <si>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12 месяцев 2020 года</t>
  </si>
  <si>
    <t>Выполнение работ по ремонту кровли здания МБУ ДО "ЦМДО". Выполнение капитального ремонта МБОУ СОШ №6. Реконструкция МДОУ "Детский сад №19 "Радость"</t>
  </si>
  <si>
    <t>Таблица 2</t>
  </si>
  <si>
    <t>ОТЧЕТ</t>
  </si>
  <si>
    <t>№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</si>
  <si>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</si>
  <si>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</si>
  <si>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</si>
  <si>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</si>
  <si>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</si>
  <si>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</si>
  <si>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</si>
  <si>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t>Численность воспитанников в возрасте до трех лет, посещающих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</si>
  <si>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Чел.</t>
  </si>
  <si>
    <t>Всем желающим детям предоставлена возможность посещать дошкольную образовательную организацию</t>
  </si>
  <si>
    <t>Доля детей в возрасте от 2 месяцев до 7 лет, стоящих на учете для определения в муниципальные дошкольные образовательные организации, в общей численности детей в возрасте от 2 месяцев до 7 лет</t>
  </si>
  <si>
    <t>%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</si>
  <si>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от 1до 6 лет</t>
  </si>
  <si>
    <t>Доля детей в возрасте от 1 до 6 лет, стоящих на учете для определения в муниципальные дошкольные образовательные организации, в общей численности детей в возрасте от 1 до 6 лет</t>
  </si>
  <si>
    <t xml:space="preserve">Доступность дошкольного образования для детей в возрасте от полутора до трех лет </t>
  </si>
  <si>
    <t>Доля муниципальных образовательных организаций, соответствующих современным требованиям обучения, в общем количестве муниципальных образовательных организаций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</si>
  <si>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</si>
  <si>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Доля муниципальных общеобразовательных организаций, имеющих современную и безопасную цифровую образовательную среду, в общем количестве муниципальных общеобразовательных организаций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</si>
  <si>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числе муниципальных общеобразовательных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</si>
  <si>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</si>
  <si>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Доля негосударственных, в том числе некоммерческих, организаций, предоставляющих услуги в сфере   образования, в общем числе организаций, предоставляющих услуги в сфере  образования</t>
  </si>
  <si>
    <t>Доля детей в возрасте от 5 до 18 лет, обучающихся по дополнительным общеобразовательным программам естественнонаучной и технической направленности</t>
  </si>
  <si>
    <t>Доля обучающихся, воспитанников, ставших победителями и призерами в мероприятиях на региональном, всероссийском уровне, от общего количества участников от города Урай</t>
  </si>
  <si>
    <t>Показатель перевыполнен за счет  увеличения количества победителей и призеров</t>
  </si>
  <si>
    <t>Доля образовательных организаций, реализующих инновационные программы, обеспечивающих отработку новых технологий содержания обучения и воспитания по итогам конкурса</t>
  </si>
  <si>
    <t>Доля выпускников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сдававших единый государственный экзамен по данным предметам</t>
  </si>
  <si>
    <t xml:space="preserve">Доля обучающихся, участвующих в мероприятиях и проектах различного уровня, направленных на развитие и  воспитание детей и подростков, в общей численности обучающихся в муниципальных общеобразовательных организациях    </t>
  </si>
  <si>
    <t>Показатель перевыполнен за счет  увеличения обучающихся, участвующих в мероприятиях и проектах различного уровня</t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</si>
  <si>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</si>
  <si>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</si>
  <si>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Тыс.руб.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</si>
  <si>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 профессионального образования</t>
  </si>
  <si>
    <t>Млн.чел</t>
  </si>
  <si>
    <t>Показатель перевыполнен за счет  увеличения охвата обучающихся, вовлеченных в деятельность общественных объединений</t>
  </si>
  <si>
    <t>Доля учителей, охваченных национальной системой профессионального роста педагогических работников, от общего количества учителей муниципальных общеобразовательных организаций</t>
  </si>
  <si>
    <t>Показатель перевыполнен за счет увеличения количества педагогических работников, охваченных национальной системой профессионального роста</t>
  </si>
  <si>
    <t>Доля педагогических работников, повысивших уровень квалификации через участие в курсах повышения квалификации, стажировках, семинарах</t>
  </si>
  <si>
    <t>Показатель перевыполнен за счет увеличения количества педагогических работников, повысивших уровень квалификации</t>
  </si>
  <si>
    <t>22.</t>
  </si>
  <si>
    <t>Доля детей, получивших психолого-педагогическую, диагностическую помощь, от общего числа детей, обучающихся в муниципальных образовательных организациях</t>
  </si>
  <si>
    <t>23.</t>
  </si>
  <si>
    <t>Доля детей первой и второй групп здоровья в общей численности обучающихся в муниципальных общеобразовательных организациях</t>
  </si>
  <si>
    <t>Показатель перевыполнен за счет  реализации плана межведомственного взаимодействия, направленного на решение вопросов по формированию ценности здорового и безопасного образа жизни детей и подростков на 2018-2020 годы, внедрения здоровьесберегающих технологий</t>
  </si>
  <si>
    <t>24.</t>
  </si>
  <si>
    <t>Доля детей и молодежи (14-30 лет), участвующих в молодежных проектах и мероприятиях, направленных на поддержку, развитие созидательной активности детей и молодежи, реализацию ее творческого потенциала, по отношению к общей численности указанной категории</t>
  </si>
  <si>
    <t>25.</t>
  </si>
  <si>
    <t>Доля детей и молодежи в возрасте от 14 до 30 лет, вовлеченных в мероприятия, направленные на пропаганду здорового образа жизни, по отношению к общей численности указанной категории</t>
  </si>
  <si>
    <t>Показатель перевыполнен за счет  увеличения детей и молодежи, вовлеченных в мероприятия, направленные на пропаганду здорового образа жизни</t>
  </si>
  <si>
    <t>26.</t>
  </si>
  <si>
    <t>Доля детей и молодежи (14-30 лет),  вовлеченных в добровольческую деятельность &lt;4&gt;</t>
  </si>
  <si>
    <t>Показатель перевыполнен за счет  увеличения детей и молодежи,  вовлеченных в добровольческую деятельность</t>
  </si>
  <si>
    <t>27.</t>
  </si>
  <si>
    <t>Доля детей, прошедших оздоровление в организациях отдыха детей и их оздоровления, расположенных в городе Урай и за его пределами, от общей численности детей</t>
  </si>
  <si>
    <t>Ответственный исполнитель (соисполнитель) муниципальной программы:</t>
  </si>
  <si>
    <t>Исполнитель: Грунина И.Ю.</t>
  </si>
  <si>
    <t>Тел.: 8(34676) 23169 (доб.803)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</si>
  <si>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</si>
  <si>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</si>
  <si>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</si>
  <si>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</si>
  <si>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</si>
  <si>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</si>
  <si>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</si>
  <si>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</si>
  <si>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</si>
  <si>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</si>
  <si>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</si>
  <si>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</si>
  <si>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</si>
  <si>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</si>
  <si>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</si>
  <si>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</si>
  <si>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</si>
  <si>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</si>
  <si>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</si>
  <si>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</si>
  <si>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</si>
  <si>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о достижении целевых показателей муниципальной программы за 2020 год</t>
  </si>
  <si>
    <t>Неисполнение в связи с несвоевременной поставкой технологического оборудования для пищеблока МБОУ СОШ №4 (окончательная поставка в 2021 году).Экономия по фактическим расходам на выплату ежемесячного денежного вознаграждения за классное руководство педагогическим работникам. Остаток средств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связи с возвратом средств ФСС в конце 2020 года. Экономия по организации питания за счет дней, пропущенных учащимися по причине болезни и в связи с проведением карантинных мероприятий в период коронавирусной инфекции COVID-2019</t>
  </si>
  <si>
    <t xml:space="preserve">Показатель не достигнут ввиду фактического количества детей до трех лет, желающих посещать детские сады. </t>
  </si>
  <si>
    <t>По данным актуального спроса (число желающих родителей посещать детский сад в 2020 году)</t>
  </si>
  <si>
    <t>Показатель  не выполнен ввиду выполнения Постановления Главного санитарного врача от 30.06.2020 №16 в условиях пандемии и увеличением общего количества обучающихся.</t>
  </si>
  <si>
    <t>Показатель выполнен. Требуется капитальный ремонт МБОУ СОШ №6</t>
  </si>
  <si>
    <t>Показатель выполнен. Требуется капитальный ремонт МБДОУ №19</t>
  </si>
  <si>
    <t xml:space="preserve">Показатель не выполнен ввиду отсутствия потребности родителей и обучающихся. По сравнению с 2019 годом наблюдается положительная динамика данного показателя (+4,2%) </t>
  </si>
  <si>
    <t>Показатель перевыполнен за счет  увеличения количества организаций, реализующих инновационные программы</t>
  </si>
  <si>
    <t xml:space="preserve">Показатель не выполнен ввиду введения в 2020 году особенностей проведения ЕГЭ и отсутствия возможности для пересдачи неудовлетворительных результатов. </t>
  </si>
  <si>
    <t xml:space="preserve">Показатель не выполнен ввиду снижения охвата детей в ведомстве «Культура», снижения показателя в школе для обучающихся с ОВЗ, уменьшения объема платных услуг в детских садах по причине пандемии </t>
  </si>
  <si>
    <t>Показатель выполнен за счет увеличения количества детей, прошедших обследование в территориальной психолого – медико – педагогической комиссии города Урай</t>
  </si>
  <si>
    <t>Показатель перевыполнен за счет  увеличения детей и молодежи, участвующих в творческих проектах и мероприятиях</t>
  </si>
  <si>
    <t>Показатель не выполнен ввиду введения на территории ХМАО-Югры режима повышенной готовности  и запрета на выезд детей за пределы города</t>
  </si>
  <si>
    <r>
      <t>«</t>
    </r>
    <r>
      <rPr>
        <u/>
        <sz val="12"/>
        <color theme="1"/>
        <rFont val="Times New Roman"/>
        <family val="1"/>
        <charset val="204"/>
      </rPr>
      <t>29</t>
    </r>
    <r>
      <rPr>
        <sz val="12"/>
        <color theme="1"/>
        <rFont val="Times New Roman"/>
        <family val="1"/>
        <charset val="204"/>
      </rPr>
      <t>» января 2021г.  подпись____________Ю.А. Чигинцева</t>
    </r>
  </si>
  <si>
    <t>Ю.А. Чигинцева</t>
  </si>
  <si>
    <t>Исполняющий обязанности начальника УОиМП</t>
  </si>
  <si>
    <t xml:space="preserve">Экономия по фактическим расходам по  ремонту кровли здания МБУ ДО "ЦМДО" в суммк 740,9 тыс.руб. Остаток средств по капитальному ремонту МБОУ СОШ №6 в сумме 211.4 тыс.руб.. Остаток средств планируется перенести на 2 этап выполнения работ по капитальному ремонту МБОУ СОШ №6. А так же неисполнение ссредств в сумме 1739,7 тыс.руб. на проведения реконструкции МДОУ "Детский сад №19 "Радость". По итогам проведенных торгов  сложилась экономия в сумме 589,8 тыс ркб. Средства в сумме 1149,9 тыс.руб. будут освоены в 2021 году. </t>
  </si>
  <si>
    <t>Неисполнение в связи с несвоевременной поставкой технологического оборудования для пищеблока МБОУ СОШ №4 (окончательная поставка в 2021 году). Оплата согласно условий договора поставки</t>
  </si>
  <si>
    <t>Остаток средств в связи с возвратом средств ФСС в конце 2020 года в сумме 1074,8 тыс.руб. за 2019 год и 1250,9 тыс руб за 2020 год. Экономия в сумме 77.3 тыс.руб. по фактическим расходам на выплату ежемесячного денежного вознаграждения за классное руководство педагогическим работникам</t>
  </si>
  <si>
    <t>Обеспечение персонифицированного финансирования дополнительного образования детей (1309 сертификатов)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</si>
  <si>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</si>
  <si>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</si>
  <si>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</si>
  <si>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Причины отклонения фактически исполненных расходных обязательств от запланированных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</si>
</sst>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0_р_._-;\-* #,##0.000_р_._-;_-* &quot;-&quot;?_р_._-;_-@_-"/>
    <numFmt numFmtId="168" formatCode="_(* #,##0.00_);_(* \(#,##0.00\);_(* &quot;-&quot;??_);_(@_)"/>
    <numFmt numFmtId="169" formatCode="0.0%"/>
    <numFmt numFmtId="170" formatCode="_-* #,##0.00000_р_._-;\-* #,##0.00000_р_._-;_-* &quot;-&quot;?_р_._-;_-@_-"/>
    <numFmt numFmtId="171" formatCode="_-* #,##0.000000_р_._-;\-* #,##0.000000_р_._-;_-* &quot;-&quot;?_р_._-;_-@_-"/>
    <numFmt numFmtId="172" formatCode="_-* #,##0.00000_р_._-;\-* #,##0.00000_р_._-;_-* &quot;-&quot;??_р_._-;_-@_-"/>
    <numFmt numFmtId="173" formatCode="_-* #,##0.00000_р_._-;\-* #,##0.00000_р_._-;_-* &quot;-&quot;???_р_._-;_-@_-"/>
    <numFmt numFmtId="174" formatCode="_-* #,##0.0000_р_._-;\-* #,##0.0000_р_._-;_-* &quot;-&quot;??_р_._-;_-@_-"/>
    <numFmt numFmtId="175" formatCode="0.0"/>
  </numFmts>
  <fonts count="24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79">
    <xf numFmtId="0" fontId="0" fillId="0" borderId="0" xfId="0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Alignment="1">
      <alignment horizontal="right"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5" fillId="2" borderId="0" xfId="1" applyNumberFormat="1" applyFont="1" applyFill="1" applyBorder="1" applyAlignment="1">
      <alignment horizontal="left" vertical="center" wrapText="1"/>
    </xf>
    <xf numFmtId="169" fontId="3" fillId="2" borderId="1" xfId="3" applyNumberFormat="1" applyFont="1" applyFill="1" applyBorder="1" applyAlignment="1">
      <alignment horizontal="center" vertical="top" wrapText="1"/>
    </xf>
    <xf numFmtId="169" fontId="10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0" fillId="2" borderId="1" xfId="1" applyNumberFormat="1" applyFont="1" applyFill="1" applyBorder="1" applyAlignment="1">
      <alignment horizontal="center" vertical="top"/>
    </xf>
    <xf numFmtId="9" fontId="12" fillId="2" borderId="0" xfId="3" applyFont="1" applyFill="1" applyBorder="1"/>
    <xf numFmtId="0" fontId="1" fillId="2" borderId="0" xfId="0" applyFont="1" applyFill="1"/>
    <xf numFmtId="0" fontId="13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2" borderId="1" xfId="0" applyFont="1" applyFill="1" applyBorder="1"/>
    <xf numFmtId="0" fontId="15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173" fontId="1" fillId="2" borderId="0" xfId="0" applyNumberFormat="1" applyFont="1" applyFill="1"/>
    <xf numFmtId="174" fontId="11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justify" vertical="top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/>
    <xf numFmtId="166" fontId="3" fillId="2" borderId="1" xfId="1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Border="1"/>
    <xf numFmtId="166" fontId="6" fillId="2" borderId="0" xfId="1" applyNumberFormat="1" applyFont="1" applyFill="1" applyAlignment="1"/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74" fontId="3" fillId="2" borderId="1" xfId="1" applyNumberFormat="1" applyFont="1" applyFill="1" applyBorder="1" applyAlignment="1">
      <alignment horizontal="center" vertical="top" wrapText="1"/>
    </xf>
    <xf numFmtId="169" fontId="12" fillId="2" borderId="0" xfId="3" applyNumberFormat="1" applyFont="1" applyFill="1" applyBorder="1"/>
    <xf numFmtId="0" fontId="6" fillId="2" borderId="0" xfId="0" applyFont="1" applyFill="1" applyBorder="1"/>
    <xf numFmtId="165" fontId="2" fillId="2" borderId="1" xfId="0" applyNumberFormat="1" applyFont="1" applyFill="1" applyBorder="1" applyAlignment="1">
      <alignment horizontal="left" vertical="top" wrapText="1"/>
    </xf>
    <xf numFmtId="0" fontId="16" fillId="2" borderId="0" xfId="0" applyFont="1" applyFill="1"/>
    <xf numFmtId="167" fontId="16" fillId="2" borderId="0" xfId="0" applyNumberFormat="1" applyFont="1" applyFill="1"/>
    <xf numFmtId="167" fontId="17" fillId="2" borderId="0" xfId="0" applyNumberFormat="1" applyFont="1" applyFill="1"/>
    <xf numFmtId="170" fontId="16" fillId="2" borderId="0" xfId="0" applyNumberFormat="1" applyFont="1" applyFill="1"/>
    <xf numFmtId="167" fontId="16" fillId="3" borderId="0" xfId="0" applyNumberFormat="1" applyFont="1" applyFill="1"/>
    <xf numFmtId="171" fontId="16" fillId="2" borderId="0" xfId="0" applyNumberFormat="1" applyFont="1" applyFill="1"/>
    <xf numFmtId="166" fontId="6" fillId="2" borderId="0" xfId="1" applyNumberFormat="1" applyFont="1" applyFill="1" applyAlignment="1">
      <alignment wrapText="1"/>
    </xf>
    <xf numFmtId="164" fontId="7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18" fillId="2" borderId="1" xfId="1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9" fillId="0" borderId="1" xfId="0" applyFont="1" applyBorder="1" applyAlignment="1">
      <alignment horizontal="justify" vertical="top" wrapText="1"/>
    </xf>
    <xf numFmtId="175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center" vertical="top" wrapText="1"/>
    </xf>
    <xf numFmtId="175" fontId="19" fillId="0" borderId="2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0" fontId="6" fillId="2" borderId="8" xfId="0" applyFont="1" applyFill="1" applyBorder="1"/>
    <xf numFmtId="0" fontId="6" fillId="0" borderId="1" xfId="0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03"/>
  <sheetViews>
    <sheetView tabSelected="1" zoomScale="90" zoomScaleNormal="9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F82" sqref="F82"/>
    </sheetView>
  </sheetViews>
  <sheetFormatPr defaultColWidth="9.109375" defaultRowHeight="14.4" x14ac:dyDescent="0.3"/>
  <cols>
    <col min="1" max="1" width="4.5546875" style="28" customWidth="1"/>
    <col min="2" max="2" width="42.6640625" style="28" customWidth="1"/>
    <col min="3" max="3" width="28.6640625" style="28" customWidth="1"/>
    <col min="4" max="4" width="23.33203125" style="28" customWidth="1"/>
    <col min="5" max="6" width="10.5546875" style="28" customWidth="1"/>
    <col min="7" max="7" width="8.5546875" style="28" customWidth="1"/>
    <col min="8" max="9" width="9.88671875" style="28" bestFit="1" customWidth="1"/>
    <col min="10" max="10" width="8.44140625" style="28" bestFit="1" customWidth="1"/>
    <col min="11" max="11" width="10.44140625" style="28" customWidth="1"/>
    <col min="12" max="12" width="8.109375" style="28" customWidth="1"/>
    <col min="13" max="13" width="7.33203125" style="28" customWidth="1"/>
    <col min="14" max="14" width="8" style="28" customWidth="1"/>
    <col min="15" max="15" width="8.5546875" style="28" customWidth="1"/>
    <col min="16" max="16" width="7.33203125" style="28" customWidth="1"/>
    <col min="17" max="17" width="8" style="28" customWidth="1"/>
    <col min="18" max="18" width="8.109375" style="28" customWidth="1"/>
    <col min="19" max="19" width="7.44140625" style="28" customWidth="1"/>
    <col min="20" max="20" width="8.6640625" style="28" customWidth="1"/>
    <col min="21" max="21" width="8.33203125" style="28" customWidth="1"/>
    <col min="22" max="22" width="8.109375" style="28" customWidth="1"/>
    <col min="23" max="23" width="8" style="28" customWidth="1"/>
    <col min="24" max="24" width="9.109375" style="28" customWidth="1"/>
    <col min="25" max="25" width="7.33203125" style="28" customWidth="1"/>
    <col min="26" max="27" width="10.5546875" style="28" customWidth="1"/>
    <col min="28" max="28" width="7.44140625" style="28" customWidth="1"/>
    <col min="29" max="29" width="8.33203125" style="28" customWidth="1"/>
    <col min="30" max="30" width="7.44140625" style="28" customWidth="1"/>
    <col min="31" max="31" width="8.44140625" style="28" customWidth="1"/>
    <col min="32" max="32" width="8.33203125" style="28" customWidth="1"/>
    <col min="33" max="33" width="8" style="28" customWidth="1"/>
    <col min="34" max="34" width="9.6640625" style="28" customWidth="1"/>
    <col min="35" max="35" width="8.5546875" style="28" customWidth="1"/>
    <col min="36" max="36" width="8.33203125" style="28" customWidth="1"/>
    <col min="37" max="37" width="9.6640625" style="28" customWidth="1"/>
    <col min="38" max="38" width="9" style="28" customWidth="1"/>
    <col min="39" max="40" width="9.6640625" style="28" customWidth="1"/>
    <col min="41" max="41" width="11.44140625" style="28" customWidth="1"/>
    <col min="42" max="43" width="10.6640625" style="28" customWidth="1"/>
    <col min="44" max="44" width="30.5546875" style="28" customWidth="1"/>
    <col min="45" max="45" width="30" style="28" customWidth="1"/>
    <col min="46" max="46" width="9.33203125" style="28" customWidth="1"/>
    <col min="47" max="50" width="15.33203125" style="28" customWidth="1"/>
    <col min="51" max="16384" width="9.109375" style="28"/>
  </cols>
  <sheetData>
    <row r="1" spans="1:50" x14ac:dyDescent="0.3">
      <c r="A1" s="135" t="s">
        <v>193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21"/>
    </row>
    <row r="2" spans="1:50" x14ac:dyDescent="0.3">
      <c r="A2" s="121"/>
      <c r="B2" s="121"/>
      <c r="C2" s="121"/>
      <c r="D2" s="121"/>
      <c r="E2" s="121"/>
      <c r="F2" s="123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1:50" x14ac:dyDescent="0.3">
      <c r="A3" s="135" t="s">
        <v>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21"/>
    </row>
    <row r="4" spans="1:50" x14ac:dyDescent="0.3">
      <c r="A4" s="29"/>
      <c r="B4" s="29"/>
      <c r="C4" s="29"/>
      <c r="D4" s="29"/>
      <c r="E4" s="30"/>
      <c r="F4" s="55"/>
      <c r="G4" s="30"/>
      <c r="H4" s="31"/>
      <c r="I4" s="31"/>
      <c r="J4" s="31"/>
      <c r="K4" s="32"/>
      <c r="L4" s="32"/>
      <c r="M4" s="32"/>
      <c r="N4" s="29"/>
      <c r="O4" s="29"/>
      <c r="P4" s="29"/>
      <c r="Q4" s="29"/>
      <c r="R4" s="29"/>
      <c r="S4" s="29"/>
      <c r="T4" s="29"/>
      <c r="U4" s="29"/>
      <c r="V4" s="29"/>
      <c r="W4" s="53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33"/>
      <c r="AP4" s="34"/>
      <c r="AQ4" s="34"/>
      <c r="AU4" s="54"/>
    </row>
    <row r="5" spans="1:50" ht="15" customHeight="1" x14ac:dyDescent="0.3">
      <c r="A5" s="136" t="s">
        <v>119</v>
      </c>
      <c r="B5" s="136" t="s">
        <v>296</v>
      </c>
      <c r="C5" s="136" t="s">
        <v>297</v>
      </c>
      <c r="D5" s="136" t="s">
        <v>0</v>
      </c>
      <c r="E5" s="136" t="s">
        <v>298</v>
      </c>
      <c r="F5" s="136"/>
      <c r="G5" s="136"/>
      <c r="H5" s="137" t="s">
        <v>36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9"/>
      <c r="AR5" s="140" t="s">
        <v>37</v>
      </c>
      <c r="AS5" s="140" t="s">
        <v>299</v>
      </c>
      <c r="AT5" s="35"/>
    </row>
    <row r="6" spans="1:50" x14ac:dyDescent="0.3">
      <c r="A6" s="136"/>
      <c r="B6" s="136"/>
      <c r="C6" s="136"/>
      <c r="D6" s="136"/>
      <c r="E6" s="136"/>
      <c r="F6" s="136"/>
      <c r="G6" s="136"/>
      <c r="H6" s="136" t="s">
        <v>24</v>
      </c>
      <c r="I6" s="136"/>
      <c r="J6" s="136"/>
      <c r="K6" s="136" t="s">
        <v>25</v>
      </c>
      <c r="L6" s="136"/>
      <c r="M6" s="136"/>
      <c r="N6" s="136" t="s">
        <v>26</v>
      </c>
      <c r="O6" s="136"/>
      <c r="P6" s="136"/>
      <c r="Q6" s="136" t="s">
        <v>27</v>
      </c>
      <c r="R6" s="136"/>
      <c r="S6" s="136"/>
      <c r="T6" s="136" t="s">
        <v>28</v>
      </c>
      <c r="U6" s="136"/>
      <c r="V6" s="136"/>
      <c r="W6" s="136" t="s">
        <v>29</v>
      </c>
      <c r="X6" s="136"/>
      <c r="Y6" s="136"/>
      <c r="Z6" s="136" t="s">
        <v>30</v>
      </c>
      <c r="AA6" s="136"/>
      <c r="AB6" s="136"/>
      <c r="AC6" s="136" t="s">
        <v>31</v>
      </c>
      <c r="AD6" s="136"/>
      <c r="AE6" s="136"/>
      <c r="AF6" s="136" t="s">
        <v>32</v>
      </c>
      <c r="AG6" s="136"/>
      <c r="AH6" s="136"/>
      <c r="AI6" s="136" t="s">
        <v>33</v>
      </c>
      <c r="AJ6" s="136"/>
      <c r="AK6" s="136"/>
      <c r="AL6" s="136" t="s">
        <v>34</v>
      </c>
      <c r="AM6" s="136"/>
      <c r="AN6" s="136"/>
      <c r="AO6" s="136" t="s">
        <v>35</v>
      </c>
      <c r="AP6" s="136"/>
      <c r="AQ6" s="136"/>
      <c r="AR6" s="141"/>
      <c r="AS6" s="141"/>
      <c r="AT6" s="35"/>
    </row>
    <row r="7" spans="1:50" ht="24.6" x14ac:dyDescent="0.3">
      <c r="A7" s="136"/>
      <c r="B7" s="136"/>
      <c r="C7" s="136"/>
      <c r="D7" s="136"/>
      <c r="E7" s="56" t="s">
        <v>42</v>
      </c>
      <c r="F7" s="56" t="s">
        <v>43</v>
      </c>
      <c r="G7" s="57" t="s">
        <v>41</v>
      </c>
      <c r="H7" s="56" t="s">
        <v>42</v>
      </c>
      <c r="I7" s="56" t="s">
        <v>43</v>
      </c>
      <c r="J7" s="57" t="s">
        <v>41</v>
      </c>
      <c r="K7" s="56" t="s">
        <v>42</v>
      </c>
      <c r="L7" s="56" t="s">
        <v>43</v>
      </c>
      <c r="M7" s="57" t="s">
        <v>41</v>
      </c>
      <c r="N7" s="56" t="s">
        <v>42</v>
      </c>
      <c r="O7" s="56" t="s">
        <v>43</v>
      </c>
      <c r="P7" s="57" t="s">
        <v>41</v>
      </c>
      <c r="Q7" s="56" t="s">
        <v>42</v>
      </c>
      <c r="R7" s="56" t="s">
        <v>43</v>
      </c>
      <c r="S7" s="57" t="s">
        <v>41</v>
      </c>
      <c r="T7" s="56" t="s">
        <v>42</v>
      </c>
      <c r="U7" s="56" t="s">
        <v>43</v>
      </c>
      <c r="V7" s="57" t="s">
        <v>41</v>
      </c>
      <c r="W7" s="56" t="s">
        <v>42</v>
      </c>
      <c r="X7" s="56" t="s">
        <v>43</v>
      </c>
      <c r="Y7" s="57" t="s">
        <v>41</v>
      </c>
      <c r="Z7" s="56" t="s">
        <v>42</v>
      </c>
      <c r="AA7" s="56" t="s">
        <v>43</v>
      </c>
      <c r="AB7" s="57" t="s">
        <v>41</v>
      </c>
      <c r="AC7" s="56" t="s">
        <v>42</v>
      </c>
      <c r="AD7" s="56" t="s">
        <v>43</v>
      </c>
      <c r="AE7" s="57" t="s">
        <v>41</v>
      </c>
      <c r="AF7" s="56" t="s">
        <v>42</v>
      </c>
      <c r="AG7" s="56" t="s">
        <v>43</v>
      </c>
      <c r="AH7" s="57" t="s">
        <v>41</v>
      </c>
      <c r="AI7" s="56" t="s">
        <v>42</v>
      </c>
      <c r="AJ7" s="56" t="s">
        <v>43</v>
      </c>
      <c r="AK7" s="57" t="s">
        <v>41</v>
      </c>
      <c r="AL7" s="56" t="s">
        <v>42</v>
      </c>
      <c r="AM7" s="56" t="s">
        <v>43</v>
      </c>
      <c r="AN7" s="57" t="s">
        <v>41</v>
      </c>
      <c r="AO7" s="56" t="s">
        <v>42</v>
      </c>
      <c r="AP7" s="56" t="s">
        <v>43</v>
      </c>
      <c r="AQ7" s="57" t="s">
        <v>41</v>
      </c>
      <c r="AR7" s="142"/>
      <c r="AS7" s="142"/>
      <c r="AT7" s="35"/>
      <c r="AU7" s="52">
        <v>1</v>
      </c>
      <c r="AV7" s="52">
        <v>2</v>
      </c>
      <c r="AW7" s="52">
        <v>3</v>
      </c>
      <c r="AX7" s="52">
        <v>4</v>
      </c>
    </row>
    <row r="8" spans="1:50" ht="15.6" x14ac:dyDescent="0.3">
      <c r="A8" s="119" t="s">
        <v>45</v>
      </c>
      <c r="B8" s="37" t="s">
        <v>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6"/>
      <c r="AS8" s="36"/>
      <c r="AT8" s="80"/>
      <c r="AU8" s="83"/>
      <c r="AV8" s="83"/>
      <c r="AW8" s="83"/>
      <c r="AX8" s="83"/>
    </row>
    <row r="9" spans="1:50" ht="15.75" customHeight="1" x14ac:dyDescent="0.3">
      <c r="A9" s="127" t="s">
        <v>1</v>
      </c>
      <c r="B9" s="127" t="s">
        <v>83</v>
      </c>
      <c r="C9" s="127" t="s">
        <v>6</v>
      </c>
      <c r="D9" s="38" t="s">
        <v>3</v>
      </c>
      <c r="E9" s="24">
        <f>H9+K9+N9+Q9+T9+W9+Z9+AC9+AF9+AI9+AL9+AO9</f>
        <v>250</v>
      </c>
      <c r="F9" s="24">
        <f>I9+L9+O9+R9+U9+X9+AA9+AD9+AG9+AJ9+AM9+AP9</f>
        <v>250</v>
      </c>
      <c r="G9" s="25">
        <f>F9/E9*100</f>
        <v>100</v>
      </c>
      <c r="H9" s="24">
        <f>H10+H11+H12+H13</f>
        <v>0</v>
      </c>
      <c r="I9" s="24"/>
      <c r="J9" s="24"/>
      <c r="K9" s="24">
        <f t="shared" ref="K9:AO9" si="0">K10+K11+K12+K13</f>
        <v>0</v>
      </c>
      <c r="L9" s="24"/>
      <c r="M9" s="24"/>
      <c r="N9" s="24">
        <f t="shared" si="0"/>
        <v>0</v>
      </c>
      <c r="O9" s="24"/>
      <c r="P9" s="24"/>
      <c r="Q9" s="24">
        <f t="shared" si="0"/>
        <v>0</v>
      </c>
      <c r="R9" s="24">
        <f t="shared" si="0"/>
        <v>0</v>
      </c>
      <c r="S9" s="25"/>
      <c r="T9" s="24">
        <f t="shared" si="0"/>
        <v>0</v>
      </c>
      <c r="U9" s="24"/>
      <c r="V9" s="24"/>
      <c r="W9" s="24">
        <f t="shared" si="0"/>
        <v>0</v>
      </c>
      <c r="X9" s="24">
        <f t="shared" si="0"/>
        <v>0</v>
      </c>
      <c r="Y9" s="25"/>
      <c r="Z9" s="24">
        <f t="shared" si="0"/>
        <v>250</v>
      </c>
      <c r="AA9" s="24">
        <f t="shared" si="0"/>
        <v>250</v>
      </c>
      <c r="AB9" s="25">
        <f>AA9/Z9*100</f>
        <v>100</v>
      </c>
      <c r="AC9" s="24">
        <f t="shared" si="0"/>
        <v>0</v>
      </c>
      <c r="AD9" s="24">
        <f t="shared" si="0"/>
        <v>0</v>
      </c>
      <c r="AE9" s="24"/>
      <c r="AF9" s="24">
        <f t="shared" si="0"/>
        <v>0</v>
      </c>
      <c r="AG9" s="24"/>
      <c r="AH9" s="24"/>
      <c r="AI9" s="24">
        <f t="shared" si="0"/>
        <v>0</v>
      </c>
      <c r="AJ9" s="24"/>
      <c r="AK9" s="24"/>
      <c r="AL9" s="24">
        <f t="shared" si="0"/>
        <v>0</v>
      </c>
      <c r="AM9" s="24"/>
      <c r="AN9" s="24"/>
      <c r="AO9" s="24">
        <f t="shared" si="0"/>
        <v>0</v>
      </c>
      <c r="AP9" s="24"/>
      <c r="AQ9" s="24"/>
      <c r="AR9" s="36"/>
      <c r="AS9" s="36"/>
      <c r="AT9" s="80">
        <f>(I9+L9+O9+R9+U9+X9+AA9+AD9+AG9+AJ9+AM9+AP9)/(H9+K9+N9+Q9+T9+W9+Z9+AC9+AF9+AI9+AL9+AO9)</f>
        <v>1</v>
      </c>
      <c r="AU9" s="84">
        <f>H9+K9+N9</f>
        <v>0</v>
      </c>
      <c r="AV9" s="84">
        <f>Q9+T9+W9</f>
        <v>0</v>
      </c>
      <c r="AW9" s="84">
        <f>Z9+AC9+AF9</f>
        <v>250</v>
      </c>
      <c r="AX9" s="84">
        <f>AI9+AL9+AO9</f>
        <v>0</v>
      </c>
    </row>
    <row r="10" spans="1:50" ht="15.6" x14ac:dyDescent="0.3">
      <c r="A10" s="127"/>
      <c r="B10" s="127"/>
      <c r="C10" s="127"/>
      <c r="D10" s="38" t="s">
        <v>22</v>
      </c>
      <c r="E10" s="24">
        <f t="shared" ref="E10:F28" si="1">H10+K10+N10+Q10+T10+W10+Z10+AC10+AF10+AI10+AL10+AO10</f>
        <v>0</v>
      </c>
      <c r="F10" s="24">
        <f t="shared" si="1"/>
        <v>0</v>
      </c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4"/>
      <c r="U10" s="24"/>
      <c r="V10" s="24"/>
      <c r="W10" s="24"/>
      <c r="X10" s="24"/>
      <c r="Y10" s="22"/>
      <c r="Z10" s="24"/>
      <c r="AA10" s="24"/>
      <c r="AB10" s="25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36"/>
      <c r="AS10" s="36"/>
      <c r="AT10" s="80"/>
      <c r="AU10" s="84">
        <f t="shared" ref="AU10:AU86" si="2">H10+K10+N10</f>
        <v>0</v>
      </c>
      <c r="AV10" s="84">
        <f t="shared" ref="AV10:AV86" si="3">Q10+T10+W10</f>
        <v>0</v>
      </c>
      <c r="AW10" s="84">
        <f t="shared" ref="AW10:AW86" si="4">Z10+AC10+AF10</f>
        <v>0</v>
      </c>
      <c r="AX10" s="84">
        <f t="shared" ref="AX10:AX86" si="5">AI10+AL10+AO10</f>
        <v>0</v>
      </c>
    </row>
    <row r="11" spans="1:50" ht="40.5" customHeight="1" x14ac:dyDescent="0.3">
      <c r="A11" s="127"/>
      <c r="B11" s="127"/>
      <c r="C11" s="127"/>
      <c r="D11" s="38" t="s">
        <v>4</v>
      </c>
      <c r="E11" s="24">
        <f t="shared" si="1"/>
        <v>250</v>
      </c>
      <c r="F11" s="24">
        <f t="shared" si="1"/>
        <v>250</v>
      </c>
      <c r="G11" s="25">
        <f>F11/E11*100</f>
        <v>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4"/>
      <c r="U11" s="24"/>
      <c r="V11" s="24"/>
      <c r="W11" s="24"/>
      <c r="X11" s="24"/>
      <c r="Y11" s="25"/>
      <c r="Z11" s="24">
        <v>250</v>
      </c>
      <c r="AA11" s="24">
        <v>250</v>
      </c>
      <c r="AB11" s="25">
        <f>AA11/Z11*100</f>
        <v>100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91" t="s">
        <v>155</v>
      </c>
      <c r="AS11" s="36"/>
      <c r="AT11" s="80">
        <f t="shared" ref="AT11:AT72" si="6">(I11+L11+O11+R11+U11+X11+AA11+AD11+AG11+AJ11+AM11+AP11)/(H11+K11+N11+Q11+T11+W11+Z11+AC11+AF11+AI11+AL11+AO11)</f>
        <v>1</v>
      </c>
      <c r="AU11" s="84">
        <f t="shared" si="2"/>
        <v>0</v>
      </c>
      <c r="AV11" s="84">
        <f t="shared" si="3"/>
        <v>0</v>
      </c>
      <c r="AW11" s="84">
        <f t="shared" si="4"/>
        <v>250</v>
      </c>
      <c r="AX11" s="84">
        <f t="shared" si="5"/>
        <v>0</v>
      </c>
    </row>
    <row r="12" spans="1:50" ht="15.6" x14ac:dyDescent="0.3">
      <c r="A12" s="127"/>
      <c r="B12" s="127"/>
      <c r="C12" s="127"/>
      <c r="D12" s="38" t="s">
        <v>44</v>
      </c>
      <c r="E12" s="24">
        <f t="shared" si="1"/>
        <v>0</v>
      </c>
      <c r="F12" s="24">
        <f t="shared" si="1"/>
        <v>0</v>
      </c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36"/>
      <c r="AS12" s="36"/>
      <c r="AT12" s="80"/>
      <c r="AU12" s="84">
        <f t="shared" si="2"/>
        <v>0</v>
      </c>
      <c r="AV12" s="84">
        <f t="shared" si="3"/>
        <v>0</v>
      </c>
      <c r="AW12" s="84">
        <f t="shared" si="4"/>
        <v>0</v>
      </c>
      <c r="AX12" s="84">
        <f t="shared" si="5"/>
        <v>0</v>
      </c>
    </row>
    <row r="13" spans="1:50" ht="15.6" x14ac:dyDescent="0.3">
      <c r="A13" s="127"/>
      <c r="B13" s="127"/>
      <c r="C13" s="127"/>
      <c r="D13" s="38" t="s">
        <v>23</v>
      </c>
      <c r="E13" s="24">
        <f t="shared" si="1"/>
        <v>0</v>
      </c>
      <c r="F13" s="24">
        <f t="shared" si="1"/>
        <v>0</v>
      </c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36"/>
      <c r="AS13" s="36"/>
      <c r="AT13" s="80"/>
      <c r="AU13" s="84">
        <f t="shared" si="2"/>
        <v>0</v>
      </c>
      <c r="AV13" s="84">
        <f t="shared" si="3"/>
        <v>0</v>
      </c>
      <c r="AW13" s="84">
        <f t="shared" si="4"/>
        <v>0</v>
      </c>
      <c r="AX13" s="84">
        <f t="shared" si="5"/>
        <v>0</v>
      </c>
    </row>
    <row r="14" spans="1:50" ht="15.75" customHeight="1" x14ac:dyDescent="0.3">
      <c r="A14" s="127" t="s">
        <v>21</v>
      </c>
      <c r="B14" s="127" t="s">
        <v>84</v>
      </c>
      <c r="C14" s="127" t="s">
        <v>6</v>
      </c>
      <c r="D14" s="38" t="s">
        <v>3</v>
      </c>
      <c r="E14" s="24">
        <f t="shared" si="1"/>
        <v>0</v>
      </c>
      <c r="F14" s="24">
        <f t="shared" si="1"/>
        <v>0</v>
      </c>
      <c r="G14" s="22"/>
      <c r="H14" s="24">
        <f>H15+H16+H17+H18</f>
        <v>0</v>
      </c>
      <c r="I14" s="24"/>
      <c r="J14" s="24"/>
      <c r="K14" s="24">
        <f t="shared" ref="K14:AO14" si="7">K15+K16+K17+K18</f>
        <v>0</v>
      </c>
      <c r="L14" s="24"/>
      <c r="M14" s="24"/>
      <c r="N14" s="24">
        <f t="shared" si="7"/>
        <v>0</v>
      </c>
      <c r="O14" s="24"/>
      <c r="P14" s="24"/>
      <c r="Q14" s="24">
        <f t="shared" si="7"/>
        <v>0</v>
      </c>
      <c r="R14" s="24"/>
      <c r="S14" s="24"/>
      <c r="T14" s="24">
        <f t="shared" si="7"/>
        <v>0</v>
      </c>
      <c r="U14" s="24"/>
      <c r="V14" s="24"/>
      <c r="W14" s="24">
        <f t="shared" si="7"/>
        <v>0</v>
      </c>
      <c r="X14" s="24"/>
      <c r="Y14" s="24"/>
      <c r="Z14" s="24">
        <f t="shared" si="7"/>
        <v>0</v>
      </c>
      <c r="AA14" s="24"/>
      <c r="AB14" s="24"/>
      <c r="AC14" s="24">
        <f t="shared" si="7"/>
        <v>0</v>
      </c>
      <c r="AD14" s="24">
        <f t="shared" si="7"/>
        <v>0</v>
      </c>
      <c r="AE14" s="24"/>
      <c r="AF14" s="24">
        <f t="shared" si="7"/>
        <v>0</v>
      </c>
      <c r="AG14" s="24"/>
      <c r="AH14" s="24"/>
      <c r="AI14" s="24">
        <f t="shared" si="7"/>
        <v>0</v>
      </c>
      <c r="AJ14" s="24"/>
      <c r="AK14" s="24"/>
      <c r="AL14" s="24">
        <f t="shared" si="7"/>
        <v>0</v>
      </c>
      <c r="AM14" s="24"/>
      <c r="AN14" s="24"/>
      <c r="AO14" s="24">
        <f t="shared" si="7"/>
        <v>0</v>
      </c>
      <c r="AP14" s="24"/>
      <c r="AQ14" s="24"/>
      <c r="AR14" s="36"/>
      <c r="AS14" s="36"/>
      <c r="AT14" s="80"/>
      <c r="AU14" s="84">
        <f t="shared" si="2"/>
        <v>0</v>
      </c>
      <c r="AV14" s="84">
        <f t="shared" si="3"/>
        <v>0</v>
      </c>
      <c r="AW14" s="84">
        <f t="shared" si="4"/>
        <v>0</v>
      </c>
      <c r="AX14" s="84">
        <f t="shared" si="5"/>
        <v>0</v>
      </c>
    </row>
    <row r="15" spans="1:50" ht="15.6" x14ac:dyDescent="0.3">
      <c r="A15" s="127"/>
      <c r="B15" s="127"/>
      <c r="C15" s="127"/>
      <c r="D15" s="38" t="s">
        <v>22</v>
      </c>
      <c r="E15" s="24">
        <f t="shared" si="1"/>
        <v>0</v>
      </c>
      <c r="F15" s="24">
        <f t="shared" si="1"/>
        <v>0</v>
      </c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6"/>
      <c r="AS15" s="36"/>
      <c r="AT15" s="80"/>
      <c r="AU15" s="84">
        <f t="shared" si="2"/>
        <v>0</v>
      </c>
      <c r="AV15" s="84">
        <f t="shared" si="3"/>
        <v>0</v>
      </c>
      <c r="AW15" s="84">
        <f t="shared" si="4"/>
        <v>0</v>
      </c>
      <c r="AX15" s="84">
        <f t="shared" si="5"/>
        <v>0</v>
      </c>
    </row>
    <row r="16" spans="1:50" ht="24" x14ac:dyDescent="0.3">
      <c r="A16" s="127"/>
      <c r="B16" s="127"/>
      <c r="C16" s="127"/>
      <c r="D16" s="38" t="s">
        <v>4</v>
      </c>
      <c r="E16" s="24">
        <f t="shared" si="1"/>
        <v>0</v>
      </c>
      <c r="F16" s="24">
        <f t="shared" si="1"/>
        <v>0</v>
      </c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36"/>
      <c r="AS16" s="36"/>
      <c r="AT16" s="80"/>
      <c r="AU16" s="84">
        <f t="shared" si="2"/>
        <v>0</v>
      </c>
      <c r="AV16" s="84">
        <f t="shared" si="3"/>
        <v>0</v>
      </c>
      <c r="AW16" s="84">
        <f t="shared" si="4"/>
        <v>0</v>
      </c>
      <c r="AX16" s="84">
        <f t="shared" si="5"/>
        <v>0</v>
      </c>
    </row>
    <row r="17" spans="1:50" ht="15.6" x14ac:dyDescent="0.3">
      <c r="A17" s="127"/>
      <c r="B17" s="127"/>
      <c r="C17" s="127"/>
      <c r="D17" s="38" t="s">
        <v>44</v>
      </c>
      <c r="E17" s="24">
        <f t="shared" si="1"/>
        <v>0</v>
      </c>
      <c r="F17" s="24">
        <f t="shared" si="1"/>
        <v>0</v>
      </c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36"/>
      <c r="AS17" s="36"/>
      <c r="AT17" s="80"/>
      <c r="AU17" s="84">
        <f t="shared" si="2"/>
        <v>0</v>
      </c>
      <c r="AV17" s="84">
        <f t="shared" si="3"/>
        <v>0</v>
      </c>
      <c r="AW17" s="84">
        <f t="shared" si="4"/>
        <v>0</v>
      </c>
      <c r="AX17" s="84">
        <f t="shared" si="5"/>
        <v>0</v>
      </c>
    </row>
    <row r="18" spans="1:50" ht="15.6" x14ac:dyDescent="0.3">
      <c r="A18" s="127"/>
      <c r="B18" s="127"/>
      <c r="C18" s="127"/>
      <c r="D18" s="38" t="s">
        <v>23</v>
      </c>
      <c r="E18" s="24">
        <f t="shared" si="1"/>
        <v>0</v>
      </c>
      <c r="F18" s="24">
        <f t="shared" si="1"/>
        <v>0</v>
      </c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6"/>
      <c r="AS18" s="36"/>
      <c r="AT18" s="80"/>
      <c r="AU18" s="84">
        <f t="shared" si="2"/>
        <v>0</v>
      </c>
      <c r="AV18" s="84">
        <f t="shared" si="3"/>
        <v>0</v>
      </c>
      <c r="AW18" s="84">
        <f t="shared" si="4"/>
        <v>0</v>
      </c>
      <c r="AX18" s="84">
        <f t="shared" si="5"/>
        <v>0</v>
      </c>
    </row>
    <row r="19" spans="1:50" ht="15.75" customHeight="1" x14ac:dyDescent="0.3">
      <c r="A19" s="127" t="s">
        <v>153</v>
      </c>
      <c r="B19" s="127" t="s">
        <v>116</v>
      </c>
      <c r="C19" s="127" t="s">
        <v>6</v>
      </c>
      <c r="D19" s="38" t="s">
        <v>3</v>
      </c>
      <c r="E19" s="24">
        <f>H19+K19+N19+Q19+T19+W19+Z19+AC19+AF19+AI19+AL19+AO19</f>
        <v>670288.10000000009</v>
      </c>
      <c r="F19" s="24">
        <f>I19+L19+O19+R19+U19+X19+AA19+AD19+AG19+AJ19+AM19+AP19</f>
        <v>670287.80000000005</v>
      </c>
      <c r="G19" s="25">
        <f>F19/E19*100</f>
        <v>99.999955243126053</v>
      </c>
      <c r="H19" s="24">
        <f>H20+H21+H22+H23</f>
        <v>16695.5</v>
      </c>
      <c r="I19" s="24">
        <f>I20+I21+I22+I23</f>
        <v>16695.5</v>
      </c>
      <c r="J19" s="25">
        <f>I19/H19*100</f>
        <v>100</v>
      </c>
      <c r="K19" s="24">
        <f t="shared" ref="K19:AP19" si="8">K20+K21+K22+K23</f>
        <v>53273.5</v>
      </c>
      <c r="L19" s="24">
        <f t="shared" si="8"/>
        <v>53273.5</v>
      </c>
      <c r="M19" s="25">
        <f>L19/K19*100</f>
        <v>100</v>
      </c>
      <c r="N19" s="24">
        <f t="shared" si="8"/>
        <v>49470.1</v>
      </c>
      <c r="O19" s="24">
        <f t="shared" si="8"/>
        <v>49470.1</v>
      </c>
      <c r="P19" s="25">
        <f>O19/N19*100</f>
        <v>100</v>
      </c>
      <c r="Q19" s="24">
        <f t="shared" si="8"/>
        <v>61917.100000000006</v>
      </c>
      <c r="R19" s="24">
        <f t="shared" si="8"/>
        <v>63424.100000000006</v>
      </c>
      <c r="S19" s="25">
        <f>R19/Q19*100</f>
        <v>102.43389952048787</v>
      </c>
      <c r="T19" s="24">
        <f t="shared" si="8"/>
        <v>80500.7</v>
      </c>
      <c r="U19" s="24">
        <f t="shared" si="8"/>
        <v>79690.7</v>
      </c>
      <c r="V19" s="25">
        <f>U19/T19*100</f>
        <v>98.993797569462131</v>
      </c>
      <c r="W19" s="24">
        <f t="shared" si="8"/>
        <v>77625.399999999994</v>
      </c>
      <c r="X19" s="24">
        <f t="shared" si="8"/>
        <v>76928.399999999994</v>
      </c>
      <c r="Y19" s="25">
        <f>X19/W19*100</f>
        <v>99.102098024615657</v>
      </c>
      <c r="Z19" s="24">
        <f t="shared" si="8"/>
        <v>64776.700000000004</v>
      </c>
      <c r="AA19" s="24">
        <f t="shared" si="8"/>
        <v>64276.700000000004</v>
      </c>
      <c r="AB19" s="25">
        <f>AA19/Z19*100</f>
        <v>99.228117517564186</v>
      </c>
      <c r="AC19" s="24">
        <f t="shared" si="8"/>
        <v>39978.699999999997</v>
      </c>
      <c r="AD19" s="24">
        <f t="shared" si="8"/>
        <v>37836.699999999997</v>
      </c>
      <c r="AE19" s="25">
        <f>AD19/AC19*100</f>
        <v>94.642146943247269</v>
      </c>
      <c r="AF19" s="24">
        <f t="shared" si="8"/>
        <v>31693.7</v>
      </c>
      <c r="AG19" s="24">
        <f t="shared" si="8"/>
        <v>34335.700000000012</v>
      </c>
      <c r="AH19" s="25">
        <f>AG19/AF19*100</f>
        <v>108.33604154768932</v>
      </c>
      <c r="AI19" s="24">
        <f t="shared" si="8"/>
        <v>68045.3</v>
      </c>
      <c r="AJ19" s="24">
        <f t="shared" si="8"/>
        <v>52044.700000000004</v>
      </c>
      <c r="AK19" s="25">
        <f>AJ19/AI19*100</f>
        <v>76.485370775057206</v>
      </c>
      <c r="AL19" s="24">
        <f>AL20+AL21+AL22+AL23</f>
        <v>49612</v>
      </c>
      <c r="AM19" s="24">
        <f>AM20+AM21+AM22+AM23</f>
        <v>49612</v>
      </c>
      <c r="AN19" s="25">
        <f>AM19/AL19*100</f>
        <v>100</v>
      </c>
      <c r="AO19" s="24">
        <f t="shared" si="8"/>
        <v>76699.400000000009</v>
      </c>
      <c r="AP19" s="24">
        <f t="shared" si="8"/>
        <v>92699.7</v>
      </c>
      <c r="AQ19" s="22">
        <f t="shared" ref="AQ19:AQ22" si="9">AP19/AO19</f>
        <v>1.2086104976049354</v>
      </c>
      <c r="AR19" s="36"/>
      <c r="AS19" s="36"/>
      <c r="AT19" s="80">
        <f t="shared" si="6"/>
        <v>0.99999955243126049</v>
      </c>
      <c r="AU19" s="84">
        <f t="shared" si="2"/>
        <v>119439.1</v>
      </c>
      <c r="AV19" s="84">
        <f t="shared" si="3"/>
        <v>220043.19999999998</v>
      </c>
      <c r="AW19" s="84">
        <f t="shared" si="4"/>
        <v>136449.1</v>
      </c>
      <c r="AX19" s="84">
        <f>AI19+AL19+AO19</f>
        <v>194356.7</v>
      </c>
    </row>
    <row r="20" spans="1:50" ht="15.6" x14ac:dyDescent="0.3">
      <c r="A20" s="127"/>
      <c r="B20" s="127"/>
      <c r="C20" s="127"/>
      <c r="D20" s="38" t="s">
        <v>22</v>
      </c>
      <c r="E20" s="24">
        <f t="shared" si="1"/>
        <v>0</v>
      </c>
      <c r="F20" s="24">
        <f t="shared" si="1"/>
        <v>0</v>
      </c>
      <c r="G20" s="22"/>
      <c r="H20" s="24"/>
      <c r="I20" s="24"/>
      <c r="J20" s="22"/>
      <c r="K20" s="24"/>
      <c r="L20" s="24"/>
      <c r="M20" s="22"/>
      <c r="N20" s="24"/>
      <c r="O20" s="24"/>
      <c r="P20" s="22"/>
      <c r="Q20" s="24"/>
      <c r="R20" s="24"/>
      <c r="S20" s="22"/>
      <c r="T20" s="24"/>
      <c r="U20" s="24"/>
      <c r="V20" s="22"/>
      <c r="W20" s="24"/>
      <c r="X20" s="24"/>
      <c r="Y20" s="22"/>
      <c r="Z20" s="24"/>
      <c r="AA20" s="24"/>
      <c r="AB20" s="22"/>
      <c r="AC20" s="24"/>
      <c r="AD20" s="24"/>
      <c r="AE20" s="22"/>
      <c r="AF20" s="24"/>
      <c r="AG20" s="24"/>
      <c r="AH20" s="22"/>
      <c r="AI20" s="24"/>
      <c r="AJ20" s="24"/>
      <c r="AK20" s="22"/>
      <c r="AL20" s="24"/>
      <c r="AM20" s="24"/>
      <c r="AN20" s="22"/>
      <c r="AO20" s="24"/>
      <c r="AP20" s="24"/>
      <c r="AQ20" s="22"/>
      <c r="AR20" s="36"/>
      <c r="AS20" s="36"/>
      <c r="AT20" s="80"/>
      <c r="AU20" s="84">
        <f t="shared" si="2"/>
        <v>0</v>
      </c>
      <c r="AV20" s="84">
        <f t="shared" si="3"/>
        <v>0</v>
      </c>
      <c r="AW20" s="84">
        <f t="shared" si="4"/>
        <v>0</v>
      </c>
      <c r="AX20" s="84">
        <f t="shared" si="5"/>
        <v>0</v>
      </c>
    </row>
    <row r="21" spans="1:50" ht="86.4" customHeight="1" x14ac:dyDescent="0.3">
      <c r="A21" s="127"/>
      <c r="B21" s="127"/>
      <c r="C21" s="127"/>
      <c r="D21" s="38" t="s">
        <v>4</v>
      </c>
      <c r="E21" s="24">
        <f t="shared" si="1"/>
        <v>560916.30000000005</v>
      </c>
      <c r="F21" s="24">
        <f t="shared" si="1"/>
        <v>560916</v>
      </c>
      <c r="G21" s="25">
        <f>F21/E21*100</f>
        <v>99.999946516084478</v>
      </c>
      <c r="H21" s="24">
        <v>14401</v>
      </c>
      <c r="I21" s="24">
        <v>14401</v>
      </c>
      <c r="J21" s="25">
        <f>I21/H21*100</f>
        <v>100</v>
      </c>
      <c r="K21" s="24">
        <v>42416</v>
      </c>
      <c r="L21" s="24">
        <v>42416</v>
      </c>
      <c r="M21" s="25">
        <f>L21/K21*100</f>
        <v>100</v>
      </c>
      <c r="N21" s="24">
        <v>39930</v>
      </c>
      <c r="O21" s="24">
        <v>39930</v>
      </c>
      <c r="P21" s="25">
        <f>O21/N21*100</f>
        <v>100</v>
      </c>
      <c r="Q21" s="24">
        <v>49934.9</v>
      </c>
      <c r="R21" s="24">
        <v>49934.9</v>
      </c>
      <c r="S21" s="25">
        <f>R21/Q21*100</f>
        <v>100</v>
      </c>
      <c r="T21" s="24">
        <v>69285</v>
      </c>
      <c r="U21" s="24">
        <v>69285</v>
      </c>
      <c r="V21" s="25">
        <f>U21/T21*100</f>
        <v>100</v>
      </c>
      <c r="W21" s="24">
        <f>71612</f>
        <v>71612</v>
      </c>
      <c r="X21" s="24">
        <f>71612</f>
        <v>71612</v>
      </c>
      <c r="Y21" s="25">
        <f>X21/W21*100</f>
        <v>100</v>
      </c>
      <c r="Z21" s="24">
        <v>52512.800000000003</v>
      </c>
      <c r="AA21" s="24">
        <v>52012.800000000003</v>
      </c>
      <c r="AB21" s="25">
        <f>AA21/Z21*100</f>
        <v>99.047851190566874</v>
      </c>
      <c r="AC21" s="24">
        <v>31896</v>
      </c>
      <c r="AD21" s="24">
        <v>31896</v>
      </c>
      <c r="AE21" s="25">
        <f>AD21/AC21*100</f>
        <v>100</v>
      </c>
      <c r="AF21" s="24">
        <f>29868.7</f>
        <v>29868.7</v>
      </c>
      <c r="AG21" s="24">
        <v>30368.700000000012</v>
      </c>
      <c r="AH21" s="25">
        <f>AG21/AF21*100</f>
        <v>101.67399317680386</v>
      </c>
      <c r="AI21" s="24">
        <f>39717+15900.5+532.3</f>
        <v>56149.8</v>
      </c>
      <c r="AJ21" s="24">
        <v>40549.300000000003</v>
      </c>
      <c r="AK21" s="25">
        <f>AJ21/AI21*100</f>
        <v>72.216285721409506</v>
      </c>
      <c r="AL21" s="24">
        <v>40714</v>
      </c>
      <c r="AM21" s="24">
        <v>40714</v>
      </c>
      <c r="AN21" s="25">
        <f>AM21/AL21*100</f>
        <v>100</v>
      </c>
      <c r="AO21" s="24">
        <f>65147.9+15637.7-18589.5</f>
        <v>62196.100000000006</v>
      </c>
      <c r="AP21" s="24">
        <v>77796.3</v>
      </c>
      <c r="AQ21" s="22">
        <f t="shared" si="9"/>
        <v>1.2508228007865445</v>
      </c>
      <c r="AR21" s="119" t="s">
        <v>176</v>
      </c>
      <c r="AS21" s="36"/>
      <c r="AT21" s="80">
        <f t="shared" si="6"/>
        <v>0.99999946516084481</v>
      </c>
      <c r="AU21" s="84">
        <f t="shared" si="2"/>
        <v>96747</v>
      </c>
      <c r="AV21" s="84">
        <f t="shared" si="3"/>
        <v>190831.9</v>
      </c>
      <c r="AW21" s="84">
        <f t="shared" si="4"/>
        <v>114277.5</v>
      </c>
      <c r="AX21" s="84">
        <f t="shared" si="5"/>
        <v>159059.90000000002</v>
      </c>
    </row>
    <row r="22" spans="1:50" ht="64.8" customHeight="1" x14ac:dyDescent="0.3">
      <c r="A22" s="127"/>
      <c r="B22" s="127"/>
      <c r="C22" s="127"/>
      <c r="D22" s="38" t="s">
        <v>44</v>
      </c>
      <c r="E22" s="24">
        <f t="shared" si="1"/>
        <v>109371.8</v>
      </c>
      <c r="F22" s="24">
        <f t="shared" si="1"/>
        <v>109371.79999999999</v>
      </c>
      <c r="G22" s="25">
        <f>F22/E22*100</f>
        <v>99.999999999999986</v>
      </c>
      <c r="H22" s="24">
        <v>2294.5</v>
      </c>
      <c r="I22" s="24">
        <v>2294.5</v>
      </c>
      <c r="J22" s="25">
        <f>I22/H22*100</f>
        <v>100</v>
      </c>
      <c r="K22" s="24">
        <v>10857.5</v>
      </c>
      <c r="L22" s="24">
        <v>10857.5</v>
      </c>
      <c r="M22" s="25">
        <f>L22/K22*100</f>
        <v>100</v>
      </c>
      <c r="N22" s="24">
        <v>9540.1</v>
      </c>
      <c r="O22" s="24">
        <v>9540.1</v>
      </c>
      <c r="P22" s="25">
        <f>O22/N22*100</f>
        <v>100</v>
      </c>
      <c r="Q22" s="24">
        <v>11982.2</v>
      </c>
      <c r="R22" s="24">
        <v>13489.2</v>
      </c>
      <c r="S22" s="25">
        <f>R22/Q22*100</f>
        <v>112.57698920064763</v>
      </c>
      <c r="T22" s="24">
        <v>11215.7</v>
      </c>
      <c r="U22" s="24">
        <v>10405.699999999997</v>
      </c>
      <c r="V22" s="25">
        <f>U22/T22*100</f>
        <v>92.777980866107299</v>
      </c>
      <c r="W22" s="24">
        <f>10880-4866.6</f>
        <v>6013.4</v>
      </c>
      <c r="X22" s="24">
        <v>5316.4</v>
      </c>
      <c r="Y22" s="25">
        <f>X22/W22*100</f>
        <v>88.40921940998436</v>
      </c>
      <c r="Z22" s="24">
        <v>12263.9</v>
      </c>
      <c r="AA22" s="24">
        <v>12263.9</v>
      </c>
      <c r="AB22" s="25">
        <f>AA22/Z22*100</f>
        <v>100</v>
      </c>
      <c r="AC22" s="24">
        <v>8082.7</v>
      </c>
      <c r="AD22" s="24">
        <v>5940.7</v>
      </c>
      <c r="AE22" s="25">
        <f>AD22/AC22*100</f>
        <v>73.498954557264284</v>
      </c>
      <c r="AF22" s="24">
        <f>7932.6+674.4-6782</f>
        <v>1825</v>
      </c>
      <c r="AG22" s="24">
        <f>3966.9+0.1</f>
        <v>3967</v>
      </c>
      <c r="AH22" s="25">
        <f>AG22/AF22*100</f>
        <v>217.36986301369865</v>
      </c>
      <c r="AI22" s="24">
        <v>11895.5</v>
      </c>
      <c r="AJ22" s="24">
        <v>11495.4</v>
      </c>
      <c r="AK22" s="25">
        <f>AJ22/AI22*100</f>
        <v>96.636543230633436</v>
      </c>
      <c r="AL22" s="24">
        <f>8873.7+6782-6757.7</f>
        <v>8898</v>
      </c>
      <c r="AM22" s="24">
        <v>8898</v>
      </c>
      <c r="AN22" s="25">
        <f>AM22/AL22*100</f>
        <v>100</v>
      </c>
      <c r="AO22" s="24">
        <f>15394.9+2358.2-8658.6+91+6757.7-1439.9</f>
        <v>14503.299999999997</v>
      </c>
      <c r="AP22" s="24">
        <v>14903.4</v>
      </c>
      <c r="AQ22" s="22">
        <f t="shared" si="9"/>
        <v>1.0275868250673985</v>
      </c>
      <c r="AR22" s="119" t="s">
        <v>167</v>
      </c>
      <c r="AS22" s="36"/>
      <c r="AT22" s="80">
        <f t="shared" si="6"/>
        <v>0.99999999999999989</v>
      </c>
      <c r="AU22" s="84">
        <f t="shared" si="2"/>
        <v>22692.1</v>
      </c>
      <c r="AV22" s="84">
        <f t="shared" si="3"/>
        <v>29211.300000000003</v>
      </c>
      <c r="AW22" s="84">
        <f t="shared" si="4"/>
        <v>22171.599999999999</v>
      </c>
      <c r="AX22" s="84">
        <f t="shared" si="5"/>
        <v>35296.799999999996</v>
      </c>
    </row>
    <row r="23" spans="1:50" ht="15.6" x14ac:dyDescent="0.3">
      <c r="A23" s="127"/>
      <c r="B23" s="127"/>
      <c r="C23" s="127"/>
      <c r="D23" s="38" t="s">
        <v>23</v>
      </c>
      <c r="E23" s="24">
        <f t="shared" si="1"/>
        <v>0</v>
      </c>
      <c r="F23" s="24">
        <f t="shared" si="1"/>
        <v>0</v>
      </c>
      <c r="G23" s="22"/>
      <c r="H23" s="24"/>
      <c r="I23" s="24"/>
      <c r="J23" s="24"/>
      <c r="K23" s="24"/>
      <c r="L23" s="24"/>
      <c r="M23" s="25"/>
      <c r="N23" s="24"/>
      <c r="O23" s="24"/>
      <c r="P23" s="25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2"/>
      <c r="AI23" s="24"/>
      <c r="AJ23" s="24"/>
      <c r="AK23" s="22"/>
      <c r="AL23" s="24"/>
      <c r="AM23" s="24"/>
      <c r="AN23" s="24"/>
      <c r="AO23" s="24"/>
      <c r="AP23" s="24"/>
      <c r="AQ23" s="24"/>
      <c r="AR23" s="36"/>
      <c r="AS23" s="36"/>
      <c r="AT23" s="80"/>
      <c r="AU23" s="84">
        <f t="shared" si="2"/>
        <v>0</v>
      </c>
      <c r="AV23" s="84">
        <f t="shared" si="3"/>
        <v>0</v>
      </c>
      <c r="AW23" s="84">
        <f t="shared" si="4"/>
        <v>0</v>
      </c>
      <c r="AX23" s="84">
        <f t="shared" si="5"/>
        <v>0</v>
      </c>
    </row>
    <row r="24" spans="1:50" ht="15.75" customHeight="1" x14ac:dyDescent="0.3">
      <c r="A24" s="143" t="s">
        <v>152</v>
      </c>
      <c r="B24" s="127" t="s">
        <v>85</v>
      </c>
      <c r="C24" s="127" t="s">
        <v>6</v>
      </c>
      <c r="D24" s="38" t="s">
        <v>3</v>
      </c>
      <c r="E24" s="24">
        <f t="shared" si="1"/>
        <v>19419</v>
      </c>
      <c r="F24" s="24">
        <f t="shared" si="1"/>
        <v>19419</v>
      </c>
      <c r="G24" s="25">
        <f>F24/E24*100</f>
        <v>100</v>
      </c>
      <c r="H24" s="24">
        <f>H25+H26+H27+H28</f>
        <v>0</v>
      </c>
      <c r="I24" s="24"/>
      <c r="J24" s="24"/>
      <c r="K24" s="24">
        <f t="shared" ref="K24:AP24" si="10">K25+K26+K27+K28</f>
        <v>3454</v>
      </c>
      <c r="L24" s="24">
        <f t="shared" si="10"/>
        <v>2438.6</v>
      </c>
      <c r="M24" s="25">
        <f t="shared" ref="M24:M26" si="11">L24/K24*100</f>
        <v>70.602200347423278</v>
      </c>
      <c r="N24" s="24">
        <f t="shared" si="10"/>
        <v>3100</v>
      </c>
      <c r="O24" s="24">
        <f t="shared" si="10"/>
        <v>2346.6</v>
      </c>
      <c r="P24" s="25">
        <f t="shared" ref="P24:P26" si="12">O24/N24*100</f>
        <v>75.696774193548393</v>
      </c>
      <c r="Q24" s="24">
        <f t="shared" si="10"/>
        <v>2446</v>
      </c>
      <c r="R24" s="24">
        <f t="shared" si="10"/>
        <v>2456.1999999999998</v>
      </c>
      <c r="S24" s="25">
        <f>R24/Q24*100</f>
        <v>100.41700735895338</v>
      </c>
      <c r="T24" s="24">
        <f t="shared" si="10"/>
        <v>0</v>
      </c>
      <c r="U24" s="24">
        <f t="shared" si="10"/>
        <v>321.3</v>
      </c>
      <c r="V24" s="25"/>
      <c r="W24" s="24">
        <f t="shared" si="10"/>
        <v>0</v>
      </c>
      <c r="X24" s="24">
        <f t="shared" si="10"/>
        <v>460.6</v>
      </c>
      <c r="Y24" s="25"/>
      <c r="Z24" s="24">
        <f t="shared" si="10"/>
        <v>2200</v>
      </c>
      <c r="AA24" s="24">
        <f t="shared" si="10"/>
        <v>955</v>
      </c>
      <c r="AB24" s="25">
        <f>AA24/Z24*100</f>
        <v>43.409090909090907</v>
      </c>
      <c r="AC24" s="24">
        <f t="shared" si="10"/>
        <v>218</v>
      </c>
      <c r="AD24" s="24">
        <f t="shared" si="10"/>
        <v>843.9</v>
      </c>
      <c r="AE24" s="25">
        <f>AD24/AC24*100</f>
        <v>387.11009174311926</v>
      </c>
      <c r="AF24" s="24">
        <f t="shared" si="10"/>
        <v>0</v>
      </c>
      <c r="AG24" s="24">
        <f t="shared" si="10"/>
        <v>853.2</v>
      </c>
      <c r="AH24" s="25"/>
      <c r="AI24" s="24">
        <f t="shared" si="10"/>
        <v>2000</v>
      </c>
      <c r="AJ24" s="24">
        <f t="shared" si="10"/>
        <v>2091.1</v>
      </c>
      <c r="AK24" s="25">
        <f>AJ24/AI24*100</f>
        <v>104.55499999999999</v>
      </c>
      <c r="AL24" s="24">
        <f t="shared" si="10"/>
        <v>3000</v>
      </c>
      <c r="AM24" s="24">
        <f t="shared" si="10"/>
        <v>2902.4</v>
      </c>
      <c r="AN24" s="25">
        <f>AM24/AL24*100</f>
        <v>96.74666666666667</v>
      </c>
      <c r="AO24" s="24">
        <f t="shared" si="10"/>
        <v>3001</v>
      </c>
      <c r="AP24" s="24">
        <f t="shared" si="10"/>
        <v>3750.1</v>
      </c>
      <c r="AQ24" s="22">
        <f t="shared" ref="AQ24:AQ26" si="13">AP24/AO24</f>
        <v>1.2496167944018659</v>
      </c>
      <c r="AR24" s="36"/>
      <c r="AS24" s="36"/>
      <c r="AT24" s="80">
        <f t="shared" si="6"/>
        <v>1</v>
      </c>
      <c r="AU24" s="84">
        <f t="shared" si="2"/>
        <v>6554</v>
      </c>
      <c r="AV24" s="84">
        <f t="shared" si="3"/>
        <v>2446</v>
      </c>
      <c r="AW24" s="84">
        <f t="shared" si="4"/>
        <v>2418</v>
      </c>
      <c r="AX24" s="84">
        <f t="shared" si="5"/>
        <v>8001</v>
      </c>
    </row>
    <row r="25" spans="1:50" ht="15.6" x14ac:dyDescent="0.3">
      <c r="A25" s="127"/>
      <c r="B25" s="127"/>
      <c r="C25" s="127"/>
      <c r="D25" s="38" t="s">
        <v>22</v>
      </c>
      <c r="E25" s="24">
        <f t="shared" si="1"/>
        <v>0</v>
      </c>
      <c r="F25" s="24">
        <f t="shared" si="1"/>
        <v>0</v>
      </c>
      <c r="G25" s="22"/>
      <c r="H25" s="24"/>
      <c r="I25" s="24"/>
      <c r="J25" s="24"/>
      <c r="K25" s="24"/>
      <c r="L25" s="24"/>
      <c r="M25" s="25"/>
      <c r="N25" s="24"/>
      <c r="O25" s="24"/>
      <c r="P25" s="25"/>
      <c r="Q25" s="24"/>
      <c r="R25" s="24"/>
      <c r="S25" s="22"/>
      <c r="T25" s="24"/>
      <c r="U25" s="24"/>
      <c r="V25" s="22"/>
      <c r="W25" s="24"/>
      <c r="X25" s="24"/>
      <c r="Y25" s="22"/>
      <c r="Z25" s="24"/>
      <c r="AA25" s="24"/>
      <c r="AB25" s="22"/>
      <c r="AC25" s="24"/>
      <c r="AD25" s="24"/>
      <c r="AE25" s="22"/>
      <c r="AF25" s="24"/>
      <c r="AG25" s="24"/>
      <c r="AH25" s="22"/>
      <c r="AI25" s="24"/>
      <c r="AJ25" s="24"/>
      <c r="AK25" s="22"/>
      <c r="AL25" s="24"/>
      <c r="AM25" s="24"/>
      <c r="AN25" s="22"/>
      <c r="AO25" s="24"/>
      <c r="AP25" s="24"/>
      <c r="AQ25" s="22"/>
      <c r="AR25" s="36"/>
      <c r="AS25" s="36"/>
      <c r="AT25" s="80"/>
      <c r="AU25" s="84">
        <f t="shared" si="2"/>
        <v>0</v>
      </c>
      <c r="AV25" s="84">
        <f t="shared" si="3"/>
        <v>0</v>
      </c>
      <c r="AW25" s="84">
        <f t="shared" si="4"/>
        <v>0</v>
      </c>
      <c r="AX25" s="84">
        <f t="shared" si="5"/>
        <v>0</v>
      </c>
    </row>
    <row r="26" spans="1:50" ht="36" customHeight="1" x14ac:dyDescent="0.3">
      <c r="A26" s="127"/>
      <c r="B26" s="127"/>
      <c r="C26" s="127"/>
      <c r="D26" s="38" t="s">
        <v>4</v>
      </c>
      <c r="E26" s="24">
        <f t="shared" si="1"/>
        <v>19419</v>
      </c>
      <c r="F26" s="24">
        <f t="shared" si="1"/>
        <v>19419</v>
      </c>
      <c r="G26" s="25">
        <f>F26/E26*100</f>
        <v>100</v>
      </c>
      <c r="H26" s="24">
        <v>0</v>
      </c>
      <c r="I26" s="24"/>
      <c r="J26" s="24"/>
      <c r="K26" s="24">
        <v>3454</v>
      </c>
      <c r="L26" s="24">
        <v>2438.6</v>
      </c>
      <c r="M26" s="25">
        <f t="shared" si="11"/>
        <v>70.602200347423278</v>
      </c>
      <c r="N26" s="24">
        <v>3100</v>
      </c>
      <c r="O26" s="24">
        <v>2346.6</v>
      </c>
      <c r="P26" s="25">
        <f t="shared" si="12"/>
        <v>75.696774193548393</v>
      </c>
      <c r="Q26" s="24">
        <f>3550-1104</f>
        <v>2446</v>
      </c>
      <c r="R26" s="24">
        <v>2456.1999999999998</v>
      </c>
      <c r="S26" s="25">
        <f>R26/Q26*100</f>
        <v>100.41700735895338</v>
      </c>
      <c r="T26" s="24">
        <f>4000-4000</f>
        <v>0</v>
      </c>
      <c r="U26" s="24">
        <v>321.3</v>
      </c>
      <c r="V26" s="25"/>
      <c r="W26" s="24">
        <f>3300-3300</f>
        <v>0</v>
      </c>
      <c r="X26" s="24">
        <v>460.6</v>
      </c>
      <c r="Y26" s="25"/>
      <c r="Z26" s="24">
        <v>2200</v>
      </c>
      <c r="AA26" s="24">
        <v>955</v>
      </c>
      <c r="AB26" s="25">
        <f>AA26/Z26*100</f>
        <v>43.409090909090907</v>
      </c>
      <c r="AC26" s="24">
        <f>1650-1432</f>
        <v>218</v>
      </c>
      <c r="AD26" s="24">
        <v>843.9</v>
      </c>
      <c r="AE26" s="25">
        <f>AD26/AC26*100</f>
        <v>387.11009174311926</v>
      </c>
      <c r="AF26" s="24">
        <f>1900+8404-4765-5539</f>
        <v>0</v>
      </c>
      <c r="AG26" s="24">
        <v>853.2</v>
      </c>
      <c r="AH26" s="25"/>
      <c r="AI26" s="24">
        <f>3000-1000</f>
        <v>2000</v>
      </c>
      <c r="AJ26" s="24">
        <v>2091.1</v>
      </c>
      <c r="AK26" s="25">
        <f>AJ26/AI26*100</f>
        <v>104.55499999999999</v>
      </c>
      <c r="AL26" s="24">
        <f>4200-1200</f>
        <v>3000</v>
      </c>
      <c r="AM26" s="24">
        <v>2902.4</v>
      </c>
      <c r="AN26" s="25">
        <f>AM26/AL26*100</f>
        <v>96.74666666666667</v>
      </c>
      <c r="AO26" s="24">
        <f>8400-5399</f>
        <v>3001</v>
      </c>
      <c r="AP26" s="24">
        <v>3750.1</v>
      </c>
      <c r="AQ26" s="22">
        <f t="shared" si="13"/>
        <v>1.2496167944018659</v>
      </c>
      <c r="AR26" s="119" t="s">
        <v>168</v>
      </c>
      <c r="AS26" s="119"/>
      <c r="AT26" s="80">
        <f t="shared" si="6"/>
        <v>1</v>
      </c>
      <c r="AU26" s="84">
        <f t="shared" si="2"/>
        <v>6554</v>
      </c>
      <c r="AV26" s="84">
        <f t="shared" si="3"/>
        <v>2446</v>
      </c>
      <c r="AW26" s="84">
        <f t="shared" si="4"/>
        <v>2418</v>
      </c>
      <c r="AX26" s="84">
        <f t="shared" si="5"/>
        <v>8001</v>
      </c>
    </row>
    <row r="27" spans="1:50" ht="15.6" x14ac:dyDescent="0.3">
      <c r="A27" s="127"/>
      <c r="B27" s="127"/>
      <c r="C27" s="127"/>
      <c r="D27" s="38" t="s">
        <v>44</v>
      </c>
      <c r="E27" s="24">
        <f t="shared" si="1"/>
        <v>0</v>
      </c>
      <c r="F27" s="24">
        <f t="shared" si="1"/>
        <v>0</v>
      </c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24"/>
      <c r="U27" s="24"/>
      <c r="V27" s="25"/>
      <c r="W27" s="24"/>
      <c r="X27" s="24"/>
      <c r="Y27" s="25"/>
      <c r="Z27" s="24"/>
      <c r="AA27" s="24"/>
      <c r="AB27" s="25"/>
      <c r="AC27" s="24"/>
      <c r="AD27" s="24"/>
      <c r="AE27" s="24"/>
      <c r="AF27" s="24"/>
      <c r="AG27" s="24"/>
      <c r="AH27" s="25"/>
      <c r="AI27" s="24"/>
      <c r="AJ27" s="24"/>
      <c r="AK27" s="24"/>
      <c r="AL27" s="24"/>
      <c r="AM27" s="24"/>
      <c r="AN27" s="25"/>
      <c r="AO27" s="24"/>
      <c r="AP27" s="24"/>
      <c r="AQ27" s="24"/>
      <c r="AR27" s="36"/>
      <c r="AS27" s="36"/>
      <c r="AT27" s="80"/>
      <c r="AU27" s="84">
        <f t="shared" si="2"/>
        <v>0</v>
      </c>
      <c r="AV27" s="84">
        <f t="shared" si="3"/>
        <v>0</v>
      </c>
      <c r="AW27" s="84">
        <f t="shared" si="4"/>
        <v>0</v>
      </c>
      <c r="AX27" s="84">
        <f t="shared" si="5"/>
        <v>0</v>
      </c>
    </row>
    <row r="28" spans="1:50" ht="15.6" x14ac:dyDescent="0.3">
      <c r="A28" s="127"/>
      <c r="B28" s="127"/>
      <c r="C28" s="127"/>
      <c r="D28" s="38" t="s">
        <v>23</v>
      </c>
      <c r="E28" s="24">
        <f t="shared" si="1"/>
        <v>0</v>
      </c>
      <c r="F28" s="24">
        <f t="shared" si="1"/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36"/>
      <c r="AS28" s="36"/>
      <c r="AT28" s="80"/>
      <c r="AU28" s="84">
        <f t="shared" si="2"/>
        <v>0</v>
      </c>
      <c r="AV28" s="84">
        <f t="shared" si="3"/>
        <v>0</v>
      </c>
      <c r="AW28" s="84">
        <f t="shared" si="4"/>
        <v>0</v>
      </c>
      <c r="AX28" s="84">
        <f t="shared" si="5"/>
        <v>0</v>
      </c>
    </row>
    <row r="29" spans="1:50" ht="12" customHeight="1" x14ac:dyDescent="0.3">
      <c r="A29" s="131" t="s">
        <v>7</v>
      </c>
      <c r="B29" s="131"/>
      <c r="C29" s="131"/>
      <c r="D29" s="39" t="s">
        <v>3</v>
      </c>
      <c r="E29" s="40">
        <f t="shared" ref="E29:F33" si="14">H29+K29+N29+Q29+T29+W29+Z29+AC29+AF29+AI29+AL29+AO29</f>
        <v>689957.10000000009</v>
      </c>
      <c r="F29" s="40">
        <f t="shared" si="14"/>
        <v>689956.8</v>
      </c>
      <c r="G29" s="26">
        <f>F29/E29*100</f>
        <v>99.999956519035734</v>
      </c>
      <c r="H29" s="40">
        <f>H31+H30+H32+H33</f>
        <v>16695.5</v>
      </c>
      <c r="I29" s="40">
        <f>I31+I30+I32+I33</f>
        <v>16695.5</v>
      </c>
      <c r="J29" s="26">
        <f>I29/H29*100</f>
        <v>100</v>
      </c>
      <c r="K29" s="40">
        <f t="shared" ref="K29:AP29" si="15">K31+K30+K32+K33</f>
        <v>56727.5</v>
      </c>
      <c r="L29" s="40">
        <f t="shared" si="15"/>
        <v>55712.1</v>
      </c>
      <c r="M29" s="26">
        <f>L29/K29*100</f>
        <v>98.210039222599264</v>
      </c>
      <c r="N29" s="40">
        <f t="shared" si="15"/>
        <v>52570.1</v>
      </c>
      <c r="O29" s="40">
        <f t="shared" si="15"/>
        <v>51816.7</v>
      </c>
      <c r="P29" s="26">
        <f>O29/N29*100</f>
        <v>98.566865956123337</v>
      </c>
      <c r="Q29" s="40">
        <f t="shared" si="15"/>
        <v>64363.100000000006</v>
      </c>
      <c r="R29" s="40">
        <f t="shared" si="15"/>
        <v>65880.3</v>
      </c>
      <c r="S29" s="26">
        <f>R29/Q29*100</f>
        <v>102.35725128217877</v>
      </c>
      <c r="T29" s="40">
        <f t="shared" si="15"/>
        <v>80500.7</v>
      </c>
      <c r="U29" s="40">
        <f t="shared" si="15"/>
        <v>80012</v>
      </c>
      <c r="V29" s="26">
        <f>U29/T29*100</f>
        <v>99.392924533575496</v>
      </c>
      <c r="W29" s="40">
        <f t="shared" si="15"/>
        <v>77625.399999999994</v>
      </c>
      <c r="X29" s="40">
        <f t="shared" si="15"/>
        <v>77389</v>
      </c>
      <c r="Y29" s="26">
        <f>X29/W29*100</f>
        <v>99.695460506483712</v>
      </c>
      <c r="Z29" s="40">
        <f t="shared" si="15"/>
        <v>67226.7</v>
      </c>
      <c r="AA29" s="40">
        <f t="shared" si="15"/>
        <v>65481.700000000004</v>
      </c>
      <c r="AB29" s="26">
        <f>AA29/Z29*100</f>
        <v>97.404305134715827</v>
      </c>
      <c r="AC29" s="40">
        <f t="shared" si="15"/>
        <v>40196.699999999997</v>
      </c>
      <c r="AD29" s="40">
        <f t="shared" si="15"/>
        <v>38680.6</v>
      </c>
      <c r="AE29" s="26">
        <f>AD29/AC29*100</f>
        <v>96.228297347792235</v>
      </c>
      <c r="AF29" s="40">
        <f t="shared" si="15"/>
        <v>31693.7</v>
      </c>
      <c r="AG29" s="40">
        <f t="shared" si="15"/>
        <v>35188.900000000009</v>
      </c>
      <c r="AH29" s="26">
        <f>AG29/AF29*100</f>
        <v>111.02805920419519</v>
      </c>
      <c r="AI29" s="40">
        <f t="shared" si="15"/>
        <v>70045.3</v>
      </c>
      <c r="AJ29" s="40">
        <f t="shared" si="15"/>
        <v>54135.8</v>
      </c>
      <c r="AK29" s="26">
        <f>AJ29/AI29*100</f>
        <v>77.286841515419312</v>
      </c>
      <c r="AL29" s="40">
        <f t="shared" si="15"/>
        <v>52612</v>
      </c>
      <c r="AM29" s="40">
        <f t="shared" si="15"/>
        <v>52514.400000000001</v>
      </c>
      <c r="AN29" s="26">
        <f>AM29/AL29*100</f>
        <v>99.814490990648522</v>
      </c>
      <c r="AO29" s="40">
        <f t="shared" si="15"/>
        <v>79700.400000000009</v>
      </c>
      <c r="AP29" s="40">
        <f t="shared" si="15"/>
        <v>96449.8</v>
      </c>
      <c r="AQ29" s="23">
        <f t="shared" ref="AQ29:AQ32" si="16">AP29/AO29</f>
        <v>1.2101545287100188</v>
      </c>
      <c r="AR29" s="36"/>
      <c r="AS29" s="36"/>
      <c r="AT29" s="80">
        <f t="shared" si="6"/>
        <v>0.99999956519035738</v>
      </c>
      <c r="AU29" s="85">
        <f t="shared" si="2"/>
        <v>125993.1</v>
      </c>
      <c r="AV29" s="85">
        <f t="shared" si="3"/>
        <v>222489.19999999998</v>
      </c>
      <c r="AW29" s="85">
        <f t="shared" si="4"/>
        <v>139117.1</v>
      </c>
      <c r="AX29" s="85">
        <f t="shared" si="5"/>
        <v>202357.7</v>
      </c>
    </row>
    <row r="30" spans="1:50" ht="13.5" customHeight="1" x14ac:dyDescent="0.3">
      <c r="A30" s="131"/>
      <c r="B30" s="131"/>
      <c r="C30" s="131"/>
      <c r="D30" s="39" t="s">
        <v>22</v>
      </c>
      <c r="E30" s="40">
        <f t="shared" si="14"/>
        <v>0</v>
      </c>
      <c r="F30" s="40">
        <f t="shared" si="14"/>
        <v>0</v>
      </c>
      <c r="G30" s="23"/>
      <c r="H30" s="40">
        <f t="shared" ref="H30:I33" si="17">H10+H15+H20+H25</f>
        <v>0</v>
      </c>
      <c r="I30" s="40">
        <f t="shared" si="17"/>
        <v>0</v>
      </c>
      <c r="J30" s="23"/>
      <c r="K30" s="40">
        <f t="shared" ref="K30:AP33" si="18">K10+K15+K20+K25</f>
        <v>0</v>
      </c>
      <c r="L30" s="40">
        <f t="shared" si="18"/>
        <v>0</v>
      </c>
      <c r="M30" s="23"/>
      <c r="N30" s="40">
        <f t="shared" si="18"/>
        <v>0</v>
      </c>
      <c r="O30" s="40">
        <f t="shared" si="18"/>
        <v>0</v>
      </c>
      <c r="P30" s="23"/>
      <c r="Q30" s="40">
        <f t="shared" si="18"/>
        <v>0</v>
      </c>
      <c r="R30" s="40">
        <f t="shared" si="18"/>
        <v>0</v>
      </c>
      <c r="S30" s="23"/>
      <c r="T30" s="40">
        <f t="shared" si="18"/>
        <v>0</v>
      </c>
      <c r="U30" s="40">
        <f t="shared" si="18"/>
        <v>0</v>
      </c>
      <c r="V30" s="23"/>
      <c r="W30" s="40">
        <f t="shared" si="18"/>
        <v>0</v>
      </c>
      <c r="X30" s="40">
        <f t="shared" si="18"/>
        <v>0</v>
      </c>
      <c r="Y30" s="23"/>
      <c r="Z30" s="40">
        <f t="shared" si="18"/>
        <v>0</v>
      </c>
      <c r="AA30" s="40">
        <f t="shared" si="18"/>
        <v>0</v>
      </c>
      <c r="AB30" s="23"/>
      <c r="AC30" s="40">
        <f t="shared" si="18"/>
        <v>0</v>
      </c>
      <c r="AD30" s="40">
        <f t="shared" si="18"/>
        <v>0</v>
      </c>
      <c r="AE30" s="23"/>
      <c r="AF30" s="40">
        <f t="shared" si="18"/>
        <v>0</v>
      </c>
      <c r="AG30" s="40">
        <f t="shared" si="18"/>
        <v>0</v>
      </c>
      <c r="AH30" s="23"/>
      <c r="AI30" s="40">
        <f t="shared" si="18"/>
        <v>0</v>
      </c>
      <c r="AJ30" s="40">
        <f t="shared" si="18"/>
        <v>0</v>
      </c>
      <c r="AK30" s="23"/>
      <c r="AL30" s="40">
        <f t="shared" si="18"/>
        <v>0</v>
      </c>
      <c r="AM30" s="40">
        <f t="shared" si="18"/>
        <v>0</v>
      </c>
      <c r="AN30" s="23"/>
      <c r="AO30" s="40">
        <f t="shared" si="18"/>
        <v>0</v>
      </c>
      <c r="AP30" s="40">
        <f t="shared" si="18"/>
        <v>0</v>
      </c>
      <c r="AQ30" s="23"/>
      <c r="AR30" s="36"/>
      <c r="AS30" s="36"/>
      <c r="AT30" s="80"/>
      <c r="AU30" s="85">
        <f t="shared" si="2"/>
        <v>0</v>
      </c>
      <c r="AV30" s="85">
        <f t="shared" si="3"/>
        <v>0</v>
      </c>
      <c r="AW30" s="85">
        <f t="shared" si="4"/>
        <v>0</v>
      </c>
      <c r="AX30" s="85">
        <f t="shared" si="5"/>
        <v>0</v>
      </c>
    </row>
    <row r="31" spans="1:50" ht="23.25" customHeight="1" x14ac:dyDescent="0.3">
      <c r="A31" s="131"/>
      <c r="B31" s="131"/>
      <c r="C31" s="131"/>
      <c r="D31" s="39" t="s">
        <v>4</v>
      </c>
      <c r="E31" s="40">
        <f t="shared" si="14"/>
        <v>580585.30000000005</v>
      </c>
      <c r="F31" s="40">
        <f t="shared" si="14"/>
        <v>580585</v>
      </c>
      <c r="G31" s="26">
        <f>F31/E31*100</f>
        <v>99.999948328006226</v>
      </c>
      <c r="H31" s="40">
        <f t="shared" si="17"/>
        <v>14401</v>
      </c>
      <c r="I31" s="40">
        <f t="shared" si="17"/>
        <v>14401</v>
      </c>
      <c r="J31" s="26">
        <f>I31/H31*100</f>
        <v>100</v>
      </c>
      <c r="K31" s="40">
        <f t="shared" si="18"/>
        <v>45870</v>
      </c>
      <c r="L31" s="40">
        <f t="shared" si="18"/>
        <v>44854.6</v>
      </c>
      <c r="M31" s="26">
        <f>L31/K31*100</f>
        <v>97.78635273599302</v>
      </c>
      <c r="N31" s="40">
        <f t="shared" si="18"/>
        <v>43030</v>
      </c>
      <c r="O31" s="40">
        <f t="shared" si="18"/>
        <v>42276.6</v>
      </c>
      <c r="P31" s="26">
        <f>O31/N31*100</f>
        <v>98.249128514989536</v>
      </c>
      <c r="Q31" s="40">
        <f t="shared" si="18"/>
        <v>52380.9</v>
      </c>
      <c r="R31" s="40">
        <f t="shared" si="18"/>
        <v>52391.1</v>
      </c>
      <c r="S31" s="26">
        <f>R31/Q31*100</f>
        <v>100.01947274674548</v>
      </c>
      <c r="T31" s="40">
        <f t="shared" si="18"/>
        <v>69285</v>
      </c>
      <c r="U31" s="40">
        <f t="shared" si="18"/>
        <v>69606.3</v>
      </c>
      <c r="V31" s="26">
        <f>U31/T31*100</f>
        <v>100.46373673955402</v>
      </c>
      <c r="W31" s="40">
        <f t="shared" si="18"/>
        <v>71612</v>
      </c>
      <c r="X31" s="40">
        <f t="shared" si="18"/>
        <v>72072.600000000006</v>
      </c>
      <c r="Y31" s="26">
        <f>X31/W31*100</f>
        <v>100.64318829246497</v>
      </c>
      <c r="Z31" s="40">
        <f t="shared" si="18"/>
        <v>54962.8</v>
      </c>
      <c r="AA31" s="40">
        <f t="shared" si="18"/>
        <v>53217.8</v>
      </c>
      <c r="AB31" s="26">
        <f>AA31/Z31*100</f>
        <v>96.825125357514537</v>
      </c>
      <c r="AC31" s="40">
        <f t="shared" si="18"/>
        <v>32114</v>
      </c>
      <c r="AD31" s="40">
        <f t="shared" si="18"/>
        <v>32739.9</v>
      </c>
      <c r="AE31" s="26">
        <f>AD31/AC31*100</f>
        <v>101.94899420813353</v>
      </c>
      <c r="AF31" s="40">
        <f t="shared" si="18"/>
        <v>29868.7</v>
      </c>
      <c r="AG31" s="40">
        <f t="shared" si="18"/>
        <v>31221.900000000012</v>
      </c>
      <c r="AH31" s="26">
        <f>AG31/AF31*100</f>
        <v>104.53049513370188</v>
      </c>
      <c r="AI31" s="40">
        <f t="shared" si="18"/>
        <v>58149.8</v>
      </c>
      <c r="AJ31" s="40">
        <f t="shared" si="18"/>
        <v>42640.4</v>
      </c>
      <c r="AK31" s="26">
        <f>AJ31/AI31*100</f>
        <v>73.328541112781124</v>
      </c>
      <c r="AL31" s="40">
        <f t="shared" si="18"/>
        <v>43714</v>
      </c>
      <c r="AM31" s="40">
        <f t="shared" si="18"/>
        <v>43616.4</v>
      </c>
      <c r="AN31" s="26">
        <f>AM31/AL31*100</f>
        <v>99.776730566866462</v>
      </c>
      <c r="AO31" s="40">
        <f t="shared" si="18"/>
        <v>65197.100000000006</v>
      </c>
      <c r="AP31" s="40">
        <f t="shared" si="18"/>
        <v>81546.400000000009</v>
      </c>
      <c r="AQ31" s="23">
        <f t="shared" si="16"/>
        <v>1.2507672887290999</v>
      </c>
      <c r="AR31" s="36"/>
      <c r="AS31" s="36"/>
      <c r="AT31" s="80">
        <f t="shared" si="6"/>
        <v>0.99999948328006227</v>
      </c>
      <c r="AU31" s="85">
        <f t="shared" si="2"/>
        <v>103301</v>
      </c>
      <c r="AV31" s="85">
        <f t="shared" si="3"/>
        <v>193277.9</v>
      </c>
      <c r="AW31" s="85">
        <f t="shared" si="4"/>
        <v>116945.5</v>
      </c>
      <c r="AX31" s="85">
        <f t="shared" si="5"/>
        <v>167060.90000000002</v>
      </c>
    </row>
    <row r="32" spans="1:50" ht="13.5" customHeight="1" x14ac:dyDescent="0.3">
      <c r="A32" s="131"/>
      <c r="B32" s="131"/>
      <c r="C32" s="131"/>
      <c r="D32" s="39" t="s">
        <v>44</v>
      </c>
      <c r="E32" s="40">
        <f t="shared" si="14"/>
        <v>109371.8</v>
      </c>
      <c r="F32" s="40">
        <f t="shared" si="14"/>
        <v>109371.79999999999</v>
      </c>
      <c r="G32" s="26">
        <f>F32/E32*100</f>
        <v>99.999999999999986</v>
      </c>
      <c r="H32" s="40">
        <f t="shared" si="17"/>
        <v>2294.5</v>
      </c>
      <c r="I32" s="40">
        <f t="shared" si="17"/>
        <v>2294.5</v>
      </c>
      <c r="J32" s="26">
        <f>I32/H32*100</f>
        <v>100</v>
      </c>
      <c r="K32" s="40">
        <f t="shared" si="18"/>
        <v>10857.5</v>
      </c>
      <c r="L32" s="40">
        <f t="shared" si="18"/>
        <v>10857.5</v>
      </c>
      <c r="M32" s="26">
        <f>L32/K32*100</f>
        <v>100</v>
      </c>
      <c r="N32" s="40">
        <f t="shared" si="18"/>
        <v>9540.1</v>
      </c>
      <c r="O32" s="40">
        <f t="shared" si="18"/>
        <v>9540.1</v>
      </c>
      <c r="P32" s="26">
        <f>O32/N32*100</f>
        <v>100</v>
      </c>
      <c r="Q32" s="40">
        <f t="shared" si="18"/>
        <v>11982.2</v>
      </c>
      <c r="R32" s="40">
        <f t="shared" si="18"/>
        <v>13489.2</v>
      </c>
      <c r="S32" s="26">
        <f>R32/Q32*100</f>
        <v>112.57698920064763</v>
      </c>
      <c r="T32" s="40">
        <f t="shared" si="18"/>
        <v>11215.7</v>
      </c>
      <c r="U32" s="40">
        <f t="shared" si="18"/>
        <v>10405.699999999997</v>
      </c>
      <c r="V32" s="26">
        <f>U32/T32*100</f>
        <v>92.777980866107299</v>
      </c>
      <c r="W32" s="40">
        <f t="shared" si="18"/>
        <v>6013.4</v>
      </c>
      <c r="X32" s="40">
        <f t="shared" si="18"/>
        <v>5316.4</v>
      </c>
      <c r="Y32" s="26">
        <f>X32/W32*100</f>
        <v>88.40921940998436</v>
      </c>
      <c r="Z32" s="40">
        <f t="shared" si="18"/>
        <v>12263.9</v>
      </c>
      <c r="AA32" s="40">
        <f t="shared" si="18"/>
        <v>12263.9</v>
      </c>
      <c r="AB32" s="26">
        <f>AA32/Z32*100</f>
        <v>100</v>
      </c>
      <c r="AC32" s="40">
        <f t="shared" si="18"/>
        <v>8082.7</v>
      </c>
      <c r="AD32" s="40">
        <f t="shared" si="18"/>
        <v>5940.7</v>
      </c>
      <c r="AE32" s="26">
        <f>AD32/AC32*100</f>
        <v>73.498954557264284</v>
      </c>
      <c r="AF32" s="40">
        <f t="shared" si="18"/>
        <v>1825</v>
      </c>
      <c r="AG32" s="40">
        <f t="shared" si="18"/>
        <v>3967</v>
      </c>
      <c r="AH32" s="26">
        <f>AG32/AF32*100</f>
        <v>217.36986301369865</v>
      </c>
      <c r="AI32" s="40">
        <f t="shared" si="18"/>
        <v>11895.5</v>
      </c>
      <c r="AJ32" s="40">
        <f t="shared" si="18"/>
        <v>11495.4</v>
      </c>
      <c r="AK32" s="26">
        <f>AJ32/AI32*100</f>
        <v>96.636543230633436</v>
      </c>
      <c r="AL32" s="40">
        <f t="shared" si="18"/>
        <v>8898</v>
      </c>
      <c r="AM32" s="40">
        <f t="shared" si="18"/>
        <v>8898</v>
      </c>
      <c r="AN32" s="26">
        <f>AM32/AL32*100</f>
        <v>100</v>
      </c>
      <c r="AO32" s="40">
        <f t="shared" si="18"/>
        <v>14503.299999999997</v>
      </c>
      <c r="AP32" s="40">
        <f t="shared" si="18"/>
        <v>14903.4</v>
      </c>
      <c r="AQ32" s="23">
        <f t="shared" si="16"/>
        <v>1.0275868250673985</v>
      </c>
      <c r="AR32" s="36"/>
      <c r="AS32" s="36"/>
      <c r="AT32" s="80">
        <f t="shared" si="6"/>
        <v>0.99999999999999989</v>
      </c>
      <c r="AU32" s="85">
        <f t="shared" si="2"/>
        <v>22692.1</v>
      </c>
      <c r="AV32" s="85">
        <f t="shared" si="3"/>
        <v>29211.300000000003</v>
      </c>
      <c r="AW32" s="85">
        <f t="shared" si="4"/>
        <v>22171.599999999999</v>
      </c>
      <c r="AX32" s="84">
        <f t="shared" si="5"/>
        <v>35296.799999999996</v>
      </c>
    </row>
    <row r="33" spans="1:50" ht="15.6" x14ac:dyDescent="0.3">
      <c r="A33" s="131"/>
      <c r="B33" s="131"/>
      <c r="C33" s="131"/>
      <c r="D33" s="39" t="s">
        <v>23</v>
      </c>
      <c r="E33" s="40">
        <f t="shared" si="14"/>
        <v>0</v>
      </c>
      <c r="F33" s="40">
        <f t="shared" si="14"/>
        <v>0</v>
      </c>
      <c r="G33" s="23"/>
      <c r="H33" s="40">
        <f t="shared" si="17"/>
        <v>0</v>
      </c>
      <c r="I33" s="40">
        <f t="shared" si="17"/>
        <v>0</v>
      </c>
      <c r="J33" s="40"/>
      <c r="K33" s="40">
        <f t="shared" si="18"/>
        <v>0</v>
      </c>
      <c r="L33" s="40">
        <f t="shared" si="18"/>
        <v>0</v>
      </c>
      <c r="M33" s="40"/>
      <c r="N33" s="40">
        <f t="shared" si="18"/>
        <v>0</v>
      </c>
      <c r="O33" s="40">
        <f t="shared" si="18"/>
        <v>0</v>
      </c>
      <c r="P33" s="40"/>
      <c r="Q33" s="40">
        <f t="shared" si="18"/>
        <v>0</v>
      </c>
      <c r="R33" s="40">
        <f t="shared" si="18"/>
        <v>0</v>
      </c>
      <c r="S33" s="40"/>
      <c r="T33" s="40">
        <f t="shared" si="18"/>
        <v>0</v>
      </c>
      <c r="U33" s="40">
        <f t="shared" si="18"/>
        <v>0</v>
      </c>
      <c r="V33" s="40"/>
      <c r="W33" s="40">
        <f t="shared" si="18"/>
        <v>0</v>
      </c>
      <c r="X33" s="40">
        <f t="shared" si="18"/>
        <v>0</v>
      </c>
      <c r="Y33" s="40"/>
      <c r="Z33" s="40">
        <f t="shared" si="18"/>
        <v>0</v>
      </c>
      <c r="AA33" s="40">
        <f t="shared" si="18"/>
        <v>0</v>
      </c>
      <c r="AB33" s="40"/>
      <c r="AC33" s="40">
        <f t="shared" si="18"/>
        <v>0</v>
      </c>
      <c r="AD33" s="40">
        <f t="shared" si="18"/>
        <v>0</v>
      </c>
      <c r="AE33" s="40"/>
      <c r="AF33" s="40">
        <f t="shared" si="18"/>
        <v>0</v>
      </c>
      <c r="AG33" s="40"/>
      <c r="AH33" s="40"/>
      <c r="AI33" s="40">
        <f t="shared" si="18"/>
        <v>0</v>
      </c>
      <c r="AJ33" s="40"/>
      <c r="AK33" s="40"/>
      <c r="AL33" s="40">
        <f t="shared" si="18"/>
        <v>0</v>
      </c>
      <c r="AM33" s="40"/>
      <c r="AN33" s="40"/>
      <c r="AO33" s="40">
        <f t="shared" si="18"/>
        <v>0</v>
      </c>
      <c r="AP33" s="24"/>
      <c r="AQ33" s="24"/>
      <c r="AR33" s="36"/>
      <c r="AS33" s="36"/>
      <c r="AT33" s="80"/>
      <c r="AU33" s="84">
        <f t="shared" si="2"/>
        <v>0</v>
      </c>
      <c r="AV33" s="84">
        <f t="shared" si="3"/>
        <v>0</v>
      </c>
      <c r="AW33" s="84">
        <f t="shared" si="4"/>
        <v>0</v>
      </c>
      <c r="AX33" s="84">
        <f t="shared" si="5"/>
        <v>0</v>
      </c>
    </row>
    <row r="34" spans="1:50" ht="15.6" x14ac:dyDescent="0.3">
      <c r="A34" s="119" t="s">
        <v>47</v>
      </c>
      <c r="B34" s="37" t="s">
        <v>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6"/>
      <c r="AS34" s="36"/>
      <c r="AT34" s="80"/>
      <c r="AU34" s="84">
        <f t="shared" si="2"/>
        <v>0</v>
      </c>
      <c r="AV34" s="84">
        <f t="shared" si="3"/>
        <v>0</v>
      </c>
      <c r="AW34" s="84">
        <f t="shared" si="4"/>
        <v>0</v>
      </c>
      <c r="AX34" s="84">
        <f t="shared" si="5"/>
        <v>0</v>
      </c>
    </row>
    <row r="35" spans="1:50" ht="15.75" customHeight="1" x14ac:dyDescent="0.3">
      <c r="A35" s="127" t="s">
        <v>46</v>
      </c>
      <c r="B35" s="127" t="s">
        <v>86</v>
      </c>
      <c r="C35" s="127" t="s">
        <v>6</v>
      </c>
      <c r="D35" s="38" t="s">
        <v>3</v>
      </c>
      <c r="E35" s="24">
        <f t="shared" ref="E35:F51" si="19">H35+K35+N35+Q35+T35+W35+Z35+AC35+AF35+AI35+AL35+AO35</f>
        <v>0</v>
      </c>
      <c r="F35" s="24">
        <f t="shared" si="19"/>
        <v>0</v>
      </c>
      <c r="G35" s="24"/>
      <c r="H35" s="24">
        <f>H36+H37+H38+H39</f>
        <v>0</v>
      </c>
      <c r="I35" s="24"/>
      <c r="J35" s="24"/>
      <c r="K35" s="24">
        <f t="shared" ref="K35:AO35" si="20">K36+K37+K38+K39</f>
        <v>0</v>
      </c>
      <c r="L35" s="24"/>
      <c r="M35" s="24"/>
      <c r="N35" s="24">
        <f t="shared" si="20"/>
        <v>0</v>
      </c>
      <c r="O35" s="24"/>
      <c r="P35" s="24"/>
      <c r="Q35" s="24">
        <f t="shared" si="20"/>
        <v>0</v>
      </c>
      <c r="R35" s="24"/>
      <c r="S35" s="24"/>
      <c r="T35" s="24">
        <f t="shared" si="20"/>
        <v>0</v>
      </c>
      <c r="U35" s="24"/>
      <c r="V35" s="24"/>
      <c r="W35" s="24">
        <f t="shared" si="20"/>
        <v>0</v>
      </c>
      <c r="X35" s="24"/>
      <c r="Y35" s="24"/>
      <c r="Z35" s="24">
        <f t="shared" si="20"/>
        <v>0</v>
      </c>
      <c r="AA35" s="24"/>
      <c r="AB35" s="24"/>
      <c r="AC35" s="24">
        <f t="shared" si="20"/>
        <v>0</v>
      </c>
      <c r="AD35" s="24">
        <f t="shared" si="20"/>
        <v>0</v>
      </c>
      <c r="AE35" s="24"/>
      <c r="AF35" s="24">
        <f t="shared" si="20"/>
        <v>0</v>
      </c>
      <c r="AG35" s="24"/>
      <c r="AH35" s="24"/>
      <c r="AI35" s="24">
        <f t="shared" si="20"/>
        <v>0</v>
      </c>
      <c r="AJ35" s="24"/>
      <c r="AK35" s="24"/>
      <c r="AL35" s="24">
        <f t="shared" si="20"/>
        <v>0</v>
      </c>
      <c r="AM35" s="24"/>
      <c r="AN35" s="24"/>
      <c r="AO35" s="24">
        <f t="shared" si="20"/>
        <v>0</v>
      </c>
      <c r="AP35" s="24"/>
      <c r="AQ35" s="24"/>
      <c r="AR35" s="36"/>
      <c r="AS35" s="36"/>
      <c r="AT35" s="80"/>
      <c r="AU35" s="84">
        <f t="shared" si="2"/>
        <v>0</v>
      </c>
      <c r="AV35" s="84">
        <f t="shared" si="3"/>
        <v>0</v>
      </c>
      <c r="AW35" s="84">
        <f t="shared" si="4"/>
        <v>0</v>
      </c>
      <c r="AX35" s="84">
        <f t="shared" si="5"/>
        <v>0</v>
      </c>
    </row>
    <row r="36" spans="1:50" ht="15.6" x14ac:dyDescent="0.3">
      <c r="A36" s="127"/>
      <c r="B36" s="127"/>
      <c r="C36" s="127"/>
      <c r="D36" s="38" t="s">
        <v>22</v>
      </c>
      <c r="E36" s="24">
        <f t="shared" si="19"/>
        <v>0</v>
      </c>
      <c r="F36" s="24">
        <f t="shared" si="19"/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36"/>
      <c r="AS36" s="36"/>
      <c r="AT36" s="80"/>
      <c r="AU36" s="84">
        <f t="shared" si="2"/>
        <v>0</v>
      </c>
      <c r="AV36" s="84">
        <f t="shared" si="3"/>
        <v>0</v>
      </c>
      <c r="AW36" s="84">
        <f t="shared" si="4"/>
        <v>0</v>
      </c>
      <c r="AX36" s="84">
        <f t="shared" si="5"/>
        <v>0</v>
      </c>
    </row>
    <row r="37" spans="1:50" ht="24" x14ac:dyDescent="0.3">
      <c r="A37" s="127"/>
      <c r="B37" s="127"/>
      <c r="C37" s="127"/>
      <c r="D37" s="38" t="s">
        <v>4</v>
      </c>
      <c r="E37" s="24">
        <f t="shared" si="19"/>
        <v>0</v>
      </c>
      <c r="F37" s="24">
        <f t="shared" si="19"/>
        <v>0</v>
      </c>
      <c r="G37" s="24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6"/>
      <c r="AS37" s="36"/>
      <c r="AT37" s="80"/>
      <c r="AU37" s="84">
        <f t="shared" si="2"/>
        <v>0</v>
      </c>
      <c r="AV37" s="84">
        <f t="shared" si="3"/>
        <v>0</v>
      </c>
      <c r="AW37" s="84">
        <f t="shared" si="4"/>
        <v>0</v>
      </c>
      <c r="AX37" s="84">
        <f t="shared" si="5"/>
        <v>0</v>
      </c>
    </row>
    <row r="38" spans="1:50" ht="15.6" x14ac:dyDescent="0.3">
      <c r="A38" s="127"/>
      <c r="B38" s="127"/>
      <c r="C38" s="127"/>
      <c r="D38" s="38" t="s">
        <v>44</v>
      </c>
      <c r="E38" s="24">
        <f t="shared" si="19"/>
        <v>0</v>
      </c>
      <c r="F38" s="24">
        <f t="shared" si="19"/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36"/>
      <c r="AS38" s="36"/>
      <c r="AT38" s="80"/>
      <c r="AU38" s="84">
        <f t="shared" si="2"/>
        <v>0</v>
      </c>
      <c r="AV38" s="84">
        <f t="shared" si="3"/>
        <v>0</v>
      </c>
      <c r="AW38" s="84">
        <f t="shared" si="4"/>
        <v>0</v>
      </c>
      <c r="AX38" s="84">
        <f t="shared" si="5"/>
        <v>0</v>
      </c>
    </row>
    <row r="39" spans="1:50" ht="15.6" x14ac:dyDescent="0.3">
      <c r="A39" s="127"/>
      <c r="B39" s="127"/>
      <c r="C39" s="127"/>
      <c r="D39" s="38" t="s">
        <v>23</v>
      </c>
      <c r="E39" s="24">
        <f t="shared" si="19"/>
        <v>0</v>
      </c>
      <c r="F39" s="24">
        <f t="shared" si="19"/>
        <v>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36"/>
      <c r="AS39" s="36"/>
      <c r="AT39" s="80"/>
      <c r="AU39" s="84">
        <f t="shared" si="2"/>
        <v>0</v>
      </c>
      <c r="AV39" s="84">
        <f t="shared" si="3"/>
        <v>0</v>
      </c>
      <c r="AW39" s="84">
        <f t="shared" si="4"/>
        <v>0</v>
      </c>
      <c r="AX39" s="84">
        <f t="shared" si="5"/>
        <v>0</v>
      </c>
    </row>
    <row r="40" spans="1:50" ht="15.75" customHeight="1" x14ac:dyDescent="0.3">
      <c r="A40" s="124" t="s">
        <v>48</v>
      </c>
      <c r="B40" s="124" t="s">
        <v>87</v>
      </c>
      <c r="C40" s="124" t="s">
        <v>125</v>
      </c>
      <c r="D40" s="38" t="s">
        <v>3</v>
      </c>
      <c r="E40" s="24">
        <f>H40+K40+N40+Q40+T40+W40+Z40+AC40+AF40+AI40+AL40+AO40</f>
        <v>64991.100000000006</v>
      </c>
      <c r="F40" s="24">
        <f>I40+L40+O40+R40+U40+X40+AA40+AD40+AG40+AJ40+AM40+AP40</f>
        <v>62316.299999999996</v>
      </c>
      <c r="G40" s="25">
        <f>F40/E40*100</f>
        <v>95.884359550769247</v>
      </c>
      <c r="H40" s="24">
        <f>H41+H42+H43+H44</f>
        <v>0</v>
      </c>
      <c r="I40" s="24"/>
      <c r="J40" s="24"/>
      <c r="K40" s="24">
        <f t="shared" ref="K40:AP40" si="21">K41+K42+K43+K44</f>
        <v>0</v>
      </c>
      <c r="L40" s="24"/>
      <c r="M40" s="24"/>
      <c r="N40" s="24">
        <f t="shared" si="21"/>
        <v>46.3</v>
      </c>
      <c r="O40" s="24">
        <f t="shared" si="21"/>
        <v>0</v>
      </c>
      <c r="P40" s="25">
        <f>O40/N40*100</f>
        <v>0</v>
      </c>
      <c r="Q40" s="24">
        <f t="shared" si="21"/>
        <v>0</v>
      </c>
      <c r="R40" s="24">
        <f t="shared" si="21"/>
        <v>46.3</v>
      </c>
      <c r="S40" s="24"/>
      <c r="T40" s="24">
        <f t="shared" si="21"/>
        <v>0</v>
      </c>
      <c r="U40" s="24"/>
      <c r="V40" s="24"/>
      <c r="W40" s="24">
        <f t="shared" si="21"/>
        <v>0</v>
      </c>
      <c r="X40" s="24">
        <f t="shared" si="21"/>
        <v>0</v>
      </c>
      <c r="Y40" s="24"/>
      <c r="Z40" s="24">
        <f t="shared" si="21"/>
        <v>0</v>
      </c>
      <c r="AA40" s="24"/>
      <c r="AB40" s="24"/>
      <c r="AC40" s="24">
        <f t="shared" si="21"/>
        <v>41796.300000000003</v>
      </c>
      <c r="AD40" s="24">
        <f t="shared" si="21"/>
        <v>0</v>
      </c>
      <c r="AE40" s="25">
        <f>AD40/AC40*100</f>
        <v>0</v>
      </c>
      <c r="AF40" s="24">
        <f t="shared" si="21"/>
        <v>19223</v>
      </c>
      <c r="AG40" s="24">
        <f t="shared" si="21"/>
        <v>16490.099999999999</v>
      </c>
      <c r="AH40" s="25">
        <f>AG40/AF40*100</f>
        <v>85.783176403266907</v>
      </c>
      <c r="AI40" s="24">
        <f t="shared" si="21"/>
        <v>2687.1000000000004</v>
      </c>
      <c r="AJ40" s="24">
        <f t="shared" si="21"/>
        <v>0</v>
      </c>
      <c r="AK40" s="24"/>
      <c r="AL40" s="24">
        <f t="shared" si="21"/>
        <v>0</v>
      </c>
      <c r="AM40" s="24">
        <f t="shared" si="21"/>
        <v>40859.5</v>
      </c>
      <c r="AN40" s="25"/>
      <c r="AO40" s="24">
        <f t="shared" si="21"/>
        <v>1238.4000000000001</v>
      </c>
      <c r="AP40" s="24">
        <f t="shared" si="21"/>
        <v>4920.3999999999996</v>
      </c>
      <c r="AQ40" s="25">
        <f>AP40/AO40*100</f>
        <v>397.31912144702835</v>
      </c>
      <c r="AR40" s="58"/>
      <c r="AS40" s="58"/>
      <c r="AT40" s="80">
        <f t="shared" si="6"/>
        <v>0.95884359550769249</v>
      </c>
      <c r="AU40" s="84">
        <f t="shared" si="2"/>
        <v>46.3</v>
      </c>
      <c r="AV40" s="84">
        <f t="shared" si="3"/>
        <v>0</v>
      </c>
      <c r="AW40" s="84">
        <f t="shared" si="4"/>
        <v>61019.3</v>
      </c>
      <c r="AX40" s="84">
        <f t="shared" si="5"/>
        <v>3925.5000000000005</v>
      </c>
    </row>
    <row r="41" spans="1:50" ht="15.6" x14ac:dyDescent="0.3">
      <c r="A41" s="125"/>
      <c r="B41" s="125"/>
      <c r="C41" s="125"/>
      <c r="D41" s="38" t="s">
        <v>22</v>
      </c>
      <c r="E41" s="24">
        <f t="shared" si="19"/>
        <v>0</v>
      </c>
      <c r="F41" s="24">
        <f t="shared" si="19"/>
        <v>0</v>
      </c>
      <c r="G41" s="22"/>
      <c r="H41" s="24"/>
      <c r="I41" s="24"/>
      <c r="J41" s="24"/>
      <c r="K41" s="24"/>
      <c r="L41" s="24"/>
      <c r="M41" s="24"/>
      <c r="N41" s="24"/>
      <c r="O41" s="24"/>
      <c r="P41" s="22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2"/>
      <c r="AF41" s="24"/>
      <c r="AG41" s="24"/>
      <c r="AH41" s="22"/>
      <c r="AI41" s="24"/>
      <c r="AJ41" s="24"/>
      <c r="AK41" s="24"/>
      <c r="AL41" s="24"/>
      <c r="AM41" s="24"/>
      <c r="AN41" s="22"/>
      <c r="AO41" s="24"/>
      <c r="AP41" s="24"/>
      <c r="AQ41" s="22"/>
      <c r="AR41" s="36"/>
      <c r="AS41" s="36"/>
      <c r="AT41" s="80"/>
      <c r="AU41" s="84">
        <f t="shared" si="2"/>
        <v>0</v>
      </c>
      <c r="AV41" s="84">
        <f t="shared" si="3"/>
        <v>0</v>
      </c>
      <c r="AW41" s="84">
        <f t="shared" si="4"/>
        <v>0</v>
      </c>
      <c r="AX41" s="84">
        <f t="shared" si="5"/>
        <v>0</v>
      </c>
    </row>
    <row r="42" spans="1:50" ht="24" x14ac:dyDescent="0.3">
      <c r="A42" s="125"/>
      <c r="B42" s="125"/>
      <c r="C42" s="125"/>
      <c r="D42" s="38" t="s">
        <v>4</v>
      </c>
      <c r="E42" s="24">
        <f t="shared" si="19"/>
        <v>0</v>
      </c>
      <c r="F42" s="24">
        <f t="shared" si="19"/>
        <v>0</v>
      </c>
      <c r="G42" s="25"/>
      <c r="H42" s="24"/>
      <c r="I42" s="24"/>
      <c r="J42" s="24"/>
      <c r="K42" s="24"/>
      <c r="L42" s="24"/>
      <c r="M42" s="24"/>
      <c r="N42" s="24"/>
      <c r="O42" s="24"/>
      <c r="P42" s="25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24"/>
      <c r="AG42" s="24"/>
      <c r="AH42" s="25"/>
      <c r="AI42" s="24"/>
      <c r="AJ42" s="24"/>
      <c r="AK42" s="24"/>
      <c r="AL42" s="24"/>
      <c r="AM42" s="24"/>
      <c r="AN42" s="25"/>
      <c r="AO42" s="24"/>
      <c r="AP42" s="24"/>
      <c r="AQ42" s="25"/>
      <c r="AR42" s="36"/>
      <c r="AS42" s="36"/>
      <c r="AT42" s="80"/>
      <c r="AU42" s="84">
        <f t="shared" si="2"/>
        <v>0</v>
      </c>
      <c r="AV42" s="84">
        <f t="shared" si="3"/>
        <v>0</v>
      </c>
      <c r="AW42" s="84">
        <f t="shared" si="4"/>
        <v>0</v>
      </c>
      <c r="AX42" s="84">
        <f t="shared" si="5"/>
        <v>0</v>
      </c>
    </row>
    <row r="43" spans="1:50" ht="193.2" customHeight="1" x14ac:dyDescent="0.3">
      <c r="A43" s="125"/>
      <c r="B43" s="125"/>
      <c r="C43" s="125"/>
      <c r="D43" s="38" t="s">
        <v>44</v>
      </c>
      <c r="E43" s="24">
        <f t="shared" si="19"/>
        <v>64991.100000000006</v>
      </c>
      <c r="F43" s="24">
        <f t="shared" si="19"/>
        <v>62316.299999999996</v>
      </c>
      <c r="G43" s="25">
        <f>F43/E43*100</f>
        <v>95.884359550769247</v>
      </c>
      <c r="H43" s="24"/>
      <c r="I43" s="24"/>
      <c r="J43" s="24"/>
      <c r="K43" s="24"/>
      <c r="L43" s="24"/>
      <c r="M43" s="24"/>
      <c r="N43" s="24">
        <f>46.3</f>
        <v>46.3</v>
      </c>
      <c r="O43" s="24">
        <v>0</v>
      </c>
      <c r="P43" s="25">
        <f>O43/N43*100</f>
        <v>0</v>
      </c>
      <c r="Q43" s="24"/>
      <c r="R43" s="24">
        <v>46.3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>
        <v>41796.300000000003</v>
      </c>
      <c r="AD43" s="24"/>
      <c r="AE43" s="25">
        <f>AD43/AC43*100</f>
        <v>0</v>
      </c>
      <c r="AF43" s="24">
        <f>20293.4-1070.4</f>
        <v>19223</v>
      </c>
      <c r="AG43" s="24">
        <v>16490.099999999999</v>
      </c>
      <c r="AH43" s="25">
        <f>AG43/AF43*100</f>
        <v>85.783176403266907</v>
      </c>
      <c r="AI43" s="24">
        <f>25417.4-1-11520.6+1-11209.7</f>
        <v>2687.1000000000004</v>
      </c>
      <c r="AJ43" s="93"/>
      <c r="AK43" s="24"/>
      <c r="AL43" s="24"/>
      <c r="AM43" s="24">
        <f>45779.9-4920.4</f>
        <v>40859.5</v>
      </c>
      <c r="AN43" s="25"/>
      <c r="AO43" s="24">
        <v>1238.4000000000001</v>
      </c>
      <c r="AP43" s="24">
        <v>4920.3999999999996</v>
      </c>
      <c r="AQ43" s="25">
        <f>AP43/AO43*100</f>
        <v>397.31912144702835</v>
      </c>
      <c r="AR43" s="82" t="s">
        <v>194</v>
      </c>
      <c r="AS43" s="60" t="s">
        <v>292</v>
      </c>
      <c r="AT43" s="80">
        <f t="shared" si="6"/>
        <v>0.95884359550769249</v>
      </c>
      <c r="AU43" s="84">
        <f t="shared" si="2"/>
        <v>46.3</v>
      </c>
      <c r="AV43" s="84">
        <f t="shared" si="3"/>
        <v>0</v>
      </c>
      <c r="AW43" s="84">
        <f t="shared" si="4"/>
        <v>61019.3</v>
      </c>
      <c r="AX43" s="84">
        <f t="shared" si="5"/>
        <v>3925.5000000000005</v>
      </c>
    </row>
    <row r="44" spans="1:50" ht="15.6" x14ac:dyDescent="0.3">
      <c r="A44" s="125"/>
      <c r="B44" s="125"/>
      <c r="C44" s="125"/>
      <c r="D44" s="38" t="s">
        <v>23</v>
      </c>
      <c r="E44" s="24">
        <f t="shared" si="19"/>
        <v>0</v>
      </c>
      <c r="F44" s="24">
        <f t="shared" si="19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58"/>
      <c r="AS44" s="58"/>
      <c r="AT44" s="80"/>
      <c r="AU44" s="84">
        <f t="shared" si="2"/>
        <v>0</v>
      </c>
      <c r="AV44" s="84">
        <f t="shared" si="3"/>
        <v>0</v>
      </c>
      <c r="AW44" s="84">
        <f t="shared" si="4"/>
        <v>0</v>
      </c>
      <c r="AX44" s="84">
        <f t="shared" si="5"/>
        <v>0</v>
      </c>
    </row>
    <row r="45" spans="1:50" ht="76.8" customHeight="1" x14ac:dyDescent="0.3">
      <c r="A45" s="126"/>
      <c r="B45" s="126"/>
      <c r="C45" s="126"/>
      <c r="D45" s="39" t="s">
        <v>131</v>
      </c>
      <c r="E45" s="24"/>
      <c r="F45" s="24">
        <f t="shared" si="19"/>
        <v>6372.6</v>
      </c>
      <c r="G45" s="24"/>
      <c r="H45" s="24"/>
      <c r="I45" s="24"/>
      <c r="J45" s="24"/>
      <c r="K45" s="24"/>
      <c r="L45" s="24"/>
      <c r="M45" s="24"/>
      <c r="N45" s="24"/>
      <c r="O45" s="24">
        <v>4399.2</v>
      </c>
      <c r="P45" s="24"/>
      <c r="Q45" s="24"/>
      <c r="R45" s="24">
        <v>24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>
        <v>1949.4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82" t="s">
        <v>165</v>
      </c>
      <c r="AS45" s="82"/>
      <c r="AT45" s="80"/>
      <c r="AU45" s="84"/>
      <c r="AV45" s="84"/>
      <c r="AW45" s="84"/>
      <c r="AX45" s="84"/>
    </row>
    <row r="46" spans="1:50" ht="14.25" customHeight="1" x14ac:dyDescent="0.3">
      <c r="A46" s="127" t="s">
        <v>49</v>
      </c>
      <c r="B46" s="127" t="s">
        <v>141</v>
      </c>
      <c r="C46" s="127" t="s">
        <v>126</v>
      </c>
      <c r="D46" s="38" t="s">
        <v>3</v>
      </c>
      <c r="E46" s="24">
        <f t="shared" si="19"/>
        <v>10161.4</v>
      </c>
      <c r="F46" s="24">
        <f t="shared" si="19"/>
        <v>10161.4</v>
      </c>
      <c r="G46" s="25">
        <f>F46/E46*100</f>
        <v>100</v>
      </c>
      <c r="H46" s="24">
        <f>H47+H48+H49+H50</f>
        <v>0</v>
      </c>
      <c r="I46" s="24">
        <f>I47+I48+I49+I50</f>
        <v>0</v>
      </c>
      <c r="J46" s="24"/>
      <c r="K46" s="24">
        <f>K47+K48+K49+K50</f>
        <v>0</v>
      </c>
      <c r="L46" s="24">
        <f>L47+L48+L49+L50</f>
        <v>0</v>
      </c>
      <c r="M46" s="24"/>
      <c r="N46" s="24">
        <f>N47+N48+N49+N50</f>
        <v>0</v>
      </c>
      <c r="O46" s="24">
        <f>O47+O48+O49+O50</f>
        <v>0</v>
      </c>
      <c r="P46" s="24"/>
      <c r="Q46" s="24">
        <f>Q47+Q48+Q49+Q50</f>
        <v>0</v>
      </c>
      <c r="R46" s="24">
        <f>R47+R48+R49+R50</f>
        <v>0</v>
      </c>
      <c r="S46" s="24"/>
      <c r="T46" s="24">
        <f>T47+T48+T49+T50</f>
        <v>0</v>
      </c>
      <c r="U46" s="24">
        <f>U47+U48+U49+U50</f>
        <v>0</v>
      </c>
      <c r="V46" s="24"/>
      <c r="W46" s="24">
        <f>W47+W48+W49+W50</f>
        <v>0</v>
      </c>
      <c r="X46" s="24">
        <f>X47+X48+X49+X50</f>
        <v>0</v>
      </c>
      <c r="Y46" s="24"/>
      <c r="Z46" s="24">
        <f t="shared" ref="Z46:AJ46" si="22">Z47+Z48+Z49+Z50</f>
        <v>0</v>
      </c>
      <c r="AA46" s="24"/>
      <c r="AB46" s="24"/>
      <c r="AC46" s="24">
        <f t="shared" si="22"/>
        <v>0</v>
      </c>
      <c r="AD46" s="24"/>
      <c r="AE46" s="24"/>
      <c r="AF46" s="24">
        <f t="shared" si="22"/>
        <v>9485.9</v>
      </c>
      <c r="AG46" s="24">
        <f t="shared" si="22"/>
        <v>0</v>
      </c>
      <c r="AH46" s="24"/>
      <c r="AI46" s="24">
        <f t="shared" si="22"/>
        <v>675.5</v>
      </c>
      <c r="AJ46" s="24">
        <f t="shared" si="22"/>
        <v>10161.4</v>
      </c>
      <c r="AK46" s="24"/>
      <c r="AL46" s="24">
        <f t="shared" ref="AL46:AM46" si="23">AL47+AL48+AL49+AL50</f>
        <v>0</v>
      </c>
      <c r="AM46" s="24">
        <f t="shared" si="23"/>
        <v>0</v>
      </c>
      <c r="AN46" s="24"/>
      <c r="AO46" s="24">
        <f t="shared" ref="AO46:AP46" si="24">AO47+AO48+AO49+AO50</f>
        <v>0</v>
      </c>
      <c r="AP46" s="24">
        <f t="shared" si="24"/>
        <v>0</v>
      </c>
      <c r="AQ46" s="24"/>
      <c r="AR46" s="36"/>
      <c r="AS46" s="36"/>
      <c r="AT46" s="80">
        <f t="shared" si="6"/>
        <v>1</v>
      </c>
      <c r="AU46" s="84">
        <f t="shared" si="2"/>
        <v>0</v>
      </c>
      <c r="AV46" s="84">
        <f t="shared" si="3"/>
        <v>0</v>
      </c>
      <c r="AW46" s="84">
        <f t="shared" si="4"/>
        <v>9485.9</v>
      </c>
      <c r="AX46" s="84">
        <f t="shared" si="5"/>
        <v>675.5</v>
      </c>
    </row>
    <row r="47" spans="1:50" ht="13.5" customHeight="1" x14ac:dyDescent="0.3">
      <c r="A47" s="127"/>
      <c r="B47" s="127"/>
      <c r="C47" s="127"/>
      <c r="D47" s="38" t="s">
        <v>22</v>
      </c>
      <c r="E47" s="24">
        <f t="shared" si="19"/>
        <v>0</v>
      </c>
      <c r="F47" s="24">
        <f t="shared" si="19"/>
        <v>0</v>
      </c>
      <c r="G47" s="22"/>
      <c r="H47" s="24">
        <f>H52+H57+H62</f>
        <v>0</v>
      </c>
      <c r="I47" s="24">
        <f>I52+I57+I62</f>
        <v>0</v>
      </c>
      <c r="J47" s="24"/>
      <c r="K47" s="24">
        <f>K52+K57+K62</f>
        <v>0</v>
      </c>
      <c r="L47" s="24">
        <f>L52+L57+L62</f>
        <v>0</v>
      </c>
      <c r="M47" s="24"/>
      <c r="N47" s="24">
        <f>N52+N57+N62</f>
        <v>0</v>
      </c>
      <c r="O47" s="24">
        <f>O52+O57+O62</f>
        <v>0</v>
      </c>
      <c r="P47" s="24"/>
      <c r="Q47" s="24">
        <f>Q52+Q57+Q62</f>
        <v>0</v>
      </c>
      <c r="R47" s="24">
        <f>R52+R57+R62</f>
        <v>0</v>
      </c>
      <c r="S47" s="24"/>
      <c r="T47" s="24">
        <f>T52+T57+T62</f>
        <v>0</v>
      </c>
      <c r="U47" s="24">
        <f>U52+U57+U62</f>
        <v>0</v>
      </c>
      <c r="V47" s="24"/>
      <c r="W47" s="24">
        <f>W52+W57+W62</f>
        <v>0</v>
      </c>
      <c r="X47" s="24">
        <f>X52+X57+X62</f>
        <v>0</v>
      </c>
      <c r="Y47" s="24"/>
      <c r="Z47" s="24">
        <f>Z52+Z57+Z62</f>
        <v>0</v>
      </c>
      <c r="AA47" s="24"/>
      <c r="AB47" s="24"/>
      <c r="AC47" s="24">
        <f>AC52+AC57+AC62</f>
        <v>0</v>
      </c>
      <c r="AD47" s="24"/>
      <c r="AE47" s="24"/>
      <c r="AF47" s="24">
        <f>AF52+AF57+AF62</f>
        <v>0</v>
      </c>
      <c r="AG47" s="24"/>
      <c r="AH47" s="24"/>
      <c r="AI47" s="24">
        <f>AI52+AI57+AI62</f>
        <v>0</v>
      </c>
      <c r="AJ47" s="24"/>
      <c r="AK47" s="24"/>
      <c r="AL47" s="24">
        <f>AL52+AL57+AL62</f>
        <v>0</v>
      </c>
      <c r="AM47" s="24"/>
      <c r="AN47" s="24"/>
      <c r="AO47" s="24">
        <f>AO52+AO57+AO62</f>
        <v>0</v>
      </c>
      <c r="AP47" s="24"/>
      <c r="AQ47" s="24"/>
      <c r="AR47" s="36"/>
      <c r="AS47" s="36"/>
      <c r="AT47" s="80"/>
      <c r="AU47" s="84">
        <f t="shared" si="2"/>
        <v>0</v>
      </c>
      <c r="AV47" s="84">
        <f t="shared" si="3"/>
        <v>0</v>
      </c>
      <c r="AW47" s="84">
        <f t="shared" si="4"/>
        <v>0</v>
      </c>
      <c r="AX47" s="84">
        <f t="shared" si="5"/>
        <v>0</v>
      </c>
    </row>
    <row r="48" spans="1:50" ht="24" x14ac:dyDescent="0.3">
      <c r="A48" s="127"/>
      <c r="B48" s="127"/>
      <c r="C48" s="127"/>
      <c r="D48" s="38" t="s">
        <v>4</v>
      </c>
      <c r="E48" s="24">
        <f t="shared" si="19"/>
        <v>0</v>
      </c>
      <c r="F48" s="24">
        <f t="shared" si="19"/>
        <v>0</v>
      </c>
      <c r="G48" s="25"/>
      <c r="H48" s="24">
        <f t="shared" ref="H48:I50" si="25">H53+H58+H63</f>
        <v>0</v>
      </c>
      <c r="I48" s="24">
        <f t="shared" si="25"/>
        <v>0</v>
      </c>
      <c r="J48" s="24"/>
      <c r="K48" s="24">
        <f t="shared" ref="K48:L50" si="26">K53+K58+K63</f>
        <v>0</v>
      </c>
      <c r="L48" s="24">
        <f t="shared" si="26"/>
        <v>0</v>
      </c>
      <c r="M48" s="24"/>
      <c r="N48" s="24">
        <f t="shared" ref="N48:O50" si="27">N53+N58+N63</f>
        <v>0</v>
      </c>
      <c r="O48" s="24">
        <f t="shared" si="27"/>
        <v>0</v>
      </c>
      <c r="P48" s="24"/>
      <c r="Q48" s="24">
        <f t="shared" ref="Q48:R50" si="28">Q53+Q58+Q63</f>
        <v>0</v>
      </c>
      <c r="R48" s="24">
        <f t="shared" si="28"/>
        <v>0</v>
      </c>
      <c r="S48" s="24"/>
      <c r="T48" s="24">
        <f t="shared" ref="T48:U50" si="29">T53+T58+T63</f>
        <v>0</v>
      </c>
      <c r="U48" s="24">
        <f t="shared" si="29"/>
        <v>0</v>
      </c>
      <c r="V48" s="24"/>
      <c r="W48" s="24">
        <f t="shared" ref="W48:X50" si="30">W53+W58+W63</f>
        <v>0</v>
      </c>
      <c r="X48" s="24">
        <f t="shared" si="30"/>
        <v>0</v>
      </c>
      <c r="Y48" s="24"/>
      <c r="Z48" s="24">
        <f t="shared" ref="Z48:Z50" si="31">Z53+Z58+Z63</f>
        <v>0</v>
      </c>
      <c r="AA48" s="24"/>
      <c r="AB48" s="24"/>
      <c r="AC48" s="24">
        <f t="shared" ref="AC48:AC50" si="32">AC53+AC58+AC63</f>
        <v>0</v>
      </c>
      <c r="AD48" s="24"/>
      <c r="AE48" s="24"/>
      <c r="AF48" s="24">
        <f t="shared" ref="AF48:AF50" si="33">AF53+AF58+AF63</f>
        <v>0</v>
      </c>
      <c r="AG48" s="24"/>
      <c r="AH48" s="24"/>
      <c r="AI48" s="24">
        <f t="shared" ref="AI48:AJ50" si="34">AI53+AI58+AI63</f>
        <v>0</v>
      </c>
      <c r="AJ48" s="24"/>
      <c r="AK48" s="24"/>
      <c r="AL48" s="24">
        <f t="shared" ref="AL48:AM50" si="35">AL53+AL58+AL63</f>
        <v>0</v>
      </c>
      <c r="AM48" s="24"/>
      <c r="AN48" s="24"/>
      <c r="AO48" s="24">
        <f t="shared" ref="AO48:AP50" si="36">AO53+AO58+AO63</f>
        <v>0</v>
      </c>
      <c r="AP48" s="24"/>
      <c r="AQ48" s="24"/>
      <c r="AR48" s="36"/>
      <c r="AS48" s="36"/>
      <c r="AT48" s="80"/>
      <c r="AU48" s="84">
        <f t="shared" si="2"/>
        <v>0</v>
      </c>
      <c r="AV48" s="84">
        <f t="shared" si="3"/>
        <v>0</v>
      </c>
      <c r="AW48" s="84">
        <f t="shared" si="4"/>
        <v>0</v>
      </c>
      <c r="AX48" s="84">
        <f t="shared" si="5"/>
        <v>0</v>
      </c>
    </row>
    <row r="49" spans="1:50" ht="37.200000000000003" customHeight="1" x14ac:dyDescent="0.3">
      <c r="A49" s="127"/>
      <c r="B49" s="127"/>
      <c r="C49" s="127"/>
      <c r="D49" s="38" t="s">
        <v>44</v>
      </c>
      <c r="E49" s="24">
        <f t="shared" si="19"/>
        <v>10161.4</v>
      </c>
      <c r="F49" s="24">
        <f t="shared" si="19"/>
        <v>10161.4</v>
      </c>
      <c r="G49" s="25">
        <f>F49/E49*100</f>
        <v>100</v>
      </c>
      <c r="H49" s="24">
        <f t="shared" si="25"/>
        <v>0</v>
      </c>
      <c r="I49" s="24">
        <f t="shared" si="25"/>
        <v>0</v>
      </c>
      <c r="J49" s="24"/>
      <c r="K49" s="24">
        <f t="shared" si="26"/>
        <v>0</v>
      </c>
      <c r="L49" s="24">
        <f t="shared" si="26"/>
        <v>0</v>
      </c>
      <c r="M49" s="24"/>
      <c r="N49" s="24">
        <f t="shared" si="27"/>
        <v>0</v>
      </c>
      <c r="O49" s="24">
        <f t="shared" si="27"/>
        <v>0</v>
      </c>
      <c r="P49" s="24"/>
      <c r="Q49" s="24">
        <f t="shared" si="28"/>
        <v>0</v>
      </c>
      <c r="R49" s="24">
        <f t="shared" si="28"/>
        <v>0</v>
      </c>
      <c r="S49" s="24"/>
      <c r="T49" s="24">
        <f t="shared" si="29"/>
        <v>0</v>
      </c>
      <c r="U49" s="24">
        <f t="shared" si="29"/>
        <v>0</v>
      </c>
      <c r="V49" s="24"/>
      <c r="W49" s="24">
        <f t="shared" si="30"/>
        <v>0</v>
      </c>
      <c r="X49" s="24">
        <f t="shared" si="30"/>
        <v>0</v>
      </c>
      <c r="Y49" s="24"/>
      <c r="Z49" s="24">
        <f t="shared" si="31"/>
        <v>0</v>
      </c>
      <c r="AA49" s="24"/>
      <c r="AB49" s="24"/>
      <c r="AC49" s="24">
        <f t="shared" si="32"/>
        <v>0</v>
      </c>
      <c r="AD49" s="24"/>
      <c r="AE49" s="24"/>
      <c r="AF49" s="24">
        <f>AF54+AF59+AF64</f>
        <v>9485.9</v>
      </c>
      <c r="AG49" s="24">
        <v>0</v>
      </c>
      <c r="AH49" s="24"/>
      <c r="AI49" s="24">
        <f t="shared" si="34"/>
        <v>675.5</v>
      </c>
      <c r="AJ49" s="24">
        <f t="shared" si="34"/>
        <v>10161.4</v>
      </c>
      <c r="AK49" s="24"/>
      <c r="AL49" s="24">
        <f t="shared" si="35"/>
        <v>0</v>
      </c>
      <c r="AM49" s="24">
        <f t="shared" si="35"/>
        <v>0</v>
      </c>
      <c r="AN49" s="24"/>
      <c r="AO49" s="24">
        <f t="shared" si="36"/>
        <v>0</v>
      </c>
      <c r="AP49" s="24">
        <f t="shared" si="36"/>
        <v>0</v>
      </c>
      <c r="AQ49" s="24"/>
      <c r="AR49" s="119" t="s">
        <v>164</v>
      </c>
      <c r="AS49" s="119"/>
      <c r="AT49" s="80">
        <f t="shared" si="6"/>
        <v>1</v>
      </c>
      <c r="AU49" s="84">
        <f t="shared" si="2"/>
        <v>0</v>
      </c>
      <c r="AV49" s="84">
        <f t="shared" si="3"/>
        <v>0</v>
      </c>
      <c r="AW49" s="84">
        <f t="shared" si="4"/>
        <v>9485.9</v>
      </c>
      <c r="AX49" s="84">
        <f t="shared" si="5"/>
        <v>675.5</v>
      </c>
    </row>
    <row r="50" spans="1:50" ht="15.6" x14ac:dyDescent="0.3">
      <c r="A50" s="127"/>
      <c r="B50" s="127"/>
      <c r="C50" s="127"/>
      <c r="D50" s="38" t="s">
        <v>23</v>
      </c>
      <c r="E50" s="24">
        <f t="shared" si="19"/>
        <v>0</v>
      </c>
      <c r="F50" s="24">
        <f t="shared" si="19"/>
        <v>0</v>
      </c>
      <c r="G50" s="24"/>
      <c r="H50" s="24">
        <f t="shared" si="25"/>
        <v>0</v>
      </c>
      <c r="I50" s="24">
        <f t="shared" si="25"/>
        <v>0</v>
      </c>
      <c r="J50" s="24"/>
      <c r="K50" s="24">
        <f t="shared" si="26"/>
        <v>0</v>
      </c>
      <c r="L50" s="24">
        <f t="shared" si="26"/>
        <v>0</v>
      </c>
      <c r="M50" s="24"/>
      <c r="N50" s="24">
        <f t="shared" si="27"/>
        <v>0</v>
      </c>
      <c r="O50" s="24">
        <f t="shared" si="27"/>
        <v>0</v>
      </c>
      <c r="P50" s="24"/>
      <c r="Q50" s="24">
        <f t="shared" si="28"/>
        <v>0</v>
      </c>
      <c r="R50" s="24">
        <f t="shared" si="28"/>
        <v>0</v>
      </c>
      <c r="S50" s="24"/>
      <c r="T50" s="24">
        <f t="shared" si="29"/>
        <v>0</v>
      </c>
      <c r="U50" s="24">
        <f t="shared" si="29"/>
        <v>0</v>
      </c>
      <c r="V50" s="24"/>
      <c r="W50" s="24">
        <f t="shared" si="30"/>
        <v>0</v>
      </c>
      <c r="X50" s="24">
        <f t="shared" si="30"/>
        <v>0</v>
      </c>
      <c r="Y50" s="24"/>
      <c r="Z50" s="24">
        <f t="shared" si="31"/>
        <v>0</v>
      </c>
      <c r="AA50" s="24"/>
      <c r="AB50" s="24"/>
      <c r="AC50" s="24">
        <f t="shared" si="32"/>
        <v>0</v>
      </c>
      <c r="AD50" s="24"/>
      <c r="AE50" s="24"/>
      <c r="AF50" s="24">
        <f t="shared" si="33"/>
        <v>0</v>
      </c>
      <c r="AG50" s="24"/>
      <c r="AH50" s="24"/>
      <c r="AI50" s="24">
        <f t="shared" si="34"/>
        <v>0</v>
      </c>
      <c r="AJ50" s="24"/>
      <c r="AK50" s="24"/>
      <c r="AL50" s="24">
        <f t="shared" si="35"/>
        <v>0</v>
      </c>
      <c r="AM50" s="24"/>
      <c r="AN50" s="24"/>
      <c r="AO50" s="24">
        <f t="shared" si="36"/>
        <v>0</v>
      </c>
      <c r="AP50" s="24"/>
      <c r="AQ50" s="24"/>
      <c r="AR50" s="36"/>
      <c r="AS50" s="36"/>
      <c r="AT50" s="80"/>
      <c r="AU50" s="84">
        <f t="shared" si="2"/>
        <v>0</v>
      </c>
      <c r="AV50" s="84">
        <f t="shared" si="3"/>
        <v>0</v>
      </c>
      <c r="AW50" s="84">
        <f t="shared" si="4"/>
        <v>0</v>
      </c>
      <c r="AX50" s="84">
        <f t="shared" si="5"/>
        <v>0</v>
      </c>
    </row>
    <row r="51" spans="1:50" ht="15" customHeight="1" x14ac:dyDescent="0.3">
      <c r="A51" s="127" t="s">
        <v>138</v>
      </c>
      <c r="B51" s="127" t="s">
        <v>142</v>
      </c>
      <c r="C51" s="127" t="s">
        <v>149</v>
      </c>
      <c r="D51" s="38" t="s">
        <v>3</v>
      </c>
      <c r="E51" s="24">
        <f t="shared" si="19"/>
        <v>0</v>
      </c>
      <c r="F51" s="24">
        <f t="shared" si="19"/>
        <v>0</v>
      </c>
      <c r="G51" s="24"/>
      <c r="H51" s="24">
        <f>H52+H53+H54+H55</f>
        <v>0</v>
      </c>
      <c r="I51" s="24"/>
      <c r="J51" s="24"/>
      <c r="K51" s="24">
        <f t="shared" ref="K51:AO51" si="37">K52+K53+K54+K55</f>
        <v>0</v>
      </c>
      <c r="L51" s="24"/>
      <c r="M51" s="24"/>
      <c r="N51" s="24">
        <f t="shared" si="37"/>
        <v>0</v>
      </c>
      <c r="O51" s="24"/>
      <c r="P51" s="24"/>
      <c r="Q51" s="24">
        <f t="shared" si="37"/>
        <v>0</v>
      </c>
      <c r="R51" s="24"/>
      <c r="S51" s="24"/>
      <c r="T51" s="24">
        <f t="shared" si="37"/>
        <v>0</v>
      </c>
      <c r="U51" s="24"/>
      <c r="V51" s="24"/>
      <c r="W51" s="24">
        <f t="shared" si="37"/>
        <v>0</v>
      </c>
      <c r="X51" s="24"/>
      <c r="Y51" s="24"/>
      <c r="Z51" s="24">
        <f t="shared" si="37"/>
        <v>0</v>
      </c>
      <c r="AA51" s="24"/>
      <c r="AB51" s="24"/>
      <c r="AC51" s="24">
        <f t="shared" si="37"/>
        <v>0</v>
      </c>
      <c r="AD51" s="24"/>
      <c r="AE51" s="24"/>
      <c r="AF51" s="24">
        <f t="shared" si="37"/>
        <v>0</v>
      </c>
      <c r="AG51" s="24"/>
      <c r="AH51" s="24"/>
      <c r="AI51" s="24">
        <f t="shared" si="37"/>
        <v>0</v>
      </c>
      <c r="AJ51" s="24"/>
      <c r="AK51" s="24"/>
      <c r="AL51" s="24">
        <f t="shared" si="37"/>
        <v>0</v>
      </c>
      <c r="AM51" s="24"/>
      <c r="AN51" s="24"/>
      <c r="AO51" s="24">
        <f t="shared" si="37"/>
        <v>0</v>
      </c>
      <c r="AP51" s="24"/>
      <c r="AQ51" s="24"/>
      <c r="AR51" s="36"/>
      <c r="AS51" s="36"/>
      <c r="AT51" s="80"/>
      <c r="AU51" s="84">
        <f t="shared" si="2"/>
        <v>0</v>
      </c>
      <c r="AV51" s="84">
        <f t="shared" si="3"/>
        <v>0</v>
      </c>
      <c r="AW51" s="84">
        <f t="shared" si="4"/>
        <v>0</v>
      </c>
      <c r="AX51" s="84">
        <f t="shared" si="5"/>
        <v>0</v>
      </c>
    </row>
    <row r="52" spans="1:50" ht="15.75" customHeight="1" x14ac:dyDescent="0.3">
      <c r="A52" s="127"/>
      <c r="B52" s="127"/>
      <c r="C52" s="127"/>
      <c r="D52" s="38" t="s">
        <v>22</v>
      </c>
      <c r="E52" s="24">
        <f t="shared" ref="E52:F82" si="38">H52+K52+N52+Q52+T52+W52+Z52+AC52+AF52+AI52+AL52+AO52</f>
        <v>0</v>
      </c>
      <c r="F52" s="24">
        <f t="shared" si="38"/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36"/>
      <c r="AS52" s="36"/>
      <c r="AT52" s="80"/>
      <c r="AU52" s="84">
        <f t="shared" si="2"/>
        <v>0</v>
      </c>
      <c r="AV52" s="84">
        <f t="shared" si="3"/>
        <v>0</v>
      </c>
      <c r="AW52" s="84">
        <f t="shared" si="4"/>
        <v>0</v>
      </c>
      <c r="AX52" s="84">
        <f t="shared" si="5"/>
        <v>0</v>
      </c>
    </row>
    <row r="53" spans="1:50" ht="24" x14ac:dyDescent="0.3">
      <c r="A53" s="127"/>
      <c r="B53" s="127"/>
      <c r="C53" s="127"/>
      <c r="D53" s="38" t="s">
        <v>4</v>
      </c>
      <c r="E53" s="24">
        <f t="shared" si="38"/>
        <v>0</v>
      </c>
      <c r="F53" s="24">
        <f t="shared" si="38"/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36"/>
      <c r="AS53" s="36"/>
      <c r="AT53" s="80"/>
      <c r="AU53" s="84">
        <f t="shared" si="2"/>
        <v>0</v>
      </c>
      <c r="AV53" s="84">
        <f t="shared" si="3"/>
        <v>0</v>
      </c>
      <c r="AW53" s="84">
        <f t="shared" si="4"/>
        <v>0</v>
      </c>
      <c r="AX53" s="84">
        <f t="shared" si="5"/>
        <v>0</v>
      </c>
    </row>
    <row r="54" spans="1:50" ht="15.6" x14ac:dyDescent="0.3">
      <c r="A54" s="127"/>
      <c r="B54" s="127"/>
      <c r="C54" s="127"/>
      <c r="D54" s="38" t="s">
        <v>44</v>
      </c>
      <c r="E54" s="24">
        <f t="shared" si="38"/>
        <v>0</v>
      </c>
      <c r="F54" s="24">
        <f t="shared" si="38"/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36"/>
      <c r="AS54" s="36"/>
      <c r="AT54" s="80"/>
      <c r="AU54" s="84">
        <f t="shared" si="2"/>
        <v>0</v>
      </c>
      <c r="AV54" s="84">
        <f t="shared" si="3"/>
        <v>0</v>
      </c>
      <c r="AW54" s="84">
        <f t="shared" si="4"/>
        <v>0</v>
      </c>
      <c r="AX54" s="84">
        <f t="shared" si="5"/>
        <v>0</v>
      </c>
    </row>
    <row r="55" spans="1:50" ht="15.6" x14ac:dyDescent="0.3">
      <c r="A55" s="127"/>
      <c r="B55" s="127"/>
      <c r="C55" s="127"/>
      <c r="D55" s="38" t="s">
        <v>23</v>
      </c>
      <c r="E55" s="24">
        <f t="shared" si="38"/>
        <v>0</v>
      </c>
      <c r="F55" s="24">
        <f t="shared" si="38"/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36"/>
      <c r="AS55" s="36"/>
      <c r="AT55" s="80"/>
      <c r="AU55" s="84">
        <f t="shared" si="2"/>
        <v>0</v>
      </c>
      <c r="AV55" s="84">
        <f t="shared" si="3"/>
        <v>0</v>
      </c>
      <c r="AW55" s="84">
        <f t="shared" si="4"/>
        <v>0</v>
      </c>
      <c r="AX55" s="84">
        <f t="shared" si="5"/>
        <v>0</v>
      </c>
    </row>
    <row r="56" spans="1:50" ht="21.75" customHeight="1" x14ac:dyDescent="0.3">
      <c r="A56" s="127" t="s">
        <v>139</v>
      </c>
      <c r="B56" s="127" t="s">
        <v>143</v>
      </c>
      <c r="C56" s="127" t="s">
        <v>6</v>
      </c>
      <c r="D56" s="38" t="s">
        <v>3</v>
      </c>
      <c r="E56" s="24">
        <f t="shared" si="38"/>
        <v>0</v>
      </c>
      <c r="F56" s="24">
        <f t="shared" si="38"/>
        <v>0</v>
      </c>
      <c r="G56" s="24"/>
      <c r="H56" s="24">
        <f>H57+H58+H59+H60</f>
        <v>0</v>
      </c>
      <c r="I56" s="24"/>
      <c r="J56" s="24"/>
      <c r="K56" s="24">
        <f t="shared" ref="K56" si="39">K57+K58+K59+K60</f>
        <v>0</v>
      </c>
      <c r="L56" s="24"/>
      <c r="M56" s="24"/>
      <c r="N56" s="24">
        <f t="shared" ref="N56" si="40">N57+N58+N59+N60</f>
        <v>0</v>
      </c>
      <c r="O56" s="24"/>
      <c r="P56" s="24"/>
      <c r="Q56" s="24">
        <f t="shared" ref="Q56" si="41">Q57+Q58+Q59+Q60</f>
        <v>0</v>
      </c>
      <c r="R56" s="24"/>
      <c r="S56" s="24"/>
      <c r="T56" s="24">
        <f t="shared" ref="T56" si="42">T57+T58+T59+T60</f>
        <v>0</v>
      </c>
      <c r="U56" s="24"/>
      <c r="V56" s="24"/>
      <c r="W56" s="24">
        <f t="shared" ref="W56" si="43">W57+W58+W59+W60</f>
        <v>0</v>
      </c>
      <c r="X56" s="24"/>
      <c r="Y56" s="24"/>
      <c r="Z56" s="24">
        <f t="shared" ref="Z56" si="44">Z57+Z58+Z59+Z60</f>
        <v>0</v>
      </c>
      <c r="AA56" s="24"/>
      <c r="AB56" s="24"/>
      <c r="AC56" s="24">
        <f t="shared" ref="AC56" si="45">AC57+AC58+AC59+AC60</f>
        <v>0</v>
      </c>
      <c r="AD56" s="24"/>
      <c r="AE56" s="24"/>
      <c r="AF56" s="24">
        <f t="shared" ref="AF56" si="46">AF57+AF58+AF59+AF60</f>
        <v>0</v>
      </c>
      <c r="AG56" s="24"/>
      <c r="AH56" s="24"/>
      <c r="AI56" s="24">
        <f t="shared" ref="AI56" si="47">AI57+AI58+AI59+AI60</f>
        <v>0</v>
      </c>
      <c r="AJ56" s="24"/>
      <c r="AK56" s="24"/>
      <c r="AL56" s="24">
        <f t="shared" ref="AL56" si="48">AL57+AL58+AL59+AL60</f>
        <v>0</v>
      </c>
      <c r="AM56" s="24"/>
      <c r="AN56" s="24"/>
      <c r="AO56" s="24">
        <f t="shared" ref="AO56" si="49">AO57+AO58+AO59+AO60</f>
        <v>0</v>
      </c>
      <c r="AP56" s="24"/>
      <c r="AQ56" s="24"/>
      <c r="AR56" s="36"/>
      <c r="AS56" s="36"/>
      <c r="AT56" s="80"/>
      <c r="AU56" s="84">
        <f t="shared" si="2"/>
        <v>0</v>
      </c>
      <c r="AV56" s="84">
        <f t="shared" si="3"/>
        <v>0</v>
      </c>
      <c r="AW56" s="84">
        <f t="shared" si="4"/>
        <v>0</v>
      </c>
      <c r="AX56" s="84">
        <f t="shared" si="5"/>
        <v>0</v>
      </c>
    </row>
    <row r="57" spans="1:50" ht="21.75" customHeight="1" x14ac:dyDescent="0.3">
      <c r="A57" s="127"/>
      <c r="B57" s="127"/>
      <c r="C57" s="127"/>
      <c r="D57" s="38" t="s">
        <v>22</v>
      </c>
      <c r="E57" s="24">
        <f t="shared" si="38"/>
        <v>0</v>
      </c>
      <c r="F57" s="24">
        <f t="shared" si="38"/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36"/>
      <c r="AS57" s="36"/>
      <c r="AT57" s="80"/>
      <c r="AU57" s="84">
        <f t="shared" si="2"/>
        <v>0</v>
      </c>
      <c r="AV57" s="84">
        <f t="shared" si="3"/>
        <v>0</v>
      </c>
      <c r="AW57" s="84">
        <f t="shared" si="4"/>
        <v>0</v>
      </c>
      <c r="AX57" s="84">
        <f t="shared" si="5"/>
        <v>0</v>
      </c>
    </row>
    <row r="58" spans="1:50" ht="24" x14ac:dyDescent="0.3">
      <c r="A58" s="127"/>
      <c r="B58" s="127"/>
      <c r="C58" s="127"/>
      <c r="D58" s="38" t="s">
        <v>4</v>
      </c>
      <c r="E58" s="24">
        <f t="shared" si="38"/>
        <v>0</v>
      </c>
      <c r="F58" s="24">
        <f t="shared" si="38"/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36"/>
      <c r="AS58" s="36"/>
      <c r="AT58" s="80"/>
      <c r="AU58" s="84">
        <f t="shared" si="2"/>
        <v>0</v>
      </c>
      <c r="AV58" s="84">
        <f t="shared" si="3"/>
        <v>0</v>
      </c>
      <c r="AW58" s="84">
        <f t="shared" si="4"/>
        <v>0</v>
      </c>
      <c r="AX58" s="84">
        <f t="shared" si="5"/>
        <v>0</v>
      </c>
    </row>
    <row r="59" spans="1:50" ht="15.6" x14ac:dyDescent="0.3">
      <c r="A59" s="127"/>
      <c r="B59" s="127"/>
      <c r="C59" s="127"/>
      <c r="D59" s="38" t="s">
        <v>44</v>
      </c>
      <c r="E59" s="24">
        <f t="shared" si="38"/>
        <v>0</v>
      </c>
      <c r="F59" s="24">
        <f t="shared" si="38"/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36"/>
      <c r="AS59" s="36"/>
      <c r="AT59" s="80"/>
      <c r="AU59" s="84">
        <f t="shared" si="2"/>
        <v>0</v>
      </c>
      <c r="AV59" s="84">
        <f t="shared" si="3"/>
        <v>0</v>
      </c>
      <c r="AW59" s="84">
        <f t="shared" si="4"/>
        <v>0</v>
      </c>
      <c r="AX59" s="84">
        <f t="shared" si="5"/>
        <v>0</v>
      </c>
    </row>
    <row r="60" spans="1:50" ht="15.6" x14ac:dyDescent="0.3">
      <c r="A60" s="127"/>
      <c r="B60" s="127"/>
      <c r="C60" s="127"/>
      <c r="D60" s="38" t="s">
        <v>23</v>
      </c>
      <c r="E60" s="24">
        <f t="shared" si="38"/>
        <v>0</v>
      </c>
      <c r="F60" s="24">
        <f t="shared" si="38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36"/>
      <c r="AS60" s="36"/>
      <c r="AT60" s="80"/>
      <c r="AU60" s="84">
        <f t="shared" si="2"/>
        <v>0</v>
      </c>
      <c r="AV60" s="84">
        <f t="shared" si="3"/>
        <v>0</v>
      </c>
      <c r="AW60" s="84">
        <f t="shared" si="4"/>
        <v>0</v>
      </c>
      <c r="AX60" s="84">
        <f t="shared" si="5"/>
        <v>0</v>
      </c>
    </row>
    <row r="61" spans="1:50" ht="15" customHeight="1" x14ac:dyDescent="0.3">
      <c r="A61" s="127" t="s">
        <v>140</v>
      </c>
      <c r="B61" s="127" t="s">
        <v>144</v>
      </c>
      <c r="C61" s="127" t="s">
        <v>149</v>
      </c>
      <c r="D61" s="38" t="s">
        <v>3</v>
      </c>
      <c r="E61" s="24">
        <f t="shared" si="38"/>
        <v>10161.4</v>
      </c>
      <c r="F61" s="24">
        <f t="shared" si="38"/>
        <v>10161.4</v>
      </c>
      <c r="G61" s="25">
        <f>F61/E61*100</f>
        <v>100</v>
      </c>
      <c r="H61" s="24">
        <f>H62+H63+H64+H65</f>
        <v>0</v>
      </c>
      <c r="I61" s="24"/>
      <c r="J61" s="24"/>
      <c r="K61" s="24">
        <f t="shared" ref="K61" si="50">K62+K63+K64+K65</f>
        <v>0</v>
      </c>
      <c r="L61" s="24"/>
      <c r="M61" s="24"/>
      <c r="N61" s="24">
        <f t="shared" ref="N61" si="51">N62+N63+N64+N65</f>
        <v>0</v>
      </c>
      <c r="O61" s="24"/>
      <c r="P61" s="24"/>
      <c r="Q61" s="24">
        <f t="shared" ref="Q61" si="52">Q62+Q63+Q64+Q65</f>
        <v>0</v>
      </c>
      <c r="R61" s="24"/>
      <c r="S61" s="24"/>
      <c r="T61" s="24">
        <f t="shared" ref="T61" si="53">T62+T63+T64+T65</f>
        <v>0</v>
      </c>
      <c r="U61" s="24"/>
      <c r="V61" s="24"/>
      <c r="W61" s="24">
        <f t="shared" ref="W61" si="54">W62+W63+W64+W65</f>
        <v>0</v>
      </c>
      <c r="X61" s="24"/>
      <c r="Y61" s="24"/>
      <c r="Z61" s="24">
        <f t="shared" ref="Z61" si="55">Z62+Z63+Z64+Z65</f>
        <v>0</v>
      </c>
      <c r="AA61" s="24"/>
      <c r="AB61" s="24"/>
      <c r="AC61" s="24">
        <f t="shared" ref="AC61" si="56">AC62+AC63+AC64+AC65</f>
        <v>0</v>
      </c>
      <c r="AD61" s="24"/>
      <c r="AE61" s="24"/>
      <c r="AF61" s="24">
        <f t="shared" ref="AF61" si="57">AF62+AF63+AF64+AF65</f>
        <v>9485.9</v>
      </c>
      <c r="AG61" s="24"/>
      <c r="AH61" s="24"/>
      <c r="AI61" s="24">
        <f t="shared" ref="AI61:AJ61" si="58">AI62+AI63+AI64+AI65</f>
        <v>675.5</v>
      </c>
      <c r="AJ61" s="24">
        <f t="shared" si="58"/>
        <v>10161.4</v>
      </c>
      <c r="AK61" s="24"/>
      <c r="AL61" s="24">
        <f t="shared" ref="AL61:AM61" si="59">AL62+AL63+AL64+AL65</f>
        <v>0</v>
      </c>
      <c r="AM61" s="24">
        <f t="shared" si="59"/>
        <v>0</v>
      </c>
      <c r="AN61" s="24"/>
      <c r="AO61" s="24">
        <f t="shared" ref="AO61:AP61" si="60">AO62+AO63+AO64+AO65</f>
        <v>0</v>
      </c>
      <c r="AP61" s="24">
        <f t="shared" si="60"/>
        <v>0</v>
      </c>
      <c r="AQ61" s="24"/>
      <c r="AR61" s="36"/>
      <c r="AS61" s="36"/>
      <c r="AT61" s="80">
        <f t="shared" si="6"/>
        <v>1</v>
      </c>
      <c r="AU61" s="84">
        <f t="shared" si="2"/>
        <v>0</v>
      </c>
      <c r="AV61" s="84">
        <f t="shared" si="3"/>
        <v>0</v>
      </c>
      <c r="AW61" s="84">
        <f t="shared" si="4"/>
        <v>9485.9</v>
      </c>
      <c r="AX61" s="84">
        <f t="shared" si="5"/>
        <v>675.5</v>
      </c>
    </row>
    <row r="62" spans="1:50" ht="15" customHeight="1" x14ac:dyDescent="0.3">
      <c r="A62" s="127"/>
      <c r="B62" s="127"/>
      <c r="C62" s="127"/>
      <c r="D62" s="38" t="s">
        <v>22</v>
      </c>
      <c r="E62" s="24">
        <f t="shared" si="38"/>
        <v>0</v>
      </c>
      <c r="F62" s="24">
        <f t="shared" si="38"/>
        <v>0</v>
      </c>
      <c r="G62" s="2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36"/>
      <c r="AS62" s="36"/>
      <c r="AT62" s="80"/>
      <c r="AU62" s="84">
        <f t="shared" si="2"/>
        <v>0</v>
      </c>
      <c r="AV62" s="84">
        <f t="shared" si="3"/>
        <v>0</v>
      </c>
      <c r="AW62" s="84">
        <f t="shared" si="4"/>
        <v>0</v>
      </c>
      <c r="AX62" s="84">
        <f t="shared" si="5"/>
        <v>0</v>
      </c>
    </row>
    <row r="63" spans="1:50" ht="24" x14ac:dyDescent="0.3">
      <c r="A63" s="127"/>
      <c r="B63" s="127"/>
      <c r="C63" s="127"/>
      <c r="D63" s="38" t="s">
        <v>4</v>
      </c>
      <c r="E63" s="24">
        <f t="shared" si="38"/>
        <v>0</v>
      </c>
      <c r="F63" s="24">
        <f t="shared" si="38"/>
        <v>0</v>
      </c>
      <c r="G63" s="25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36"/>
      <c r="AS63" s="36"/>
      <c r="AT63" s="80"/>
      <c r="AU63" s="84">
        <f t="shared" si="2"/>
        <v>0</v>
      </c>
      <c r="AV63" s="84">
        <f t="shared" si="3"/>
        <v>0</v>
      </c>
      <c r="AW63" s="84">
        <f t="shared" si="4"/>
        <v>0</v>
      </c>
      <c r="AX63" s="84">
        <f t="shared" si="5"/>
        <v>0</v>
      </c>
    </row>
    <row r="64" spans="1:50" ht="36.6" customHeight="1" x14ac:dyDescent="0.3">
      <c r="A64" s="127"/>
      <c r="B64" s="127"/>
      <c r="C64" s="127"/>
      <c r="D64" s="38" t="s">
        <v>44</v>
      </c>
      <c r="E64" s="24">
        <f t="shared" si="38"/>
        <v>10161.4</v>
      </c>
      <c r="F64" s="24">
        <f t="shared" si="38"/>
        <v>10161.4</v>
      </c>
      <c r="G64" s="25">
        <f>F64/E64*100</f>
        <v>100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>
        <v>9485.9</v>
      </c>
      <c r="AG64" s="24"/>
      <c r="AH64" s="24"/>
      <c r="AI64" s="24">
        <f>948.6-273.1</f>
        <v>675.5</v>
      </c>
      <c r="AJ64" s="24">
        <v>10161.4</v>
      </c>
      <c r="AK64" s="24"/>
      <c r="AL64" s="24"/>
      <c r="AM64" s="24"/>
      <c r="AN64" s="24"/>
      <c r="AO64" s="24"/>
      <c r="AP64" s="24"/>
      <c r="AQ64" s="24"/>
      <c r="AR64" s="119" t="s">
        <v>164</v>
      </c>
      <c r="AS64" s="119"/>
      <c r="AT64" s="80">
        <f t="shared" si="6"/>
        <v>1</v>
      </c>
      <c r="AU64" s="84">
        <f t="shared" si="2"/>
        <v>0</v>
      </c>
      <c r="AV64" s="84">
        <f t="shared" si="3"/>
        <v>0</v>
      </c>
      <c r="AW64" s="84">
        <f t="shared" si="4"/>
        <v>9485.9</v>
      </c>
      <c r="AX64" s="84">
        <f t="shared" si="5"/>
        <v>675.5</v>
      </c>
    </row>
    <row r="65" spans="1:50" ht="15" customHeight="1" x14ac:dyDescent="0.3">
      <c r="A65" s="127"/>
      <c r="B65" s="127"/>
      <c r="C65" s="127"/>
      <c r="D65" s="38" t="s">
        <v>23</v>
      </c>
      <c r="E65" s="24">
        <f t="shared" si="38"/>
        <v>0</v>
      </c>
      <c r="F65" s="24">
        <f t="shared" si="38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36"/>
      <c r="AS65" s="36"/>
      <c r="AT65" s="80"/>
      <c r="AU65" s="84">
        <f t="shared" si="2"/>
        <v>0</v>
      </c>
      <c r="AV65" s="84">
        <f t="shared" si="3"/>
        <v>0</v>
      </c>
      <c r="AW65" s="84">
        <f t="shared" si="4"/>
        <v>0</v>
      </c>
      <c r="AX65" s="84">
        <f t="shared" si="5"/>
        <v>0</v>
      </c>
    </row>
    <row r="66" spans="1:50" ht="15.75" customHeight="1" x14ac:dyDescent="0.3">
      <c r="A66" s="153" t="s">
        <v>50</v>
      </c>
      <c r="B66" s="124" t="s">
        <v>88</v>
      </c>
      <c r="C66" s="127" t="s">
        <v>6</v>
      </c>
      <c r="D66" s="38" t="s">
        <v>3</v>
      </c>
      <c r="E66" s="24">
        <f t="shared" si="38"/>
        <v>17677.699999999997</v>
      </c>
      <c r="F66" s="24">
        <f t="shared" si="38"/>
        <v>17319.699999999997</v>
      </c>
      <c r="G66" s="25">
        <f>F66/E66*100</f>
        <v>97.97484966935744</v>
      </c>
      <c r="H66" s="24">
        <f>H67+H68+H69+H70</f>
        <v>0</v>
      </c>
      <c r="I66" s="24"/>
      <c r="J66" s="24"/>
      <c r="K66" s="24">
        <f t="shared" ref="K66:AP66" si="61">K67+K68+K69+K70</f>
        <v>0</v>
      </c>
      <c r="L66" s="24">
        <f t="shared" si="61"/>
        <v>0</v>
      </c>
      <c r="M66" s="25"/>
      <c r="N66" s="24">
        <f t="shared" si="61"/>
        <v>218</v>
      </c>
      <c r="O66" s="24">
        <f t="shared" si="61"/>
        <v>235</v>
      </c>
      <c r="P66" s="25">
        <f t="shared" ref="P66" si="62">O66/N66*100</f>
        <v>107.79816513761469</v>
      </c>
      <c r="Q66" s="24">
        <f t="shared" si="61"/>
        <v>318</v>
      </c>
      <c r="R66" s="24">
        <f t="shared" si="61"/>
        <v>100</v>
      </c>
      <c r="S66" s="25">
        <f>R66/Q66*100</f>
        <v>31.446540880503143</v>
      </c>
      <c r="T66" s="24">
        <f t="shared" si="61"/>
        <v>470.8</v>
      </c>
      <c r="U66" s="24">
        <f t="shared" si="61"/>
        <v>270</v>
      </c>
      <c r="V66" s="25">
        <f>U66/T66*100</f>
        <v>57.349192863211549</v>
      </c>
      <c r="W66" s="24">
        <f t="shared" si="61"/>
        <v>0</v>
      </c>
      <c r="X66" s="24">
        <f t="shared" si="61"/>
        <v>441</v>
      </c>
      <c r="Y66" s="25"/>
      <c r="Z66" s="24">
        <f t="shared" si="61"/>
        <v>2791</v>
      </c>
      <c r="AA66" s="24">
        <f t="shared" si="61"/>
        <v>501</v>
      </c>
      <c r="AB66" s="25">
        <f>AA66/Z66*100</f>
        <v>17.950555356503045</v>
      </c>
      <c r="AC66" s="24">
        <f t="shared" si="61"/>
        <v>3127.7</v>
      </c>
      <c r="AD66" s="24">
        <f t="shared" si="61"/>
        <v>4270.3999999999996</v>
      </c>
      <c r="AE66" s="25">
        <f>AD66/AC66*100</f>
        <v>136.53483390350735</v>
      </c>
      <c r="AF66" s="24">
        <f t="shared" si="61"/>
        <v>895</v>
      </c>
      <c r="AG66" s="24">
        <f t="shared" si="61"/>
        <v>2003.1</v>
      </c>
      <c r="AH66" s="25">
        <f>AG66/AF66*100</f>
        <v>223.81005586592178</v>
      </c>
      <c r="AI66" s="24">
        <f t="shared" si="61"/>
        <v>9857.1999999999989</v>
      </c>
      <c r="AJ66" s="24">
        <f t="shared" si="61"/>
        <v>5335.3</v>
      </c>
      <c r="AK66" s="25">
        <f>AJ66/AI66*100</f>
        <v>54.125918110619651</v>
      </c>
      <c r="AL66" s="24">
        <f t="shared" si="61"/>
        <v>0</v>
      </c>
      <c r="AM66" s="24">
        <f t="shared" si="61"/>
        <v>20</v>
      </c>
      <c r="AN66" s="25"/>
      <c r="AO66" s="24">
        <f t="shared" si="61"/>
        <v>0</v>
      </c>
      <c r="AP66" s="24">
        <f t="shared" si="61"/>
        <v>4143.8999999999996</v>
      </c>
      <c r="AQ66" s="22"/>
      <c r="AR66" s="36"/>
      <c r="AS66" s="36"/>
      <c r="AT66" s="80">
        <f t="shared" si="6"/>
        <v>0.97974849669357433</v>
      </c>
      <c r="AU66" s="84">
        <f t="shared" si="2"/>
        <v>218</v>
      </c>
      <c r="AV66" s="84">
        <f t="shared" si="3"/>
        <v>788.8</v>
      </c>
      <c r="AW66" s="84">
        <f t="shared" si="4"/>
        <v>6813.7</v>
      </c>
      <c r="AX66" s="84">
        <f t="shared" si="5"/>
        <v>9857.1999999999989</v>
      </c>
    </row>
    <row r="67" spans="1:50" ht="15.6" x14ac:dyDescent="0.3">
      <c r="A67" s="154"/>
      <c r="B67" s="125"/>
      <c r="C67" s="127"/>
      <c r="D67" s="38" t="s">
        <v>22</v>
      </c>
      <c r="E67" s="24">
        <f t="shared" si="38"/>
        <v>0</v>
      </c>
      <c r="F67" s="24">
        <f t="shared" si="38"/>
        <v>0</v>
      </c>
      <c r="G67" s="22"/>
      <c r="H67" s="24"/>
      <c r="I67" s="24"/>
      <c r="J67" s="24"/>
      <c r="K67" s="24"/>
      <c r="L67" s="24"/>
      <c r="M67" s="25"/>
      <c r="N67" s="24"/>
      <c r="O67" s="24"/>
      <c r="P67" s="25"/>
      <c r="Q67" s="24"/>
      <c r="R67" s="24"/>
      <c r="S67" s="22"/>
      <c r="T67" s="24"/>
      <c r="U67" s="24"/>
      <c r="V67" s="22"/>
      <c r="W67" s="24"/>
      <c r="X67" s="24"/>
      <c r="Y67" s="22"/>
      <c r="Z67" s="24"/>
      <c r="AA67" s="24"/>
      <c r="AB67" s="22"/>
      <c r="AC67" s="24"/>
      <c r="AD67" s="24"/>
      <c r="AE67" s="22"/>
      <c r="AF67" s="24"/>
      <c r="AG67" s="24"/>
      <c r="AH67" s="22"/>
      <c r="AI67" s="24"/>
      <c r="AJ67" s="24"/>
      <c r="AK67" s="22"/>
      <c r="AL67" s="24"/>
      <c r="AM67" s="24"/>
      <c r="AN67" s="22"/>
      <c r="AO67" s="24"/>
      <c r="AP67" s="24"/>
      <c r="AQ67" s="22"/>
      <c r="AR67" s="36"/>
      <c r="AS67" s="36"/>
      <c r="AT67" s="80"/>
      <c r="AU67" s="84">
        <f t="shared" si="2"/>
        <v>0</v>
      </c>
      <c r="AV67" s="84">
        <f t="shared" si="3"/>
        <v>0</v>
      </c>
      <c r="AW67" s="84">
        <f t="shared" si="4"/>
        <v>0</v>
      </c>
      <c r="AX67" s="84">
        <f t="shared" si="5"/>
        <v>0</v>
      </c>
    </row>
    <row r="68" spans="1:50" ht="171.6" customHeight="1" x14ac:dyDescent="0.3">
      <c r="A68" s="154"/>
      <c r="B68" s="125"/>
      <c r="C68" s="127"/>
      <c r="D68" s="38" t="s">
        <v>4</v>
      </c>
      <c r="E68" s="24">
        <f t="shared" si="38"/>
        <v>2203.3000000000002</v>
      </c>
      <c r="F68" s="24">
        <f t="shared" si="38"/>
        <v>2203.3000000000002</v>
      </c>
      <c r="G68" s="25">
        <f>F68/E68*100</f>
        <v>100</v>
      </c>
      <c r="H68" s="42"/>
      <c r="I68" s="42"/>
      <c r="J68" s="42"/>
      <c r="K68" s="42"/>
      <c r="L68" s="42"/>
      <c r="M68" s="25"/>
      <c r="N68" s="42"/>
      <c r="O68" s="42"/>
      <c r="P68" s="25"/>
      <c r="Q68" s="24">
        <f>186+100</f>
        <v>286</v>
      </c>
      <c r="R68" s="24">
        <v>100</v>
      </c>
      <c r="S68" s="25">
        <f>R68/Q68*100</f>
        <v>34.965034965034967</v>
      </c>
      <c r="T68" s="42"/>
      <c r="U68" s="42"/>
      <c r="V68" s="25"/>
      <c r="W68" s="24">
        <f>620-620</f>
        <v>0</v>
      </c>
      <c r="X68" s="24">
        <v>186</v>
      </c>
      <c r="Y68" s="25"/>
      <c r="Z68" s="24">
        <v>50</v>
      </c>
      <c r="AA68" s="24">
        <v>0</v>
      </c>
      <c r="AB68" s="24">
        <f>AA68/Z68*100</f>
        <v>0</v>
      </c>
      <c r="AC68" s="24">
        <v>800</v>
      </c>
      <c r="AD68" s="24">
        <v>620</v>
      </c>
      <c r="AE68" s="25">
        <f>AD68/AC68*100</f>
        <v>77.5</v>
      </c>
      <c r="AF68" s="24">
        <v>895</v>
      </c>
      <c r="AG68" s="24">
        <v>1125</v>
      </c>
      <c r="AH68" s="25">
        <f>AG68/AF68*100</f>
        <v>125.69832402234637</v>
      </c>
      <c r="AI68" s="24">
        <v>172.3</v>
      </c>
      <c r="AJ68" s="24">
        <v>172.3</v>
      </c>
      <c r="AK68" s="25">
        <f>AJ68/AI68*100</f>
        <v>100</v>
      </c>
      <c r="AL68" s="42"/>
      <c r="AM68" s="42"/>
      <c r="AN68" s="25"/>
      <c r="AO68" s="42"/>
      <c r="AP68" s="42"/>
      <c r="AQ68" s="22"/>
      <c r="AR68" s="119" t="s">
        <v>175</v>
      </c>
      <c r="AS68" s="36"/>
      <c r="AT68" s="80">
        <f t="shared" si="6"/>
        <v>1</v>
      </c>
      <c r="AU68" s="84">
        <f t="shared" si="2"/>
        <v>0</v>
      </c>
      <c r="AV68" s="84">
        <f t="shared" si="3"/>
        <v>286</v>
      </c>
      <c r="AW68" s="84">
        <f t="shared" si="4"/>
        <v>1745</v>
      </c>
      <c r="AX68" s="84">
        <f t="shared" si="5"/>
        <v>172.3</v>
      </c>
    </row>
    <row r="69" spans="1:50" ht="143.4" customHeight="1" x14ac:dyDescent="0.3">
      <c r="A69" s="154"/>
      <c r="B69" s="125"/>
      <c r="C69" s="127"/>
      <c r="D69" s="38" t="s">
        <v>44</v>
      </c>
      <c r="E69" s="24">
        <f t="shared" si="38"/>
        <v>15474.4</v>
      </c>
      <c r="F69" s="24">
        <f t="shared" si="38"/>
        <v>15116.4</v>
      </c>
      <c r="G69" s="25">
        <f>F69/E69*100</f>
        <v>97.686501576797809</v>
      </c>
      <c r="H69" s="24"/>
      <c r="I69" s="24"/>
      <c r="J69" s="24"/>
      <c r="K69" s="24"/>
      <c r="L69" s="24"/>
      <c r="M69" s="25"/>
      <c r="N69" s="24">
        <f>235-17</f>
        <v>218</v>
      </c>
      <c r="O69" s="24">
        <v>235</v>
      </c>
      <c r="P69" s="25">
        <f t="shared" ref="P69" si="63">O69/N69*100</f>
        <v>107.79816513761469</v>
      </c>
      <c r="Q69" s="24">
        <f>32</f>
        <v>32</v>
      </c>
      <c r="R69" s="24">
        <v>0</v>
      </c>
      <c r="S69" s="25">
        <f>R69/Q69*100</f>
        <v>0</v>
      </c>
      <c r="T69" s="24">
        <f>270+360-137-22.2</f>
        <v>470.8</v>
      </c>
      <c r="U69" s="24">
        <v>270</v>
      </c>
      <c r="V69" s="25">
        <f>U69/T69*100</f>
        <v>57.349192863211549</v>
      </c>
      <c r="W69" s="90">
        <f>504+1181.2-1685.2</f>
        <v>0</v>
      </c>
      <c r="X69" s="24">
        <v>255</v>
      </c>
      <c r="Y69" s="25"/>
      <c r="Z69" s="24">
        <f>3347.4-606.4</f>
        <v>2741</v>
      </c>
      <c r="AA69" s="24">
        <v>501</v>
      </c>
      <c r="AB69" s="25">
        <f>AA69/Z69*100</f>
        <v>18.278000729660707</v>
      </c>
      <c r="AC69" s="24">
        <v>2327.6999999999998</v>
      </c>
      <c r="AD69" s="24">
        <v>3650.4</v>
      </c>
      <c r="AE69" s="25">
        <f>AD69/AC69*100</f>
        <v>156.82433303260731</v>
      </c>
      <c r="AF69" s="24">
        <f>9195-9195</f>
        <v>0</v>
      </c>
      <c r="AG69" s="24">
        <v>878.1</v>
      </c>
      <c r="AH69" s="25"/>
      <c r="AI69" s="24">
        <f>733.5+9818.4-845.4-21.6</f>
        <v>9684.9</v>
      </c>
      <c r="AJ69" s="24">
        <v>5163</v>
      </c>
      <c r="AK69" s="25">
        <f>AJ69/AI69*100</f>
        <v>53.309791531146423</v>
      </c>
      <c r="AL69" s="24"/>
      <c r="AM69" s="24">
        <v>20</v>
      </c>
      <c r="AN69" s="25"/>
      <c r="AO69" s="24"/>
      <c r="AP69" s="24">
        <v>4143.8999999999996</v>
      </c>
      <c r="AQ69" s="22"/>
      <c r="AR69" s="119" t="s">
        <v>166</v>
      </c>
      <c r="AS69" s="119" t="s">
        <v>293</v>
      </c>
      <c r="AT69" s="80">
        <f t="shared" si="6"/>
        <v>0.97686501576797813</v>
      </c>
      <c r="AU69" s="84">
        <f t="shared" si="2"/>
        <v>218</v>
      </c>
      <c r="AV69" s="84">
        <f t="shared" si="3"/>
        <v>502.8</v>
      </c>
      <c r="AW69" s="84">
        <f t="shared" si="4"/>
        <v>5068.7</v>
      </c>
      <c r="AX69" s="84">
        <f t="shared" si="5"/>
        <v>9684.9</v>
      </c>
    </row>
    <row r="70" spans="1:50" ht="15.6" x14ac:dyDescent="0.3">
      <c r="A70" s="154"/>
      <c r="B70" s="125"/>
      <c r="C70" s="127"/>
      <c r="D70" s="38" t="s">
        <v>23</v>
      </c>
      <c r="E70" s="24">
        <f t="shared" si="38"/>
        <v>0</v>
      </c>
      <c r="F70" s="24">
        <f t="shared" si="38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36"/>
      <c r="AS70" s="36"/>
      <c r="AT70" s="80"/>
      <c r="AU70" s="84">
        <f t="shared" si="2"/>
        <v>0</v>
      </c>
      <c r="AV70" s="84">
        <f t="shared" si="3"/>
        <v>0</v>
      </c>
      <c r="AW70" s="84">
        <f t="shared" si="4"/>
        <v>0</v>
      </c>
      <c r="AX70" s="84">
        <f t="shared" si="5"/>
        <v>0</v>
      </c>
    </row>
    <row r="71" spans="1:50" ht="24" x14ac:dyDescent="0.3">
      <c r="A71" s="155"/>
      <c r="B71" s="126"/>
      <c r="C71" s="119"/>
      <c r="D71" s="39" t="s">
        <v>131</v>
      </c>
      <c r="E71" s="24">
        <f t="shared" si="38"/>
        <v>0</v>
      </c>
      <c r="F71" s="24">
        <f t="shared" si="38"/>
        <v>3009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>
        <v>3009</v>
      </c>
      <c r="AK71" s="24"/>
      <c r="AL71" s="24"/>
      <c r="AM71" s="24"/>
      <c r="AN71" s="24"/>
      <c r="AO71" s="24"/>
      <c r="AP71" s="24"/>
      <c r="AQ71" s="24"/>
      <c r="AR71" s="119" t="s">
        <v>177</v>
      </c>
      <c r="AS71" s="36"/>
      <c r="AT71" s="80"/>
      <c r="AU71" s="84"/>
      <c r="AV71" s="84"/>
      <c r="AW71" s="84"/>
      <c r="AX71" s="84"/>
    </row>
    <row r="72" spans="1:50" ht="15.75" customHeight="1" x14ac:dyDescent="0.3">
      <c r="A72" s="127" t="s">
        <v>51</v>
      </c>
      <c r="B72" s="127" t="s">
        <v>89</v>
      </c>
      <c r="C72" s="127" t="s">
        <v>6</v>
      </c>
      <c r="D72" s="38" t="s">
        <v>3</v>
      </c>
      <c r="E72" s="24">
        <f t="shared" si="38"/>
        <v>381</v>
      </c>
      <c r="F72" s="24">
        <f t="shared" si="38"/>
        <v>317.7</v>
      </c>
      <c r="G72" s="25">
        <f>F72/E72*100</f>
        <v>83.385826771653541</v>
      </c>
      <c r="H72" s="24">
        <f>H73+H74+H75+H76</f>
        <v>0</v>
      </c>
      <c r="I72" s="24"/>
      <c r="J72" s="24"/>
      <c r="K72" s="24">
        <f t="shared" ref="K72:AP72" si="64">K73+K74+K75+K76</f>
        <v>0</v>
      </c>
      <c r="L72" s="24">
        <f t="shared" si="64"/>
        <v>0</v>
      </c>
      <c r="M72" s="25"/>
      <c r="N72" s="24">
        <f t="shared" si="64"/>
        <v>0</v>
      </c>
      <c r="O72" s="24"/>
      <c r="P72" s="25"/>
      <c r="Q72" s="24">
        <f t="shared" si="64"/>
        <v>117.00000000000001</v>
      </c>
      <c r="R72" s="24">
        <f t="shared" si="64"/>
        <v>117</v>
      </c>
      <c r="S72" s="25">
        <f>R72/Q72*100</f>
        <v>99.999999999999986</v>
      </c>
      <c r="T72" s="24">
        <f t="shared" si="64"/>
        <v>0</v>
      </c>
      <c r="U72" s="24">
        <f t="shared" si="64"/>
        <v>0</v>
      </c>
      <c r="V72" s="25"/>
      <c r="W72" s="24">
        <f t="shared" si="64"/>
        <v>0</v>
      </c>
      <c r="X72" s="24"/>
      <c r="Y72" s="22"/>
      <c r="Z72" s="24">
        <f t="shared" si="64"/>
        <v>51</v>
      </c>
      <c r="AA72" s="24">
        <f t="shared" si="64"/>
        <v>51</v>
      </c>
      <c r="AB72" s="25">
        <f>AA72/Z72*100</f>
        <v>100</v>
      </c>
      <c r="AC72" s="24">
        <f t="shared" si="64"/>
        <v>0</v>
      </c>
      <c r="AD72" s="24">
        <f t="shared" si="64"/>
        <v>0</v>
      </c>
      <c r="AE72" s="25"/>
      <c r="AF72" s="24">
        <f t="shared" si="64"/>
        <v>0</v>
      </c>
      <c r="AG72" s="24">
        <f t="shared" si="64"/>
        <v>0</v>
      </c>
      <c r="AH72" s="25"/>
      <c r="AI72" s="24">
        <f t="shared" si="64"/>
        <v>170.3</v>
      </c>
      <c r="AJ72" s="24">
        <f t="shared" si="64"/>
        <v>0</v>
      </c>
      <c r="AK72" s="25">
        <f>AJ72/AI72*100</f>
        <v>0</v>
      </c>
      <c r="AL72" s="24">
        <f t="shared" si="64"/>
        <v>0</v>
      </c>
      <c r="AM72" s="24"/>
      <c r="AN72" s="25"/>
      <c r="AO72" s="24">
        <f t="shared" si="64"/>
        <v>42.699999999999989</v>
      </c>
      <c r="AP72" s="24">
        <f t="shared" si="64"/>
        <v>149.69999999999999</v>
      </c>
      <c r="AQ72" s="25">
        <f>AP72/AO72*100</f>
        <v>350.58548009367689</v>
      </c>
      <c r="AR72" s="36"/>
      <c r="AS72" s="36"/>
      <c r="AT72" s="80">
        <f t="shared" si="6"/>
        <v>0.83385826771653537</v>
      </c>
      <c r="AU72" s="84">
        <f t="shared" si="2"/>
        <v>0</v>
      </c>
      <c r="AV72" s="84">
        <f t="shared" si="3"/>
        <v>117.00000000000001</v>
      </c>
      <c r="AW72" s="84">
        <f t="shared" si="4"/>
        <v>51</v>
      </c>
      <c r="AX72" s="84">
        <f t="shared" si="5"/>
        <v>213</v>
      </c>
    </row>
    <row r="73" spans="1:50" ht="15.6" x14ac:dyDescent="0.3">
      <c r="A73" s="127"/>
      <c r="B73" s="127"/>
      <c r="C73" s="127"/>
      <c r="D73" s="38" t="s">
        <v>22</v>
      </c>
      <c r="E73" s="24">
        <f t="shared" si="38"/>
        <v>0</v>
      </c>
      <c r="F73" s="24">
        <f t="shared" si="38"/>
        <v>0</v>
      </c>
      <c r="G73" s="25"/>
      <c r="H73" s="24"/>
      <c r="I73" s="24"/>
      <c r="J73" s="24"/>
      <c r="K73" s="24"/>
      <c r="L73" s="24"/>
      <c r="M73" s="25"/>
      <c r="N73" s="24"/>
      <c r="O73" s="24"/>
      <c r="P73" s="25"/>
      <c r="Q73" s="24"/>
      <c r="R73" s="24"/>
      <c r="S73" s="25"/>
      <c r="T73" s="24"/>
      <c r="U73" s="24"/>
      <c r="V73" s="25"/>
      <c r="W73" s="24"/>
      <c r="X73" s="24"/>
      <c r="Y73" s="22"/>
      <c r="Z73" s="24"/>
      <c r="AA73" s="24"/>
      <c r="AB73" s="25"/>
      <c r="AC73" s="24"/>
      <c r="AD73" s="24"/>
      <c r="AE73" s="25"/>
      <c r="AF73" s="24"/>
      <c r="AG73" s="24"/>
      <c r="AH73" s="25"/>
      <c r="AI73" s="24"/>
      <c r="AJ73" s="24"/>
      <c r="AK73" s="25"/>
      <c r="AL73" s="24"/>
      <c r="AM73" s="24"/>
      <c r="AN73" s="25"/>
      <c r="AO73" s="24"/>
      <c r="AP73" s="24"/>
      <c r="AQ73" s="25"/>
      <c r="AR73" s="36"/>
      <c r="AS73" s="36"/>
      <c r="AT73" s="80"/>
      <c r="AU73" s="84">
        <f t="shared" si="2"/>
        <v>0</v>
      </c>
      <c r="AV73" s="84">
        <f t="shared" si="3"/>
        <v>0</v>
      </c>
      <c r="AW73" s="84">
        <f t="shared" si="4"/>
        <v>0</v>
      </c>
      <c r="AX73" s="84">
        <f t="shared" si="5"/>
        <v>0</v>
      </c>
    </row>
    <row r="74" spans="1:50" ht="24" x14ac:dyDescent="0.3">
      <c r="A74" s="127"/>
      <c r="B74" s="127"/>
      <c r="C74" s="127"/>
      <c r="D74" s="38" t="s">
        <v>4</v>
      </c>
      <c r="E74" s="24">
        <f t="shared" si="38"/>
        <v>0</v>
      </c>
      <c r="F74" s="24">
        <f t="shared" si="38"/>
        <v>0</v>
      </c>
      <c r="G74" s="25"/>
      <c r="H74" s="42"/>
      <c r="I74" s="42"/>
      <c r="J74" s="42"/>
      <c r="K74" s="42"/>
      <c r="L74" s="42"/>
      <c r="M74" s="25"/>
      <c r="N74" s="42"/>
      <c r="O74" s="42"/>
      <c r="P74" s="25"/>
      <c r="Q74" s="42"/>
      <c r="R74" s="42"/>
      <c r="S74" s="25"/>
      <c r="T74" s="42"/>
      <c r="U74" s="42"/>
      <c r="V74" s="25"/>
      <c r="W74" s="42"/>
      <c r="X74" s="42"/>
      <c r="Y74" s="22"/>
      <c r="Z74" s="42"/>
      <c r="AA74" s="42"/>
      <c r="AB74" s="25"/>
      <c r="AC74" s="42"/>
      <c r="AD74" s="42"/>
      <c r="AE74" s="25"/>
      <c r="AF74" s="42"/>
      <c r="AG74" s="42"/>
      <c r="AH74" s="25"/>
      <c r="AI74" s="42"/>
      <c r="AJ74" s="42"/>
      <c r="AK74" s="25"/>
      <c r="AL74" s="42"/>
      <c r="AM74" s="42"/>
      <c r="AN74" s="25"/>
      <c r="AO74" s="42"/>
      <c r="AP74" s="42"/>
      <c r="AQ74" s="25"/>
      <c r="AR74" s="36"/>
      <c r="AS74" s="36"/>
      <c r="AT74" s="80"/>
      <c r="AU74" s="84">
        <f t="shared" si="2"/>
        <v>0</v>
      </c>
      <c r="AV74" s="84">
        <f t="shared" si="3"/>
        <v>0</v>
      </c>
      <c r="AW74" s="84">
        <f t="shared" si="4"/>
        <v>0</v>
      </c>
      <c r="AX74" s="84">
        <f t="shared" si="5"/>
        <v>0</v>
      </c>
    </row>
    <row r="75" spans="1:50" ht="72.599999999999994" customHeight="1" x14ac:dyDescent="0.3">
      <c r="A75" s="127"/>
      <c r="B75" s="127"/>
      <c r="C75" s="127"/>
      <c r="D75" s="38" t="s">
        <v>5</v>
      </c>
      <c r="E75" s="24">
        <f t="shared" si="38"/>
        <v>381</v>
      </c>
      <c r="F75" s="24">
        <f t="shared" si="38"/>
        <v>317.7</v>
      </c>
      <c r="G75" s="25">
        <f t="shared" ref="G75" si="65">F75/E75*100</f>
        <v>83.385826771653541</v>
      </c>
      <c r="H75" s="24"/>
      <c r="I75" s="24"/>
      <c r="J75" s="24"/>
      <c r="K75" s="24"/>
      <c r="L75" s="24"/>
      <c r="M75" s="25"/>
      <c r="N75" s="62">
        <f>14.7-14.7</f>
        <v>0</v>
      </c>
      <c r="O75" s="24"/>
      <c r="P75" s="25"/>
      <c r="Q75" s="24">
        <f>117+53.3-53.3</f>
        <v>117.00000000000001</v>
      </c>
      <c r="R75" s="24">
        <v>117</v>
      </c>
      <c r="S75" s="25">
        <f t="shared" ref="S75" si="66">R75/Q75*100</f>
        <v>99.999999999999986</v>
      </c>
      <c r="T75" s="24"/>
      <c r="U75" s="24"/>
      <c r="V75" s="25"/>
      <c r="W75" s="24">
        <f>14.7-14.7</f>
        <v>0</v>
      </c>
      <c r="X75" s="24"/>
      <c r="Y75" s="22"/>
      <c r="Z75" s="24">
        <v>51</v>
      </c>
      <c r="AA75" s="24">
        <v>51</v>
      </c>
      <c r="AB75" s="25">
        <f t="shared" ref="AB75" si="67">AA75/Z75*100</f>
        <v>100</v>
      </c>
      <c r="AC75" s="24"/>
      <c r="AD75" s="24">
        <v>0</v>
      </c>
      <c r="AE75" s="25"/>
      <c r="AF75" s="24"/>
      <c r="AG75" s="24"/>
      <c r="AH75" s="25"/>
      <c r="AI75" s="24">
        <f>117+53.3</f>
        <v>170.3</v>
      </c>
      <c r="AJ75" s="24">
        <v>0</v>
      </c>
      <c r="AK75" s="25">
        <f t="shared" ref="AK75" si="68">AJ75/AI75*100</f>
        <v>0</v>
      </c>
      <c r="AL75" s="24">
        <f>172.5-149.7-22.8</f>
        <v>0</v>
      </c>
      <c r="AM75" s="24"/>
      <c r="AN75" s="25"/>
      <c r="AO75" s="24">
        <f>117+53.2+22.8-150.3</f>
        <v>42.699999999999989</v>
      </c>
      <c r="AP75" s="24">
        <v>149.69999999999999</v>
      </c>
      <c r="AQ75" s="25">
        <f t="shared" ref="AQ75" si="69">AP75/AO75*100</f>
        <v>350.58548009367689</v>
      </c>
      <c r="AR75" s="119" t="s">
        <v>169</v>
      </c>
      <c r="AS75" s="119" t="s">
        <v>178</v>
      </c>
      <c r="AT75" s="80">
        <f t="shared" ref="AT75:AT137" si="70">(I75+L75+O75+R75+U75+X75+AA75+AD75+AG75+AJ75+AM75+AP75)/(H75+K75+N75+Q75+T75+W75+Z75+AC75+AF75+AI75+AL75+AO75)</f>
        <v>0.83385826771653537</v>
      </c>
      <c r="AU75" s="84">
        <f t="shared" si="2"/>
        <v>0</v>
      </c>
      <c r="AV75" s="84">
        <f t="shared" si="3"/>
        <v>117.00000000000001</v>
      </c>
      <c r="AW75" s="84">
        <f t="shared" si="4"/>
        <v>51</v>
      </c>
      <c r="AX75" s="84">
        <f t="shared" si="5"/>
        <v>213</v>
      </c>
    </row>
    <row r="76" spans="1:50" ht="15.6" x14ac:dyDescent="0.3">
      <c r="A76" s="127"/>
      <c r="B76" s="127"/>
      <c r="C76" s="127"/>
      <c r="D76" s="38" t="s">
        <v>23</v>
      </c>
      <c r="E76" s="24">
        <f t="shared" si="38"/>
        <v>0</v>
      </c>
      <c r="F76" s="24">
        <f t="shared" si="38"/>
        <v>0</v>
      </c>
      <c r="G76" s="25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5"/>
      <c r="AR76" s="36"/>
      <c r="AS76" s="36"/>
      <c r="AT76" s="80"/>
      <c r="AU76" s="84">
        <f t="shared" si="2"/>
        <v>0</v>
      </c>
      <c r="AV76" s="84">
        <f t="shared" si="3"/>
        <v>0</v>
      </c>
      <c r="AW76" s="84">
        <f t="shared" si="4"/>
        <v>0</v>
      </c>
      <c r="AX76" s="84">
        <f t="shared" si="5"/>
        <v>0</v>
      </c>
    </row>
    <row r="77" spans="1:50" ht="15.75" customHeight="1" x14ac:dyDescent="0.3">
      <c r="A77" s="144" t="s">
        <v>9</v>
      </c>
      <c r="B77" s="145"/>
      <c r="C77" s="146"/>
      <c r="D77" s="39" t="s">
        <v>3</v>
      </c>
      <c r="E77" s="40">
        <f t="shared" si="38"/>
        <v>93211.200000000012</v>
      </c>
      <c r="F77" s="40">
        <f t="shared" si="38"/>
        <v>90115.1</v>
      </c>
      <c r="G77" s="26">
        <f>F77/E77*100</f>
        <v>96.678403453662227</v>
      </c>
      <c r="H77" s="40">
        <f>H79+H78+H80+H81</f>
        <v>0</v>
      </c>
      <c r="I77" s="40">
        <f>I79+I78+I80+I81</f>
        <v>0</v>
      </c>
      <c r="J77" s="23"/>
      <c r="K77" s="40">
        <f>K79+K78+K80+K81</f>
        <v>0</v>
      </c>
      <c r="L77" s="40">
        <f>L79+L78+L80+L81</f>
        <v>0</v>
      </c>
      <c r="M77" s="26"/>
      <c r="N77" s="40">
        <f>N79+N78+N80+N81</f>
        <v>264.3</v>
      </c>
      <c r="O77" s="40">
        <f>O79+O78+O80+O81</f>
        <v>235</v>
      </c>
      <c r="P77" s="26">
        <f t="shared" ref="P77:P80" si="71">O77/N77*100</f>
        <v>88.914112750662127</v>
      </c>
      <c r="Q77" s="40">
        <f>Q79+Q78+Q80+Q81</f>
        <v>435</v>
      </c>
      <c r="R77" s="40">
        <f>R79+R78+R80+R81</f>
        <v>263.3</v>
      </c>
      <c r="S77" s="26">
        <f>R77/Q77*100</f>
        <v>60.528735632183903</v>
      </c>
      <c r="T77" s="40">
        <f>T79+T78+T80+T81</f>
        <v>470.8</v>
      </c>
      <c r="U77" s="40">
        <f>U79+U78+U80+U81</f>
        <v>270</v>
      </c>
      <c r="V77" s="26">
        <f>U77/T77*100</f>
        <v>57.349192863211549</v>
      </c>
      <c r="W77" s="40">
        <f>W79+W78+W80+W81</f>
        <v>0</v>
      </c>
      <c r="X77" s="40">
        <f>X79+X78+X80+X81</f>
        <v>441</v>
      </c>
      <c r="Y77" s="26"/>
      <c r="Z77" s="40">
        <f>Z79+Z78+Z80+Z81</f>
        <v>2842</v>
      </c>
      <c r="AA77" s="40">
        <f>AA79+AA78+AA80+AA81</f>
        <v>552</v>
      </c>
      <c r="AB77" s="26">
        <f>AA77/Z77*100</f>
        <v>19.422941590429275</v>
      </c>
      <c r="AC77" s="40">
        <f>AC79+AC78+AC80+AC81</f>
        <v>44924</v>
      </c>
      <c r="AD77" s="40">
        <f>AD79+AD78+AD80+AD81</f>
        <v>4270.3999999999996</v>
      </c>
      <c r="AE77" s="26">
        <f>AD77/AC77*100</f>
        <v>9.5058320719437255</v>
      </c>
      <c r="AF77" s="40">
        <f>AF79+AF78+AF80+AF81</f>
        <v>29603.9</v>
      </c>
      <c r="AG77" s="40">
        <f>AG79+AG78+AG80+AG81</f>
        <v>18493.199999999997</v>
      </c>
      <c r="AH77" s="26">
        <f>AG77/AF77*100</f>
        <v>62.468796341022625</v>
      </c>
      <c r="AI77" s="40">
        <f>AI79+AI78+AI80+AI81</f>
        <v>13390.099999999999</v>
      </c>
      <c r="AJ77" s="40">
        <f>AJ79+AJ78+AJ80+AJ81</f>
        <v>15496.699999999999</v>
      </c>
      <c r="AK77" s="26">
        <f>AJ77/AI77*100</f>
        <v>115.73251880120388</v>
      </c>
      <c r="AL77" s="40">
        <f>AL79+AL78+AL80+AL81</f>
        <v>0</v>
      </c>
      <c r="AM77" s="40">
        <f>AM79+AM78+AM80+AM81</f>
        <v>40879.5</v>
      </c>
      <c r="AN77" s="26"/>
      <c r="AO77" s="40">
        <f>AO79+AO78+AO80+AO81</f>
        <v>1281.1000000000001</v>
      </c>
      <c r="AP77" s="40">
        <f>AP79+AP78+AP80+AP81</f>
        <v>9214</v>
      </c>
      <c r="AQ77" s="26">
        <f>AP77/AO77*100</f>
        <v>719.22566544375911</v>
      </c>
      <c r="AR77" s="36"/>
      <c r="AS77" s="36"/>
      <c r="AT77" s="80">
        <f t="shared" si="70"/>
        <v>0.96678403453662221</v>
      </c>
      <c r="AU77" s="85">
        <f t="shared" si="2"/>
        <v>264.3</v>
      </c>
      <c r="AV77" s="85">
        <f t="shared" si="3"/>
        <v>905.8</v>
      </c>
      <c r="AW77" s="85">
        <f t="shared" si="4"/>
        <v>77369.899999999994</v>
      </c>
      <c r="AX77" s="85">
        <f t="shared" si="5"/>
        <v>14671.199999999999</v>
      </c>
    </row>
    <row r="78" spans="1:50" ht="15.6" x14ac:dyDescent="0.3">
      <c r="A78" s="147"/>
      <c r="B78" s="148"/>
      <c r="C78" s="149"/>
      <c r="D78" s="39" t="s">
        <v>22</v>
      </c>
      <c r="E78" s="40">
        <f t="shared" si="38"/>
        <v>0</v>
      </c>
      <c r="F78" s="40">
        <f t="shared" si="38"/>
        <v>0</v>
      </c>
      <c r="G78" s="26"/>
      <c r="H78" s="40">
        <f t="shared" ref="H78:I81" si="72">H36+H41+H67+H73+H47</f>
        <v>0</v>
      </c>
      <c r="I78" s="40">
        <f t="shared" si="72"/>
        <v>0</v>
      </c>
      <c r="J78" s="23"/>
      <c r="K78" s="40">
        <f t="shared" ref="K78:L81" si="73">K36+K41+K67+K73+K47</f>
        <v>0</v>
      </c>
      <c r="L78" s="40">
        <f t="shared" si="73"/>
        <v>0</v>
      </c>
      <c r="M78" s="26"/>
      <c r="N78" s="40">
        <f t="shared" ref="N78:O81" si="74">N36+N41+N67+N73+N47</f>
        <v>0</v>
      </c>
      <c r="O78" s="40">
        <f t="shared" si="74"/>
        <v>0</v>
      </c>
      <c r="P78" s="26"/>
      <c r="Q78" s="40">
        <f t="shared" ref="Q78:R81" si="75">Q36+Q41+Q67+Q73+Q47</f>
        <v>0</v>
      </c>
      <c r="R78" s="40">
        <f t="shared" si="75"/>
        <v>0</v>
      </c>
      <c r="S78" s="26"/>
      <c r="T78" s="40">
        <f t="shared" ref="T78:U81" si="76">T36+T41+T67+T73+T47</f>
        <v>0</v>
      </c>
      <c r="U78" s="40">
        <f t="shared" si="76"/>
        <v>0</v>
      </c>
      <c r="V78" s="26"/>
      <c r="W78" s="40">
        <f t="shared" ref="W78:X81" si="77">W36+W41+W67+W73+W47</f>
        <v>0</v>
      </c>
      <c r="X78" s="40">
        <f t="shared" si="77"/>
        <v>0</v>
      </c>
      <c r="Y78" s="26"/>
      <c r="Z78" s="40">
        <f t="shared" ref="Z78:AA81" si="78">Z36+Z41+Z67+Z73+Z47</f>
        <v>0</v>
      </c>
      <c r="AA78" s="40">
        <f t="shared" si="78"/>
        <v>0</v>
      </c>
      <c r="AB78" s="26"/>
      <c r="AC78" s="40">
        <f t="shared" ref="AC78:AD81" si="79">AC36+AC41+AC67+AC73+AC47</f>
        <v>0</v>
      </c>
      <c r="AD78" s="40">
        <f t="shared" si="79"/>
        <v>0</v>
      </c>
      <c r="AE78" s="26"/>
      <c r="AF78" s="40">
        <f t="shared" ref="AF78:AG81" si="80">AF36+AF41+AF67+AF73+AF47</f>
        <v>0</v>
      </c>
      <c r="AG78" s="40">
        <f t="shared" si="80"/>
        <v>0</v>
      </c>
      <c r="AH78" s="26"/>
      <c r="AI78" s="40">
        <f t="shared" ref="AI78:AJ81" si="81">AI36+AI41+AI67+AI73+AI47</f>
        <v>0</v>
      </c>
      <c r="AJ78" s="40">
        <f t="shared" si="81"/>
        <v>0</v>
      </c>
      <c r="AK78" s="26"/>
      <c r="AL78" s="40">
        <f t="shared" ref="AL78:AM81" si="82">AL36+AL41+AL67+AL73+AL47</f>
        <v>0</v>
      </c>
      <c r="AM78" s="40">
        <f t="shared" si="82"/>
        <v>0</v>
      </c>
      <c r="AN78" s="26"/>
      <c r="AO78" s="40">
        <f t="shared" ref="AO78:AP81" si="83">AO36+AO41+AO67+AO73+AO47</f>
        <v>0</v>
      </c>
      <c r="AP78" s="40">
        <f t="shared" si="83"/>
        <v>0</v>
      </c>
      <c r="AQ78" s="26"/>
      <c r="AR78" s="36"/>
      <c r="AS78" s="36"/>
      <c r="AT78" s="80"/>
      <c r="AU78" s="85">
        <f t="shared" si="2"/>
        <v>0</v>
      </c>
      <c r="AV78" s="85">
        <f t="shared" si="3"/>
        <v>0</v>
      </c>
      <c r="AW78" s="85">
        <f t="shared" si="4"/>
        <v>0</v>
      </c>
      <c r="AX78" s="85">
        <f t="shared" si="5"/>
        <v>0</v>
      </c>
    </row>
    <row r="79" spans="1:50" ht="26.25" customHeight="1" x14ac:dyDescent="0.3">
      <c r="A79" s="147"/>
      <c r="B79" s="148"/>
      <c r="C79" s="149"/>
      <c r="D79" s="39" t="s">
        <v>4</v>
      </c>
      <c r="E79" s="40">
        <f t="shared" si="38"/>
        <v>2203.3000000000002</v>
      </c>
      <c r="F79" s="40">
        <f t="shared" si="38"/>
        <v>2203.3000000000002</v>
      </c>
      <c r="G79" s="26">
        <f t="shared" ref="G79:G80" si="84">F79/E79*100</f>
        <v>100</v>
      </c>
      <c r="H79" s="40">
        <f t="shared" si="72"/>
        <v>0</v>
      </c>
      <c r="I79" s="40">
        <f t="shared" si="72"/>
        <v>0</v>
      </c>
      <c r="J79" s="23"/>
      <c r="K79" s="40">
        <f t="shared" si="73"/>
        <v>0</v>
      </c>
      <c r="L79" s="40">
        <f t="shared" si="73"/>
        <v>0</v>
      </c>
      <c r="M79" s="26"/>
      <c r="N79" s="40">
        <f t="shared" si="74"/>
        <v>0</v>
      </c>
      <c r="O79" s="40">
        <f t="shared" si="74"/>
        <v>0</v>
      </c>
      <c r="P79" s="26"/>
      <c r="Q79" s="40">
        <f t="shared" si="75"/>
        <v>286</v>
      </c>
      <c r="R79" s="40">
        <f t="shared" si="75"/>
        <v>100</v>
      </c>
      <c r="S79" s="26">
        <f t="shared" ref="S79:S80" si="85">R79/Q79*100</f>
        <v>34.965034965034967</v>
      </c>
      <c r="T79" s="40">
        <f t="shared" si="76"/>
        <v>0</v>
      </c>
      <c r="U79" s="40">
        <f t="shared" si="76"/>
        <v>0</v>
      </c>
      <c r="V79" s="26"/>
      <c r="W79" s="40">
        <f t="shared" si="77"/>
        <v>0</v>
      </c>
      <c r="X79" s="40">
        <f t="shared" si="77"/>
        <v>186</v>
      </c>
      <c r="Y79" s="26"/>
      <c r="Z79" s="40">
        <f t="shared" si="78"/>
        <v>50</v>
      </c>
      <c r="AA79" s="40">
        <f t="shared" si="78"/>
        <v>0</v>
      </c>
      <c r="AB79" s="26">
        <f t="shared" ref="AB79:AB80" si="86">AA79/Z79*100</f>
        <v>0</v>
      </c>
      <c r="AC79" s="40">
        <f t="shared" si="79"/>
        <v>800</v>
      </c>
      <c r="AD79" s="40">
        <f t="shared" si="79"/>
        <v>620</v>
      </c>
      <c r="AE79" s="26">
        <f t="shared" ref="AE79:AE80" si="87">AD79/AC79*100</f>
        <v>77.5</v>
      </c>
      <c r="AF79" s="40">
        <f t="shared" si="80"/>
        <v>895</v>
      </c>
      <c r="AG79" s="40">
        <f t="shared" si="80"/>
        <v>1125</v>
      </c>
      <c r="AH79" s="26">
        <f t="shared" ref="AH79:AH80" si="88">AG79/AF79*100</f>
        <v>125.69832402234637</v>
      </c>
      <c r="AI79" s="40">
        <f t="shared" si="81"/>
        <v>172.3</v>
      </c>
      <c r="AJ79" s="40">
        <f t="shared" si="81"/>
        <v>172.3</v>
      </c>
      <c r="AK79" s="26">
        <f t="shared" ref="AK79:AK80" si="89">AJ79/AI79*100</f>
        <v>100</v>
      </c>
      <c r="AL79" s="40">
        <f t="shared" si="82"/>
        <v>0</v>
      </c>
      <c r="AM79" s="40">
        <f t="shared" si="82"/>
        <v>0</v>
      </c>
      <c r="AN79" s="26"/>
      <c r="AO79" s="40">
        <f t="shared" si="83"/>
        <v>0</v>
      </c>
      <c r="AP79" s="40">
        <f t="shared" si="83"/>
        <v>0</v>
      </c>
      <c r="AQ79" s="26"/>
      <c r="AR79" s="36"/>
      <c r="AS79" s="36"/>
      <c r="AT79" s="80">
        <f t="shared" si="70"/>
        <v>1</v>
      </c>
      <c r="AU79" s="85">
        <f t="shared" si="2"/>
        <v>0</v>
      </c>
      <c r="AV79" s="85">
        <f t="shared" si="3"/>
        <v>286</v>
      </c>
      <c r="AW79" s="85">
        <f t="shared" si="4"/>
        <v>1745</v>
      </c>
      <c r="AX79" s="85">
        <f t="shared" si="5"/>
        <v>172.3</v>
      </c>
    </row>
    <row r="80" spans="1:50" ht="15.6" x14ac:dyDescent="0.3">
      <c r="A80" s="147"/>
      <c r="B80" s="148"/>
      <c r="C80" s="149"/>
      <c r="D80" s="39" t="s">
        <v>44</v>
      </c>
      <c r="E80" s="40">
        <f t="shared" si="38"/>
        <v>91007.900000000009</v>
      </c>
      <c r="F80" s="40">
        <f t="shared" si="38"/>
        <v>87911.799999999988</v>
      </c>
      <c r="G80" s="26">
        <f t="shared" si="84"/>
        <v>96.597987647226205</v>
      </c>
      <c r="H80" s="40">
        <f t="shared" si="72"/>
        <v>0</v>
      </c>
      <c r="I80" s="40">
        <f t="shared" si="72"/>
        <v>0</v>
      </c>
      <c r="J80" s="23"/>
      <c r="K80" s="40">
        <f t="shared" si="73"/>
        <v>0</v>
      </c>
      <c r="L80" s="40">
        <f t="shared" si="73"/>
        <v>0</v>
      </c>
      <c r="M80" s="26"/>
      <c r="N80" s="40">
        <f t="shared" si="74"/>
        <v>264.3</v>
      </c>
      <c r="O80" s="40">
        <f t="shared" si="74"/>
        <v>235</v>
      </c>
      <c r="P80" s="26">
        <f t="shared" si="71"/>
        <v>88.914112750662127</v>
      </c>
      <c r="Q80" s="40">
        <f t="shared" si="75"/>
        <v>149</v>
      </c>
      <c r="R80" s="40">
        <f t="shared" si="75"/>
        <v>163.30000000000001</v>
      </c>
      <c r="S80" s="26">
        <f t="shared" si="85"/>
        <v>109.59731543624163</v>
      </c>
      <c r="T80" s="40">
        <f t="shared" si="76"/>
        <v>470.8</v>
      </c>
      <c r="U80" s="40">
        <f t="shared" si="76"/>
        <v>270</v>
      </c>
      <c r="V80" s="26">
        <f t="shared" ref="V80" si="90">U80/T80*100</f>
        <v>57.349192863211549</v>
      </c>
      <c r="W80" s="40">
        <f t="shared" si="77"/>
        <v>0</v>
      </c>
      <c r="X80" s="40">
        <f t="shared" si="77"/>
        <v>255</v>
      </c>
      <c r="Y80" s="26"/>
      <c r="Z80" s="40">
        <f t="shared" si="78"/>
        <v>2792</v>
      </c>
      <c r="AA80" s="40">
        <f t="shared" si="78"/>
        <v>552</v>
      </c>
      <c r="AB80" s="26">
        <f t="shared" si="86"/>
        <v>19.770773638968482</v>
      </c>
      <c r="AC80" s="40">
        <f t="shared" si="79"/>
        <v>44124</v>
      </c>
      <c r="AD80" s="40">
        <f t="shared" si="79"/>
        <v>3650.4</v>
      </c>
      <c r="AE80" s="26">
        <f t="shared" si="87"/>
        <v>8.2730486809899375</v>
      </c>
      <c r="AF80" s="40">
        <f t="shared" si="80"/>
        <v>28708.9</v>
      </c>
      <c r="AG80" s="40">
        <f t="shared" si="80"/>
        <v>17368.199999999997</v>
      </c>
      <c r="AH80" s="26">
        <f t="shared" si="88"/>
        <v>60.4976157219538</v>
      </c>
      <c r="AI80" s="40">
        <f t="shared" si="81"/>
        <v>13217.8</v>
      </c>
      <c r="AJ80" s="40">
        <f t="shared" si="81"/>
        <v>15324.4</v>
      </c>
      <c r="AK80" s="26">
        <f t="shared" si="89"/>
        <v>115.93759929791645</v>
      </c>
      <c r="AL80" s="40">
        <f t="shared" si="82"/>
        <v>0</v>
      </c>
      <c r="AM80" s="40">
        <f t="shared" si="82"/>
        <v>40879.5</v>
      </c>
      <c r="AN80" s="26"/>
      <c r="AO80" s="40">
        <f t="shared" si="83"/>
        <v>1281.1000000000001</v>
      </c>
      <c r="AP80" s="40">
        <f t="shared" si="83"/>
        <v>9214</v>
      </c>
      <c r="AQ80" s="26">
        <f t="shared" ref="AQ80" si="91">AP80/AO80*100</f>
        <v>719.22566544375911</v>
      </c>
      <c r="AR80" s="36"/>
      <c r="AS80" s="36"/>
      <c r="AT80" s="80">
        <f t="shared" si="70"/>
        <v>0.96597987647226202</v>
      </c>
      <c r="AU80" s="85">
        <f t="shared" si="2"/>
        <v>264.3</v>
      </c>
      <c r="AV80" s="85">
        <f t="shared" si="3"/>
        <v>619.79999999999995</v>
      </c>
      <c r="AW80" s="85">
        <f t="shared" si="4"/>
        <v>75624.899999999994</v>
      </c>
      <c r="AX80" s="85">
        <f>AI80+AL80+AO80</f>
        <v>14498.9</v>
      </c>
    </row>
    <row r="81" spans="1:50" ht="15.6" x14ac:dyDescent="0.3">
      <c r="A81" s="147"/>
      <c r="B81" s="148"/>
      <c r="C81" s="149"/>
      <c r="D81" s="39" t="s">
        <v>23</v>
      </c>
      <c r="E81" s="40">
        <f t="shared" si="38"/>
        <v>0</v>
      </c>
      <c r="F81" s="40">
        <f t="shared" si="38"/>
        <v>0</v>
      </c>
      <c r="G81" s="40"/>
      <c r="H81" s="40">
        <f t="shared" si="72"/>
        <v>0</v>
      </c>
      <c r="I81" s="40">
        <f t="shared" si="72"/>
        <v>0</v>
      </c>
      <c r="J81" s="40"/>
      <c r="K81" s="40">
        <f t="shared" si="73"/>
        <v>0</v>
      </c>
      <c r="L81" s="40">
        <f t="shared" si="73"/>
        <v>0</v>
      </c>
      <c r="M81" s="40"/>
      <c r="N81" s="40">
        <f t="shared" si="74"/>
        <v>0</v>
      </c>
      <c r="O81" s="40">
        <f t="shared" si="74"/>
        <v>0</v>
      </c>
      <c r="P81" s="40"/>
      <c r="Q81" s="40">
        <f t="shared" si="75"/>
        <v>0</v>
      </c>
      <c r="R81" s="40">
        <f t="shared" si="75"/>
        <v>0</v>
      </c>
      <c r="S81" s="40"/>
      <c r="T81" s="40">
        <f t="shared" si="76"/>
        <v>0</v>
      </c>
      <c r="U81" s="40">
        <f t="shared" si="76"/>
        <v>0</v>
      </c>
      <c r="V81" s="40"/>
      <c r="W81" s="40">
        <f t="shared" si="77"/>
        <v>0</v>
      </c>
      <c r="X81" s="40">
        <f t="shared" si="77"/>
        <v>0</v>
      </c>
      <c r="Y81" s="40"/>
      <c r="Z81" s="40">
        <f t="shared" si="78"/>
        <v>0</v>
      </c>
      <c r="AA81" s="40">
        <f t="shared" si="78"/>
        <v>0</v>
      </c>
      <c r="AB81" s="40"/>
      <c r="AC81" s="40">
        <f t="shared" si="79"/>
        <v>0</v>
      </c>
      <c r="AD81" s="40">
        <f t="shared" si="79"/>
        <v>0</v>
      </c>
      <c r="AE81" s="40"/>
      <c r="AF81" s="40">
        <f t="shared" si="80"/>
        <v>0</v>
      </c>
      <c r="AG81" s="40">
        <f t="shared" si="80"/>
        <v>0</v>
      </c>
      <c r="AH81" s="40"/>
      <c r="AI81" s="40">
        <f t="shared" si="81"/>
        <v>0</v>
      </c>
      <c r="AJ81" s="40">
        <f t="shared" si="81"/>
        <v>0</v>
      </c>
      <c r="AK81" s="40"/>
      <c r="AL81" s="40">
        <f t="shared" si="82"/>
        <v>0</v>
      </c>
      <c r="AM81" s="40">
        <f t="shared" si="82"/>
        <v>0</v>
      </c>
      <c r="AN81" s="40"/>
      <c r="AO81" s="40">
        <f t="shared" si="83"/>
        <v>0</v>
      </c>
      <c r="AP81" s="40">
        <f t="shared" si="83"/>
        <v>0</v>
      </c>
      <c r="AQ81" s="24"/>
      <c r="AR81" s="36"/>
      <c r="AS81" s="36"/>
      <c r="AT81" s="80"/>
      <c r="AU81" s="85">
        <f t="shared" si="2"/>
        <v>0</v>
      </c>
      <c r="AV81" s="85">
        <f t="shared" si="3"/>
        <v>0</v>
      </c>
      <c r="AW81" s="85">
        <f t="shared" si="4"/>
        <v>0</v>
      </c>
      <c r="AX81" s="85">
        <f t="shared" si="5"/>
        <v>0</v>
      </c>
    </row>
    <row r="82" spans="1:50" ht="12.75" customHeight="1" x14ac:dyDescent="0.3">
      <c r="A82" s="150"/>
      <c r="B82" s="151"/>
      <c r="C82" s="152"/>
      <c r="D82" s="39" t="s">
        <v>131</v>
      </c>
      <c r="E82" s="40">
        <f t="shared" si="38"/>
        <v>0</v>
      </c>
      <c r="F82" s="40">
        <f t="shared" si="38"/>
        <v>9381.6</v>
      </c>
      <c r="G82" s="40"/>
      <c r="H82" s="40"/>
      <c r="I82" s="40"/>
      <c r="J82" s="40"/>
      <c r="K82" s="40"/>
      <c r="L82" s="40"/>
      <c r="M82" s="40"/>
      <c r="N82" s="40"/>
      <c r="O82" s="40">
        <f>O45+O71</f>
        <v>4399.2</v>
      </c>
      <c r="P82" s="40"/>
      <c r="Q82" s="40"/>
      <c r="R82" s="40">
        <f>R45+R71</f>
        <v>24</v>
      </c>
      <c r="S82" s="40"/>
      <c r="T82" s="40"/>
      <c r="U82" s="40">
        <f>U45+U71</f>
        <v>0</v>
      </c>
      <c r="V82" s="40"/>
      <c r="W82" s="40"/>
      <c r="X82" s="40">
        <f>X45+X71</f>
        <v>0</v>
      </c>
      <c r="Y82" s="40"/>
      <c r="Z82" s="40"/>
      <c r="AA82" s="40">
        <f>AA45+AA71</f>
        <v>0</v>
      </c>
      <c r="AB82" s="40"/>
      <c r="AC82" s="40"/>
      <c r="AD82" s="40">
        <f>AD45+AD71</f>
        <v>0</v>
      </c>
      <c r="AE82" s="40"/>
      <c r="AF82" s="40"/>
      <c r="AG82" s="40">
        <f>AG45+AG71</f>
        <v>1949.4</v>
      </c>
      <c r="AH82" s="40"/>
      <c r="AI82" s="40"/>
      <c r="AJ82" s="40">
        <f>AJ45+AJ71</f>
        <v>3009</v>
      </c>
      <c r="AK82" s="40"/>
      <c r="AL82" s="40"/>
      <c r="AM82" s="40">
        <f>AM45+AM71</f>
        <v>0</v>
      </c>
      <c r="AN82" s="40"/>
      <c r="AO82" s="40"/>
      <c r="AP82" s="40">
        <f>AP45+AP71</f>
        <v>0</v>
      </c>
      <c r="AQ82" s="24"/>
      <c r="AR82" s="36"/>
      <c r="AS82" s="36"/>
      <c r="AT82" s="80"/>
      <c r="AU82" s="85"/>
      <c r="AV82" s="85"/>
      <c r="AW82" s="85"/>
      <c r="AX82" s="85"/>
    </row>
    <row r="83" spans="1:50" ht="16.5" customHeight="1" x14ac:dyDescent="0.3">
      <c r="A83" s="38" t="s">
        <v>52</v>
      </c>
      <c r="B83" s="37" t="s">
        <v>10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6"/>
      <c r="AS83" s="36"/>
      <c r="AT83" s="80"/>
      <c r="AU83" s="85">
        <f t="shared" si="2"/>
        <v>0</v>
      </c>
      <c r="AV83" s="85">
        <f t="shared" si="3"/>
        <v>0</v>
      </c>
      <c r="AW83" s="85">
        <f t="shared" si="4"/>
        <v>0</v>
      </c>
      <c r="AX83" s="85">
        <f t="shared" si="5"/>
        <v>0</v>
      </c>
    </row>
    <row r="84" spans="1:50" ht="24.75" customHeight="1" x14ac:dyDescent="0.3">
      <c r="A84" s="127" t="s">
        <v>53</v>
      </c>
      <c r="B84" s="127" t="s">
        <v>90</v>
      </c>
      <c r="C84" s="127" t="s">
        <v>6</v>
      </c>
      <c r="D84" s="38" t="s">
        <v>3</v>
      </c>
      <c r="E84" s="24">
        <f t="shared" ref="E84:F99" si="92">H84+K84+N84+Q84+T84+W84+Z84+AC84+AF84+AI84+AL84+AO84</f>
        <v>45</v>
      </c>
      <c r="F84" s="24">
        <f t="shared" si="92"/>
        <v>45</v>
      </c>
      <c r="G84" s="25">
        <f>F84/E84*100</f>
        <v>100</v>
      </c>
      <c r="H84" s="24">
        <f>H85+H86+H87+H88</f>
        <v>0</v>
      </c>
      <c r="I84" s="24"/>
      <c r="J84" s="22"/>
      <c r="K84" s="24">
        <f t="shared" ref="K84:AP84" si="93">K85+K86+K87+K88</f>
        <v>20</v>
      </c>
      <c r="L84" s="24">
        <f t="shared" si="93"/>
        <v>20</v>
      </c>
      <c r="M84" s="25">
        <f>L84/K84*100</f>
        <v>100</v>
      </c>
      <c r="N84" s="24">
        <f t="shared" si="93"/>
        <v>0</v>
      </c>
      <c r="O84" s="24">
        <f t="shared" si="93"/>
        <v>0</v>
      </c>
      <c r="P84" s="25"/>
      <c r="Q84" s="24">
        <f t="shared" si="93"/>
        <v>0</v>
      </c>
      <c r="R84" s="24">
        <f t="shared" si="93"/>
        <v>0</v>
      </c>
      <c r="S84" s="25"/>
      <c r="T84" s="24">
        <f t="shared" si="93"/>
        <v>0</v>
      </c>
      <c r="U84" s="24">
        <f t="shared" si="93"/>
        <v>0</v>
      </c>
      <c r="V84" s="25"/>
      <c r="W84" s="24">
        <f t="shared" si="93"/>
        <v>0</v>
      </c>
      <c r="X84" s="24"/>
      <c r="Y84" s="22"/>
      <c r="Z84" s="24">
        <f t="shared" si="93"/>
        <v>0</v>
      </c>
      <c r="AA84" s="24">
        <f t="shared" si="93"/>
        <v>0</v>
      </c>
      <c r="AB84" s="22"/>
      <c r="AC84" s="24">
        <f t="shared" si="93"/>
        <v>0</v>
      </c>
      <c r="AD84" s="24">
        <f t="shared" si="93"/>
        <v>0</v>
      </c>
      <c r="AE84" s="22"/>
      <c r="AF84" s="24">
        <f t="shared" si="93"/>
        <v>0</v>
      </c>
      <c r="AG84" s="24"/>
      <c r="AH84" s="22"/>
      <c r="AI84" s="24">
        <f t="shared" si="93"/>
        <v>0</v>
      </c>
      <c r="AJ84" s="24">
        <f t="shared" si="93"/>
        <v>0</v>
      </c>
      <c r="AK84" s="22"/>
      <c r="AL84" s="24">
        <f t="shared" si="93"/>
        <v>0</v>
      </c>
      <c r="AM84" s="24">
        <f t="shared" si="93"/>
        <v>0</v>
      </c>
      <c r="AN84" s="25"/>
      <c r="AO84" s="24">
        <f t="shared" si="93"/>
        <v>25</v>
      </c>
      <c r="AP84" s="24">
        <f t="shared" si="93"/>
        <v>25</v>
      </c>
      <c r="AQ84" s="25">
        <f>AP84/AO84*100</f>
        <v>100</v>
      </c>
      <c r="AR84" s="36"/>
      <c r="AS84" s="36"/>
      <c r="AT84" s="80">
        <f t="shared" si="70"/>
        <v>1</v>
      </c>
      <c r="AU84" s="84">
        <f t="shared" si="2"/>
        <v>20</v>
      </c>
      <c r="AV84" s="84">
        <f t="shared" si="3"/>
        <v>0</v>
      </c>
      <c r="AW84" s="84">
        <f t="shared" si="4"/>
        <v>0</v>
      </c>
      <c r="AX84" s="84">
        <f t="shared" si="5"/>
        <v>25</v>
      </c>
    </row>
    <row r="85" spans="1:50" ht="13.5" customHeight="1" x14ac:dyDescent="0.3">
      <c r="A85" s="127"/>
      <c r="B85" s="127"/>
      <c r="C85" s="127"/>
      <c r="D85" s="38" t="s">
        <v>22</v>
      </c>
      <c r="E85" s="24">
        <f t="shared" si="92"/>
        <v>0</v>
      </c>
      <c r="F85" s="24">
        <f t="shared" si="92"/>
        <v>0</v>
      </c>
      <c r="G85" s="25"/>
      <c r="H85" s="24"/>
      <c r="I85" s="24"/>
      <c r="J85" s="22"/>
      <c r="K85" s="24"/>
      <c r="L85" s="24"/>
      <c r="M85" s="25"/>
      <c r="N85" s="24"/>
      <c r="O85" s="24"/>
      <c r="P85" s="25"/>
      <c r="Q85" s="24"/>
      <c r="R85" s="24"/>
      <c r="S85" s="25"/>
      <c r="T85" s="24"/>
      <c r="U85" s="24"/>
      <c r="V85" s="25"/>
      <c r="W85" s="24"/>
      <c r="X85" s="24"/>
      <c r="Y85" s="22"/>
      <c r="Z85" s="24"/>
      <c r="AA85" s="24"/>
      <c r="AB85" s="22"/>
      <c r="AC85" s="24"/>
      <c r="AD85" s="24"/>
      <c r="AE85" s="22"/>
      <c r="AF85" s="24"/>
      <c r="AG85" s="24"/>
      <c r="AH85" s="22"/>
      <c r="AI85" s="24"/>
      <c r="AJ85" s="24"/>
      <c r="AK85" s="22"/>
      <c r="AL85" s="24"/>
      <c r="AM85" s="24"/>
      <c r="AN85" s="25"/>
      <c r="AO85" s="24"/>
      <c r="AP85" s="24"/>
      <c r="AQ85" s="25"/>
      <c r="AR85" s="36"/>
      <c r="AS85" s="36"/>
      <c r="AT85" s="80"/>
      <c r="AU85" s="84">
        <f t="shared" si="2"/>
        <v>0</v>
      </c>
      <c r="AV85" s="84">
        <f t="shared" si="3"/>
        <v>0</v>
      </c>
      <c r="AW85" s="84">
        <f t="shared" si="4"/>
        <v>0</v>
      </c>
      <c r="AX85" s="84">
        <f t="shared" si="5"/>
        <v>0</v>
      </c>
    </row>
    <row r="86" spans="1:50" ht="15" customHeight="1" x14ac:dyDescent="0.3">
      <c r="A86" s="127"/>
      <c r="B86" s="127"/>
      <c r="C86" s="127"/>
      <c r="D86" s="38" t="s">
        <v>4</v>
      </c>
      <c r="E86" s="24">
        <f t="shared" si="92"/>
        <v>0</v>
      </c>
      <c r="F86" s="24">
        <f t="shared" si="92"/>
        <v>0</v>
      </c>
      <c r="G86" s="25"/>
      <c r="H86" s="24"/>
      <c r="I86" s="24"/>
      <c r="J86" s="22"/>
      <c r="K86" s="24"/>
      <c r="L86" s="24"/>
      <c r="M86" s="25"/>
      <c r="N86" s="24"/>
      <c r="O86" s="24"/>
      <c r="P86" s="25"/>
      <c r="Q86" s="24"/>
      <c r="R86" s="24"/>
      <c r="S86" s="25"/>
      <c r="T86" s="24"/>
      <c r="U86" s="24"/>
      <c r="V86" s="25"/>
      <c r="W86" s="24"/>
      <c r="X86" s="24"/>
      <c r="Y86" s="22"/>
      <c r="Z86" s="24"/>
      <c r="AA86" s="24"/>
      <c r="AB86" s="22"/>
      <c r="AC86" s="24"/>
      <c r="AD86" s="24"/>
      <c r="AE86" s="22"/>
      <c r="AF86" s="24"/>
      <c r="AG86" s="24"/>
      <c r="AH86" s="22"/>
      <c r="AI86" s="24"/>
      <c r="AJ86" s="24"/>
      <c r="AK86" s="22"/>
      <c r="AL86" s="24"/>
      <c r="AM86" s="24"/>
      <c r="AN86" s="25"/>
      <c r="AO86" s="24"/>
      <c r="AP86" s="24"/>
      <c r="AQ86" s="25"/>
      <c r="AR86" s="43"/>
      <c r="AS86" s="43"/>
      <c r="AT86" s="80"/>
      <c r="AU86" s="84">
        <f t="shared" si="2"/>
        <v>0</v>
      </c>
      <c r="AV86" s="84">
        <f t="shared" si="3"/>
        <v>0</v>
      </c>
      <c r="AW86" s="84">
        <f t="shared" si="4"/>
        <v>0</v>
      </c>
      <c r="AX86" s="84">
        <f t="shared" si="5"/>
        <v>0</v>
      </c>
    </row>
    <row r="87" spans="1:50" ht="24.6" customHeight="1" x14ac:dyDescent="0.3">
      <c r="A87" s="127"/>
      <c r="B87" s="127"/>
      <c r="C87" s="127"/>
      <c r="D87" s="38" t="s">
        <v>44</v>
      </c>
      <c r="E87" s="24">
        <f t="shared" si="92"/>
        <v>45</v>
      </c>
      <c r="F87" s="24">
        <f t="shared" si="92"/>
        <v>45</v>
      </c>
      <c r="G87" s="25">
        <f t="shared" ref="G87" si="94">F87/E87*100</f>
        <v>100</v>
      </c>
      <c r="H87" s="24"/>
      <c r="I87" s="24"/>
      <c r="J87" s="22"/>
      <c r="K87" s="24">
        <v>20</v>
      </c>
      <c r="L87" s="24">
        <v>20</v>
      </c>
      <c r="M87" s="25">
        <f t="shared" ref="M87" si="95">L87/K87*100</f>
        <v>100</v>
      </c>
      <c r="N87" s="24"/>
      <c r="O87" s="24"/>
      <c r="P87" s="25"/>
      <c r="Q87" s="24"/>
      <c r="R87" s="24"/>
      <c r="S87" s="25"/>
      <c r="T87" s="24"/>
      <c r="U87" s="24"/>
      <c r="V87" s="25"/>
      <c r="W87" s="24"/>
      <c r="X87" s="24"/>
      <c r="Y87" s="22"/>
      <c r="Z87" s="24"/>
      <c r="AA87" s="24"/>
      <c r="AB87" s="22"/>
      <c r="AC87" s="24"/>
      <c r="AD87" s="24"/>
      <c r="AE87" s="22"/>
      <c r="AF87" s="24"/>
      <c r="AG87" s="24"/>
      <c r="AH87" s="22"/>
      <c r="AI87" s="24"/>
      <c r="AJ87" s="24"/>
      <c r="AK87" s="22"/>
      <c r="AL87" s="24">
        <f>25-25</f>
        <v>0</v>
      </c>
      <c r="AM87" s="24"/>
      <c r="AN87" s="25"/>
      <c r="AO87" s="24">
        <v>25</v>
      </c>
      <c r="AP87" s="24">
        <v>25</v>
      </c>
      <c r="AQ87" s="25">
        <f t="shared" ref="AQ87" si="96">AP87/AO87*100</f>
        <v>100</v>
      </c>
      <c r="AR87" s="119" t="s">
        <v>132</v>
      </c>
      <c r="AS87" s="43"/>
      <c r="AT87" s="80">
        <f t="shared" si="70"/>
        <v>1</v>
      </c>
      <c r="AU87" s="84">
        <f t="shared" ref="AU87:AU160" si="97">H87+K87+N87</f>
        <v>20</v>
      </c>
      <c r="AV87" s="84">
        <f t="shared" ref="AV87:AV160" si="98">Q87+T87+W87</f>
        <v>0</v>
      </c>
      <c r="AW87" s="84">
        <f t="shared" ref="AW87:AW160" si="99">Z87+AC87+AF87</f>
        <v>0</v>
      </c>
      <c r="AX87" s="84">
        <f t="shared" ref="AX87:AX160" si="100">AI87+AL87+AO87</f>
        <v>25</v>
      </c>
    </row>
    <row r="88" spans="1:50" ht="15.75" customHeight="1" x14ac:dyDescent="0.3">
      <c r="A88" s="127"/>
      <c r="B88" s="127"/>
      <c r="C88" s="127"/>
      <c r="D88" s="38" t="s">
        <v>23</v>
      </c>
      <c r="E88" s="24">
        <f t="shared" si="92"/>
        <v>0</v>
      </c>
      <c r="F88" s="24">
        <f t="shared" si="92"/>
        <v>0</v>
      </c>
      <c r="G88" s="25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5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5"/>
      <c r="AO88" s="24"/>
      <c r="AP88" s="24"/>
      <c r="AQ88" s="24"/>
      <c r="AR88" s="36"/>
      <c r="AS88" s="36"/>
      <c r="AT88" s="80"/>
      <c r="AU88" s="84">
        <f t="shared" si="97"/>
        <v>0</v>
      </c>
      <c r="AV88" s="84">
        <f t="shared" si="98"/>
        <v>0</v>
      </c>
      <c r="AW88" s="84">
        <f t="shared" si="99"/>
        <v>0</v>
      </c>
      <c r="AX88" s="84">
        <f t="shared" si="100"/>
        <v>0</v>
      </c>
    </row>
    <row r="89" spans="1:50" ht="34.200000000000003" customHeight="1" x14ac:dyDescent="0.3">
      <c r="A89" s="127" t="s">
        <v>54</v>
      </c>
      <c r="B89" s="127" t="s">
        <v>91</v>
      </c>
      <c r="C89" s="127" t="s">
        <v>6</v>
      </c>
      <c r="D89" s="38" t="s">
        <v>3</v>
      </c>
      <c r="E89" s="24">
        <f t="shared" si="92"/>
        <v>473.70000000000005</v>
      </c>
      <c r="F89" s="24">
        <f t="shared" si="92"/>
        <v>473.7</v>
      </c>
      <c r="G89" s="25">
        <f>F89/E89*100</f>
        <v>99.999999999999986</v>
      </c>
      <c r="H89" s="24">
        <f>H90+H91+H92+H93</f>
        <v>290.8</v>
      </c>
      <c r="I89" s="24">
        <f>I90+I91+I92+I93</f>
        <v>290.8</v>
      </c>
      <c r="J89" s="25">
        <f>I89/H89*100</f>
        <v>100</v>
      </c>
      <c r="K89" s="24">
        <f t="shared" ref="K89:AO89" si="101">K90+K91+K92+K93</f>
        <v>0</v>
      </c>
      <c r="L89" s="24">
        <f t="shared" si="101"/>
        <v>0</v>
      </c>
      <c r="M89" s="22"/>
      <c r="N89" s="24">
        <f t="shared" si="101"/>
        <v>-11.1</v>
      </c>
      <c r="O89" s="24">
        <f t="shared" si="101"/>
        <v>-11.1</v>
      </c>
      <c r="P89" s="25">
        <f>O89/N89*100</f>
        <v>100</v>
      </c>
      <c r="Q89" s="24">
        <f t="shared" si="101"/>
        <v>21.8</v>
      </c>
      <c r="R89" s="24">
        <f t="shared" si="101"/>
        <v>0</v>
      </c>
      <c r="S89" s="25">
        <f>R89/Q89*100</f>
        <v>0</v>
      </c>
      <c r="T89" s="24">
        <f t="shared" si="101"/>
        <v>0</v>
      </c>
      <c r="U89" s="24">
        <f t="shared" si="101"/>
        <v>0</v>
      </c>
      <c r="V89" s="25"/>
      <c r="W89" s="24">
        <f t="shared" si="101"/>
        <v>97.200000000000017</v>
      </c>
      <c r="X89" s="24">
        <f t="shared" si="101"/>
        <v>133.19999999999999</v>
      </c>
      <c r="Y89" s="25">
        <f>X89/W89*100</f>
        <v>137.03703703703701</v>
      </c>
      <c r="Z89" s="24">
        <f t="shared" si="101"/>
        <v>0</v>
      </c>
      <c r="AA89" s="24">
        <f t="shared" si="101"/>
        <v>0</v>
      </c>
      <c r="AB89" s="22"/>
      <c r="AC89" s="24">
        <f t="shared" si="101"/>
        <v>75</v>
      </c>
      <c r="AD89" s="24">
        <f t="shared" si="101"/>
        <v>75</v>
      </c>
      <c r="AE89" s="25">
        <f>AD89/AC89*100</f>
        <v>100</v>
      </c>
      <c r="AF89" s="24">
        <f t="shared" si="101"/>
        <v>0</v>
      </c>
      <c r="AG89" s="24"/>
      <c r="AH89" s="22"/>
      <c r="AI89" s="24">
        <f t="shared" si="101"/>
        <v>0</v>
      </c>
      <c r="AJ89" s="24">
        <f t="shared" si="101"/>
        <v>-14.2</v>
      </c>
      <c r="AK89" s="25"/>
      <c r="AL89" s="24">
        <f t="shared" si="101"/>
        <v>0</v>
      </c>
      <c r="AM89" s="24">
        <f t="shared" si="101"/>
        <v>0</v>
      </c>
      <c r="AN89" s="25"/>
      <c r="AO89" s="24">
        <f t="shared" si="101"/>
        <v>0</v>
      </c>
      <c r="AP89" s="24"/>
      <c r="AQ89" s="22"/>
      <c r="AR89" s="36"/>
      <c r="AS89" s="36"/>
      <c r="AT89" s="80">
        <f t="shared" si="70"/>
        <v>0.99999999999999989</v>
      </c>
      <c r="AU89" s="84">
        <f t="shared" si="97"/>
        <v>279.7</v>
      </c>
      <c r="AV89" s="84">
        <f t="shared" si="98"/>
        <v>119.00000000000001</v>
      </c>
      <c r="AW89" s="84">
        <f t="shared" si="99"/>
        <v>75</v>
      </c>
      <c r="AX89" s="84">
        <f t="shared" si="100"/>
        <v>0</v>
      </c>
    </row>
    <row r="90" spans="1:50" ht="34.200000000000003" customHeight="1" x14ac:dyDescent="0.3">
      <c r="A90" s="127"/>
      <c r="B90" s="127"/>
      <c r="C90" s="127"/>
      <c r="D90" s="38" t="s">
        <v>22</v>
      </c>
      <c r="E90" s="24">
        <f t="shared" si="92"/>
        <v>0</v>
      </c>
      <c r="F90" s="24">
        <f t="shared" si="92"/>
        <v>0</v>
      </c>
      <c r="G90" s="25"/>
      <c r="H90" s="24"/>
      <c r="I90" s="24"/>
      <c r="J90" s="25"/>
      <c r="K90" s="24"/>
      <c r="L90" s="24"/>
      <c r="M90" s="22"/>
      <c r="N90" s="24"/>
      <c r="O90" s="24"/>
      <c r="P90" s="25"/>
      <c r="Q90" s="24"/>
      <c r="R90" s="24"/>
      <c r="S90" s="25"/>
      <c r="T90" s="24"/>
      <c r="U90" s="24"/>
      <c r="V90" s="25"/>
      <c r="W90" s="24"/>
      <c r="X90" s="24"/>
      <c r="Y90" s="25"/>
      <c r="Z90" s="24"/>
      <c r="AA90" s="24"/>
      <c r="AB90" s="22"/>
      <c r="AC90" s="24"/>
      <c r="AD90" s="24"/>
      <c r="AE90" s="25"/>
      <c r="AF90" s="24"/>
      <c r="AG90" s="24"/>
      <c r="AH90" s="22"/>
      <c r="AI90" s="24"/>
      <c r="AJ90" s="24"/>
      <c r="AK90" s="25"/>
      <c r="AL90" s="24"/>
      <c r="AM90" s="24"/>
      <c r="AN90" s="25"/>
      <c r="AO90" s="24"/>
      <c r="AP90" s="24"/>
      <c r="AQ90" s="22"/>
      <c r="AR90" s="36"/>
      <c r="AS90" s="36"/>
      <c r="AT90" s="80"/>
      <c r="AU90" s="84">
        <f t="shared" si="97"/>
        <v>0</v>
      </c>
      <c r="AV90" s="84">
        <f t="shared" si="98"/>
        <v>0</v>
      </c>
      <c r="AW90" s="84">
        <f t="shared" si="99"/>
        <v>0</v>
      </c>
      <c r="AX90" s="84">
        <f t="shared" si="100"/>
        <v>0</v>
      </c>
    </row>
    <row r="91" spans="1:50" ht="34.200000000000003" customHeight="1" x14ac:dyDescent="0.3">
      <c r="A91" s="127"/>
      <c r="B91" s="127"/>
      <c r="C91" s="127"/>
      <c r="D91" s="38" t="s">
        <v>4</v>
      </c>
      <c r="E91" s="24">
        <f t="shared" si="92"/>
        <v>0</v>
      </c>
      <c r="F91" s="24">
        <f t="shared" si="92"/>
        <v>0</v>
      </c>
      <c r="G91" s="25"/>
      <c r="H91" s="24"/>
      <c r="I91" s="24"/>
      <c r="J91" s="25"/>
      <c r="K91" s="24"/>
      <c r="L91" s="24"/>
      <c r="M91" s="22"/>
      <c r="N91" s="24"/>
      <c r="O91" s="24"/>
      <c r="P91" s="25"/>
      <c r="Q91" s="24"/>
      <c r="R91" s="24"/>
      <c r="S91" s="25"/>
      <c r="T91" s="24"/>
      <c r="U91" s="24"/>
      <c r="V91" s="25"/>
      <c r="W91" s="24"/>
      <c r="X91" s="24"/>
      <c r="Y91" s="25"/>
      <c r="Z91" s="24"/>
      <c r="AA91" s="24"/>
      <c r="AB91" s="22"/>
      <c r="AC91" s="24"/>
      <c r="AD91" s="24"/>
      <c r="AE91" s="25"/>
      <c r="AF91" s="24"/>
      <c r="AG91" s="24"/>
      <c r="AH91" s="22"/>
      <c r="AI91" s="24"/>
      <c r="AJ91" s="24"/>
      <c r="AK91" s="25"/>
      <c r="AL91" s="24"/>
      <c r="AM91" s="24"/>
      <c r="AN91" s="25"/>
      <c r="AO91" s="24"/>
      <c r="AP91" s="24"/>
      <c r="AQ91" s="22"/>
      <c r="AR91" s="36"/>
      <c r="AS91" s="36"/>
      <c r="AT91" s="80"/>
      <c r="AU91" s="84">
        <f t="shared" si="97"/>
        <v>0</v>
      </c>
      <c r="AV91" s="84">
        <f t="shared" si="98"/>
        <v>0</v>
      </c>
      <c r="AW91" s="84">
        <f t="shared" si="99"/>
        <v>0</v>
      </c>
      <c r="AX91" s="84">
        <f t="shared" si="100"/>
        <v>0</v>
      </c>
    </row>
    <row r="92" spans="1:50" ht="100.8" customHeight="1" x14ac:dyDescent="0.3">
      <c r="A92" s="127"/>
      <c r="B92" s="127"/>
      <c r="C92" s="127"/>
      <c r="D92" s="38" t="s">
        <v>44</v>
      </c>
      <c r="E92" s="24">
        <f t="shared" si="92"/>
        <v>473.70000000000005</v>
      </c>
      <c r="F92" s="24">
        <f t="shared" si="92"/>
        <v>473.7</v>
      </c>
      <c r="G92" s="25">
        <f t="shared" ref="G92" si="102">F92/E92*100</f>
        <v>99.999999999999986</v>
      </c>
      <c r="H92" s="24">
        <f>230.9+59.9</f>
        <v>290.8</v>
      </c>
      <c r="I92" s="24">
        <v>290.8</v>
      </c>
      <c r="J92" s="25">
        <f t="shared" ref="J92" si="103">I92/H92*100</f>
        <v>100</v>
      </c>
      <c r="K92" s="24"/>
      <c r="L92" s="24"/>
      <c r="M92" s="22"/>
      <c r="N92" s="24">
        <f>8.4-19.5</f>
        <v>-11.1</v>
      </c>
      <c r="O92" s="24">
        <v>-11.1</v>
      </c>
      <c r="P92" s="25">
        <f t="shared" ref="P92" si="104">O92/N92*100</f>
        <v>100</v>
      </c>
      <c r="Q92" s="24">
        <f>44.4+8.4-16.8-14.2</f>
        <v>21.8</v>
      </c>
      <c r="R92" s="24"/>
      <c r="S92" s="25">
        <f t="shared" ref="S92" si="105">R92/Q92*100</f>
        <v>0</v>
      </c>
      <c r="T92" s="24"/>
      <c r="U92" s="24"/>
      <c r="V92" s="25"/>
      <c r="W92" s="24">
        <f>121.9+8.4+11.3-44.4</f>
        <v>97.200000000000017</v>
      </c>
      <c r="X92" s="24">
        <v>133.19999999999999</v>
      </c>
      <c r="Y92" s="25">
        <f t="shared" ref="Y92" si="106">X92/W92*100</f>
        <v>137.03703703703701</v>
      </c>
      <c r="Z92" s="24"/>
      <c r="AA92" s="24"/>
      <c r="AB92" s="22"/>
      <c r="AC92" s="24">
        <f>8.4+75-8.4</f>
        <v>75</v>
      </c>
      <c r="AD92" s="24">
        <v>75</v>
      </c>
      <c r="AE92" s="25">
        <f t="shared" ref="AE92" si="107">AD92/AC92*100</f>
        <v>100</v>
      </c>
      <c r="AF92" s="24"/>
      <c r="AG92" s="24"/>
      <c r="AH92" s="22"/>
      <c r="AI92" s="24">
        <f>98.9-98.9</f>
        <v>0</v>
      </c>
      <c r="AJ92" s="24">
        <v>-14.2</v>
      </c>
      <c r="AK92" s="25"/>
      <c r="AL92" s="24">
        <f>44.5+8.4-52.9</f>
        <v>0</v>
      </c>
      <c r="AM92" s="24"/>
      <c r="AN92" s="25"/>
      <c r="AO92" s="24"/>
      <c r="AP92" s="24"/>
      <c r="AQ92" s="22"/>
      <c r="AR92" s="60" t="s">
        <v>179</v>
      </c>
      <c r="AS92" s="119"/>
      <c r="AT92" s="80">
        <f t="shared" si="70"/>
        <v>0.99999999999999989</v>
      </c>
      <c r="AU92" s="84">
        <f t="shared" si="97"/>
        <v>279.7</v>
      </c>
      <c r="AV92" s="84">
        <f t="shared" si="98"/>
        <v>119.00000000000001</v>
      </c>
      <c r="AW92" s="84">
        <f t="shared" si="99"/>
        <v>75</v>
      </c>
      <c r="AX92" s="84">
        <f t="shared" si="100"/>
        <v>0</v>
      </c>
    </row>
    <row r="93" spans="1:50" ht="17.399999999999999" customHeight="1" x14ac:dyDescent="0.3">
      <c r="A93" s="127"/>
      <c r="B93" s="127"/>
      <c r="C93" s="127"/>
      <c r="D93" s="38" t="s">
        <v>23</v>
      </c>
      <c r="E93" s="24">
        <f t="shared" si="92"/>
        <v>0</v>
      </c>
      <c r="F93" s="24">
        <f t="shared" si="92"/>
        <v>0</v>
      </c>
      <c r="G93" s="25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36"/>
      <c r="AS93" s="36"/>
      <c r="AT93" s="80"/>
      <c r="AU93" s="84">
        <f t="shared" si="97"/>
        <v>0</v>
      </c>
      <c r="AV93" s="84">
        <f t="shared" si="98"/>
        <v>0</v>
      </c>
      <c r="AW93" s="84">
        <f t="shared" si="99"/>
        <v>0</v>
      </c>
      <c r="AX93" s="84">
        <f t="shared" si="100"/>
        <v>0</v>
      </c>
    </row>
    <row r="94" spans="1:50" ht="15.75" customHeight="1" x14ac:dyDescent="0.3">
      <c r="A94" s="127" t="s">
        <v>55</v>
      </c>
      <c r="B94" s="127" t="s">
        <v>92</v>
      </c>
      <c r="C94" s="127" t="s">
        <v>6</v>
      </c>
      <c r="D94" s="38" t="s">
        <v>3</v>
      </c>
      <c r="E94" s="24">
        <f t="shared" si="92"/>
        <v>0</v>
      </c>
      <c r="F94" s="24">
        <f t="shared" si="92"/>
        <v>0</v>
      </c>
      <c r="G94" s="24"/>
      <c r="H94" s="24">
        <f>H95+H96+H97+H98</f>
        <v>0</v>
      </c>
      <c r="I94" s="24"/>
      <c r="J94" s="24"/>
      <c r="K94" s="24">
        <f t="shared" ref="K94:AO94" si="108">K95+K96+K97+K98</f>
        <v>0</v>
      </c>
      <c r="L94" s="24"/>
      <c r="M94" s="24"/>
      <c r="N94" s="24">
        <f t="shared" si="108"/>
        <v>0</v>
      </c>
      <c r="O94" s="24"/>
      <c r="P94" s="24"/>
      <c r="Q94" s="24">
        <f t="shared" si="108"/>
        <v>0</v>
      </c>
      <c r="R94" s="24"/>
      <c r="S94" s="24"/>
      <c r="T94" s="24">
        <f t="shared" si="108"/>
        <v>0</v>
      </c>
      <c r="U94" s="24"/>
      <c r="V94" s="24"/>
      <c r="W94" s="24">
        <f t="shared" si="108"/>
        <v>0</v>
      </c>
      <c r="X94" s="24"/>
      <c r="Y94" s="24"/>
      <c r="Z94" s="24">
        <f t="shared" si="108"/>
        <v>0</v>
      </c>
      <c r="AA94" s="24"/>
      <c r="AB94" s="24"/>
      <c r="AC94" s="24">
        <f t="shared" si="108"/>
        <v>0</v>
      </c>
      <c r="AD94" s="24"/>
      <c r="AE94" s="24"/>
      <c r="AF94" s="24">
        <f t="shared" si="108"/>
        <v>0</v>
      </c>
      <c r="AG94" s="24"/>
      <c r="AH94" s="24"/>
      <c r="AI94" s="24">
        <f t="shared" si="108"/>
        <v>0</v>
      </c>
      <c r="AJ94" s="24"/>
      <c r="AK94" s="24"/>
      <c r="AL94" s="24">
        <f t="shared" si="108"/>
        <v>0</v>
      </c>
      <c r="AM94" s="24"/>
      <c r="AN94" s="24"/>
      <c r="AO94" s="24">
        <f t="shared" si="108"/>
        <v>0</v>
      </c>
      <c r="AP94" s="24"/>
      <c r="AQ94" s="24"/>
      <c r="AR94" s="36"/>
      <c r="AS94" s="36"/>
      <c r="AT94" s="80"/>
      <c r="AU94" s="84">
        <f t="shared" si="97"/>
        <v>0</v>
      </c>
      <c r="AV94" s="84">
        <f t="shared" si="98"/>
        <v>0</v>
      </c>
      <c r="AW94" s="84">
        <f t="shared" si="99"/>
        <v>0</v>
      </c>
      <c r="AX94" s="84">
        <f t="shared" si="100"/>
        <v>0</v>
      </c>
    </row>
    <row r="95" spans="1:50" ht="15.6" x14ac:dyDescent="0.3">
      <c r="A95" s="127"/>
      <c r="B95" s="127"/>
      <c r="C95" s="127"/>
      <c r="D95" s="38" t="s">
        <v>22</v>
      </c>
      <c r="E95" s="24">
        <f t="shared" si="92"/>
        <v>0</v>
      </c>
      <c r="F95" s="24">
        <f t="shared" si="92"/>
        <v>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36"/>
      <c r="AS95" s="36"/>
      <c r="AT95" s="80"/>
      <c r="AU95" s="84">
        <f t="shared" si="97"/>
        <v>0</v>
      </c>
      <c r="AV95" s="84">
        <f t="shared" si="98"/>
        <v>0</v>
      </c>
      <c r="AW95" s="84">
        <f t="shared" si="99"/>
        <v>0</v>
      </c>
      <c r="AX95" s="84">
        <f t="shared" si="100"/>
        <v>0</v>
      </c>
    </row>
    <row r="96" spans="1:50" ht="48.75" customHeight="1" x14ac:dyDescent="0.3">
      <c r="A96" s="127"/>
      <c r="B96" s="127"/>
      <c r="C96" s="127"/>
      <c r="D96" s="38" t="s">
        <v>4</v>
      </c>
      <c r="E96" s="24">
        <f t="shared" si="92"/>
        <v>0</v>
      </c>
      <c r="F96" s="24">
        <f t="shared" si="92"/>
        <v>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36"/>
      <c r="AS96" s="36"/>
      <c r="AT96" s="80"/>
      <c r="AU96" s="84">
        <f t="shared" si="97"/>
        <v>0</v>
      </c>
      <c r="AV96" s="84">
        <f t="shared" si="98"/>
        <v>0</v>
      </c>
      <c r="AW96" s="84">
        <f t="shared" si="99"/>
        <v>0</v>
      </c>
      <c r="AX96" s="84">
        <f t="shared" si="100"/>
        <v>0</v>
      </c>
    </row>
    <row r="97" spans="1:50" ht="24" x14ac:dyDescent="0.3">
      <c r="A97" s="127"/>
      <c r="B97" s="127"/>
      <c r="C97" s="127"/>
      <c r="D97" s="38" t="s">
        <v>5</v>
      </c>
      <c r="E97" s="24">
        <f t="shared" si="92"/>
        <v>0</v>
      </c>
      <c r="F97" s="24">
        <f t="shared" si="92"/>
        <v>0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36"/>
      <c r="AS97" s="36"/>
      <c r="AT97" s="80"/>
      <c r="AU97" s="84">
        <f t="shared" si="97"/>
        <v>0</v>
      </c>
      <c r="AV97" s="84">
        <f t="shared" si="98"/>
        <v>0</v>
      </c>
      <c r="AW97" s="84">
        <f t="shared" si="99"/>
        <v>0</v>
      </c>
      <c r="AX97" s="84">
        <f t="shared" si="100"/>
        <v>0</v>
      </c>
    </row>
    <row r="98" spans="1:50" ht="15.75" customHeight="1" x14ac:dyDescent="0.3">
      <c r="A98" s="127"/>
      <c r="B98" s="127"/>
      <c r="C98" s="127"/>
      <c r="D98" s="38" t="s">
        <v>23</v>
      </c>
      <c r="E98" s="24">
        <f t="shared" si="92"/>
        <v>0</v>
      </c>
      <c r="F98" s="24">
        <f t="shared" si="92"/>
        <v>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36"/>
      <c r="AS98" s="36"/>
      <c r="AT98" s="80"/>
      <c r="AU98" s="84">
        <f t="shared" si="97"/>
        <v>0</v>
      </c>
      <c r="AV98" s="84">
        <f t="shared" si="98"/>
        <v>0</v>
      </c>
      <c r="AW98" s="84">
        <f t="shared" si="99"/>
        <v>0</v>
      </c>
      <c r="AX98" s="84">
        <f t="shared" si="100"/>
        <v>0</v>
      </c>
    </row>
    <row r="99" spans="1:50" ht="15.75" customHeight="1" x14ac:dyDescent="0.3">
      <c r="A99" s="127" t="s">
        <v>56</v>
      </c>
      <c r="B99" s="127" t="s">
        <v>93</v>
      </c>
      <c r="C99" s="127" t="s">
        <v>6</v>
      </c>
      <c r="D99" s="38" t="s">
        <v>3</v>
      </c>
      <c r="E99" s="24">
        <f t="shared" si="92"/>
        <v>532.4</v>
      </c>
      <c r="F99" s="24">
        <f t="shared" si="92"/>
        <v>532.4</v>
      </c>
      <c r="G99" s="25">
        <f>F99/E99*100</f>
        <v>100</v>
      </c>
      <c r="H99" s="24">
        <f>H100+H101+H102+H103</f>
        <v>0</v>
      </c>
      <c r="I99" s="24"/>
      <c r="J99" s="22"/>
      <c r="K99" s="24">
        <f t="shared" ref="K99:AO99" si="109">K100+K101+K102+K103</f>
        <v>0</v>
      </c>
      <c r="L99" s="24">
        <f t="shared" si="109"/>
        <v>1</v>
      </c>
      <c r="M99" s="25"/>
      <c r="N99" s="24">
        <f t="shared" si="109"/>
        <v>0</v>
      </c>
      <c r="O99" s="24">
        <f t="shared" si="109"/>
        <v>0</v>
      </c>
      <c r="P99" s="25"/>
      <c r="Q99" s="24">
        <f t="shared" si="109"/>
        <v>100</v>
      </c>
      <c r="R99" s="24">
        <f t="shared" si="109"/>
        <v>100</v>
      </c>
      <c r="S99" s="25">
        <f>R99/Q99*100</f>
        <v>100</v>
      </c>
      <c r="T99" s="24">
        <f t="shared" si="109"/>
        <v>0</v>
      </c>
      <c r="U99" s="24">
        <f t="shared" si="109"/>
        <v>0</v>
      </c>
      <c r="V99" s="25"/>
      <c r="W99" s="24">
        <f t="shared" si="109"/>
        <v>0</v>
      </c>
      <c r="X99" s="24">
        <f t="shared" si="109"/>
        <v>0</v>
      </c>
      <c r="Y99" s="25"/>
      <c r="Z99" s="24">
        <f t="shared" si="109"/>
        <v>0</v>
      </c>
      <c r="AA99" s="24">
        <f t="shared" si="109"/>
        <v>0</v>
      </c>
      <c r="AB99" s="25"/>
      <c r="AC99" s="24">
        <f t="shared" si="109"/>
        <v>432.4</v>
      </c>
      <c r="AD99" s="24">
        <f t="shared" si="109"/>
        <v>-1</v>
      </c>
      <c r="AE99" s="25">
        <f>AD99/AC99*100</f>
        <v>-0.23126734505087881</v>
      </c>
      <c r="AF99" s="24">
        <f t="shared" si="109"/>
        <v>0</v>
      </c>
      <c r="AG99" s="24">
        <f t="shared" si="109"/>
        <v>432.4</v>
      </c>
      <c r="AH99" s="25"/>
      <c r="AI99" s="24">
        <f t="shared" si="109"/>
        <v>0</v>
      </c>
      <c r="AJ99" s="24">
        <f t="shared" si="109"/>
        <v>0</v>
      </c>
      <c r="AK99" s="25"/>
      <c r="AL99" s="24">
        <f t="shared" si="109"/>
        <v>0</v>
      </c>
      <c r="AM99" s="24">
        <f t="shared" si="109"/>
        <v>0</v>
      </c>
      <c r="AN99" s="25"/>
      <c r="AO99" s="24">
        <f t="shared" si="109"/>
        <v>0</v>
      </c>
      <c r="AP99" s="24"/>
      <c r="AQ99" s="22"/>
      <c r="AR99" s="36"/>
      <c r="AS99" s="36"/>
      <c r="AT99" s="80">
        <f t="shared" si="70"/>
        <v>1</v>
      </c>
      <c r="AU99" s="84">
        <f t="shared" si="97"/>
        <v>0</v>
      </c>
      <c r="AV99" s="84">
        <f t="shared" si="98"/>
        <v>100</v>
      </c>
      <c r="AW99" s="84">
        <f t="shared" si="99"/>
        <v>432.4</v>
      </c>
      <c r="AX99" s="84">
        <f t="shared" si="100"/>
        <v>0</v>
      </c>
    </row>
    <row r="100" spans="1:50" ht="15.6" x14ac:dyDescent="0.3">
      <c r="A100" s="127"/>
      <c r="B100" s="127"/>
      <c r="C100" s="127"/>
      <c r="D100" s="38" t="s">
        <v>22</v>
      </c>
      <c r="E100" s="24">
        <f t="shared" ref="E100:F133" si="110">H100+K100+N100+Q100+T100+W100+Z100+AC100+AF100+AI100+AL100+AO100</f>
        <v>0</v>
      </c>
      <c r="F100" s="24">
        <f t="shared" si="110"/>
        <v>0</v>
      </c>
      <c r="G100" s="25"/>
      <c r="H100" s="24"/>
      <c r="I100" s="24"/>
      <c r="J100" s="22"/>
      <c r="K100" s="24"/>
      <c r="L100" s="24"/>
      <c r="M100" s="25"/>
      <c r="N100" s="24"/>
      <c r="O100" s="24"/>
      <c r="P100" s="25"/>
      <c r="Q100" s="24"/>
      <c r="R100" s="24"/>
      <c r="S100" s="25"/>
      <c r="T100" s="24"/>
      <c r="U100" s="24"/>
      <c r="V100" s="25"/>
      <c r="W100" s="24"/>
      <c r="X100" s="24"/>
      <c r="Y100" s="25"/>
      <c r="Z100" s="24"/>
      <c r="AA100" s="24"/>
      <c r="AB100" s="25"/>
      <c r="AC100" s="24"/>
      <c r="AD100" s="24"/>
      <c r="AE100" s="25"/>
      <c r="AF100" s="24"/>
      <c r="AG100" s="24"/>
      <c r="AH100" s="25"/>
      <c r="AI100" s="24"/>
      <c r="AJ100" s="24"/>
      <c r="AK100" s="25"/>
      <c r="AL100" s="24"/>
      <c r="AM100" s="24"/>
      <c r="AN100" s="25"/>
      <c r="AO100" s="24"/>
      <c r="AP100" s="24"/>
      <c r="AQ100" s="22"/>
      <c r="AR100" s="36"/>
      <c r="AS100" s="36"/>
      <c r="AT100" s="80"/>
      <c r="AU100" s="84">
        <f t="shared" si="97"/>
        <v>0</v>
      </c>
      <c r="AV100" s="84">
        <f t="shared" si="98"/>
        <v>0</v>
      </c>
      <c r="AW100" s="84">
        <f t="shared" si="99"/>
        <v>0</v>
      </c>
      <c r="AX100" s="84">
        <f t="shared" si="100"/>
        <v>0</v>
      </c>
    </row>
    <row r="101" spans="1:50" ht="24.6" x14ac:dyDescent="0.3">
      <c r="A101" s="127"/>
      <c r="B101" s="127"/>
      <c r="C101" s="127"/>
      <c r="D101" s="38" t="s">
        <v>4</v>
      </c>
      <c r="E101" s="24">
        <f t="shared" si="110"/>
        <v>400</v>
      </c>
      <c r="F101" s="24">
        <f t="shared" si="110"/>
        <v>400</v>
      </c>
      <c r="G101" s="25">
        <f>F101/E101*100</f>
        <v>100</v>
      </c>
      <c r="H101" s="63"/>
      <c r="I101" s="63"/>
      <c r="J101" s="22"/>
      <c r="K101" s="24"/>
      <c r="L101" s="63"/>
      <c r="M101" s="25"/>
      <c r="N101" s="24"/>
      <c r="O101" s="24"/>
      <c r="P101" s="25"/>
      <c r="Q101" s="24"/>
      <c r="R101" s="24"/>
      <c r="S101" s="25"/>
      <c r="T101" s="24"/>
      <c r="U101" s="24"/>
      <c r="V101" s="25"/>
      <c r="W101" s="24"/>
      <c r="X101" s="24"/>
      <c r="Y101" s="25"/>
      <c r="Z101" s="24"/>
      <c r="AA101" s="24"/>
      <c r="AB101" s="25"/>
      <c r="AC101" s="24">
        <v>400</v>
      </c>
      <c r="AD101" s="24">
        <v>0</v>
      </c>
      <c r="AE101" s="25">
        <f t="shared" ref="AE101:AE102" si="111">AD101/AC101*100</f>
        <v>0</v>
      </c>
      <c r="AF101" s="24"/>
      <c r="AG101" s="63">
        <v>400</v>
      </c>
      <c r="AH101" s="25"/>
      <c r="AI101" s="63"/>
      <c r="AJ101" s="24"/>
      <c r="AK101" s="25"/>
      <c r="AL101" s="24"/>
      <c r="AM101" s="63"/>
      <c r="AN101" s="25"/>
      <c r="AO101" s="63"/>
      <c r="AP101" s="63"/>
      <c r="AQ101" s="22"/>
      <c r="AR101" s="43" t="s">
        <v>156</v>
      </c>
      <c r="AS101" s="43"/>
      <c r="AT101" s="80">
        <f t="shared" si="70"/>
        <v>1</v>
      </c>
      <c r="AU101" s="84">
        <f t="shared" si="97"/>
        <v>0</v>
      </c>
      <c r="AV101" s="84">
        <f t="shared" si="98"/>
        <v>0</v>
      </c>
      <c r="AW101" s="84">
        <f t="shared" si="99"/>
        <v>400</v>
      </c>
      <c r="AX101" s="84">
        <f t="shared" si="100"/>
        <v>0</v>
      </c>
    </row>
    <row r="102" spans="1:50" ht="26.4" customHeight="1" x14ac:dyDescent="0.3">
      <c r="A102" s="127"/>
      <c r="B102" s="127"/>
      <c r="C102" s="127"/>
      <c r="D102" s="38" t="s">
        <v>44</v>
      </c>
      <c r="E102" s="24">
        <f t="shared" si="110"/>
        <v>132.4</v>
      </c>
      <c r="F102" s="24">
        <f t="shared" si="110"/>
        <v>132.4</v>
      </c>
      <c r="G102" s="25">
        <f t="shared" ref="G102" si="112">F102/E102*100</f>
        <v>100</v>
      </c>
      <c r="H102" s="24"/>
      <c r="I102" s="24"/>
      <c r="J102" s="22"/>
      <c r="K102" s="24">
        <f>1-1</f>
        <v>0</v>
      </c>
      <c r="L102" s="24">
        <v>1</v>
      </c>
      <c r="M102" s="25"/>
      <c r="N102" s="24"/>
      <c r="O102" s="24"/>
      <c r="P102" s="25"/>
      <c r="Q102" s="24">
        <f>23.2+100-23.2</f>
        <v>100</v>
      </c>
      <c r="R102" s="24">
        <v>100</v>
      </c>
      <c r="S102" s="25">
        <f t="shared" ref="S102" si="113">R102/Q102*100</f>
        <v>100</v>
      </c>
      <c r="T102" s="24">
        <f>61-51.8-9.2</f>
        <v>0</v>
      </c>
      <c r="U102" s="24"/>
      <c r="V102" s="25"/>
      <c r="W102" s="24"/>
      <c r="X102" s="24"/>
      <c r="Y102" s="25"/>
      <c r="Z102" s="24">
        <f>100-100</f>
        <v>0</v>
      </c>
      <c r="AA102" s="24">
        <v>0</v>
      </c>
      <c r="AB102" s="25"/>
      <c r="AC102" s="24">
        <v>32.4</v>
      </c>
      <c r="AD102" s="24">
        <v>-1</v>
      </c>
      <c r="AE102" s="25">
        <f t="shared" si="111"/>
        <v>-3.0864197530864201</v>
      </c>
      <c r="AF102" s="24">
        <f>51.8-51.8</f>
        <v>0</v>
      </c>
      <c r="AG102" s="24">
        <v>32.4</v>
      </c>
      <c r="AH102" s="25"/>
      <c r="AI102" s="24">
        <f>51.8-51.8</f>
        <v>0</v>
      </c>
      <c r="AJ102" s="24">
        <v>0</v>
      </c>
      <c r="AK102" s="25"/>
      <c r="AL102" s="24"/>
      <c r="AM102" s="24"/>
      <c r="AN102" s="25"/>
      <c r="AO102" s="24"/>
      <c r="AP102" s="24"/>
      <c r="AQ102" s="22"/>
      <c r="AR102" s="119" t="s">
        <v>154</v>
      </c>
      <c r="AS102" s="91"/>
      <c r="AT102" s="80">
        <f t="shared" si="70"/>
        <v>1</v>
      </c>
      <c r="AU102" s="84">
        <f t="shared" si="97"/>
        <v>0</v>
      </c>
      <c r="AV102" s="84">
        <f t="shared" si="98"/>
        <v>100</v>
      </c>
      <c r="AW102" s="84">
        <f t="shared" si="99"/>
        <v>32.4</v>
      </c>
      <c r="AX102" s="84">
        <f t="shared" si="100"/>
        <v>0</v>
      </c>
    </row>
    <row r="103" spans="1:50" ht="15.75" customHeight="1" x14ac:dyDescent="0.3">
      <c r="A103" s="127"/>
      <c r="B103" s="127"/>
      <c r="C103" s="127"/>
      <c r="D103" s="38" t="s">
        <v>23</v>
      </c>
      <c r="E103" s="24">
        <f t="shared" si="110"/>
        <v>0</v>
      </c>
      <c r="F103" s="24">
        <f t="shared" si="110"/>
        <v>0</v>
      </c>
      <c r="G103" s="25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5"/>
      <c r="AO103" s="24"/>
      <c r="AP103" s="24"/>
      <c r="AQ103" s="24"/>
      <c r="AR103" s="36"/>
      <c r="AS103" s="36"/>
      <c r="AT103" s="80"/>
      <c r="AU103" s="84">
        <f t="shared" si="97"/>
        <v>0</v>
      </c>
      <c r="AV103" s="84">
        <f t="shared" si="98"/>
        <v>0</v>
      </c>
      <c r="AW103" s="84">
        <f t="shared" si="99"/>
        <v>0</v>
      </c>
      <c r="AX103" s="84">
        <f t="shared" si="100"/>
        <v>0</v>
      </c>
    </row>
    <row r="104" spans="1:50" ht="15.75" customHeight="1" x14ac:dyDescent="0.3">
      <c r="A104" s="127" t="s">
        <v>57</v>
      </c>
      <c r="B104" s="127" t="s">
        <v>94</v>
      </c>
      <c r="C104" s="127" t="s">
        <v>6</v>
      </c>
      <c r="D104" s="38" t="s">
        <v>3</v>
      </c>
      <c r="E104" s="24">
        <f>H104+K104+N104+Q104+T104+W104+Z104+AC104+AF104+AI104+AL104+AO104</f>
        <v>29</v>
      </c>
      <c r="F104" s="24">
        <f>I104+L104+O104+R104+U104+X104+AA104+AD104+AG104+AJ104+AM104+AP104</f>
        <v>29</v>
      </c>
      <c r="G104" s="25">
        <f>F104/E104*100</f>
        <v>100</v>
      </c>
      <c r="H104" s="24">
        <f>H105+H106+H107+H108</f>
        <v>0</v>
      </c>
      <c r="I104" s="24"/>
      <c r="J104" s="22"/>
      <c r="K104" s="24">
        <f t="shared" ref="K104:AP104" si="114">K105+K106+K107+K108</f>
        <v>0</v>
      </c>
      <c r="L104" s="24"/>
      <c r="M104" s="22"/>
      <c r="N104" s="24">
        <f t="shared" si="114"/>
        <v>0</v>
      </c>
      <c r="O104" s="24"/>
      <c r="P104" s="22"/>
      <c r="Q104" s="24">
        <f t="shared" si="114"/>
        <v>0</v>
      </c>
      <c r="R104" s="24"/>
      <c r="S104" s="22"/>
      <c r="T104" s="24">
        <f t="shared" si="114"/>
        <v>0</v>
      </c>
      <c r="U104" s="24"/>
      <c r="V104" s="22"/>
      <c r="W104" s="24">
        <f t="shared" si="114"/>
        <v>0</v>
      </c>
      <c r="X104" s="24">
        <f t="shared" si="114"/>
        <v>0</v>
      </c>
      <c r="Y104" s="22"/>
      <c r="Z104" s="24">
        <f t="shared" si="114"/>
        <v>0</v>
      </c>
      <c r="AA104" s="24"/>
      <c r="AB104" s="22"/>
      <c r="AC104" s="24">
        <f t="shared" si="114"/>
        <v>0</v>
      </c>
      <c r="AD104" s="24"/>
      <c r="AE104" s="22"/>
      <c r="AF104" s="24">
        <f>AF105+AF106+AF107+AF108</f>
        <v>0</v>
      </c>
      <c r="AG104" s="24">
        <f>AG105+AG106+AG107+AG108</f>
        <v>0</v>
      </c>
      <c r="AH104" s="25"/>
      <c r="AI104" s="24">
        <f t="shared" si="114"/>
        <v>0</v>
      </c>
      <c r="AJ104" s="24"/>
      <c r="AK104" s="22"/>
      <c r="AL104" s="24">
        <f t="shared" si="114"/>
        <v>0</v>
      </c>
      <c r="AM104" s="24"/>
      <c r="AN104" s="25"/>
      <c r="AO104" s="24">
        <f t="shared" si="114"/>
        <v>29</v>
      </c>
      <c r="AP104" s="24">
        <f t="shared" si="114"/>
        <v>29</v>
      </c>
      <c r="AQ104" s="25">
        <f>AP104/AO104*100</f>
        <v>100</v>
      </c>
      <c r="AR104" s="36"/>
      <c r="AS104" s="36"/>
      <c r="AT104" s="80">
        <f t="shared" si="70"/>
        <v>1</v>
      </c>
      <c r="AU104" s="84">
        <f t="shared" si="97"/>
        <v>0</v>
      </c>
      <c r="AV104" s="84">
        <f t="shared" si="98"/>
        <v>0</v>
      </c>
      <c r="AW104" s="84">
        <f>Z104+AC104+AF104</f>
        <v>0</v>
      </c>
      <c r="AX104" s="84">
        <f t="shared" si="100"/>
        <v>29</v>
      </c>
    </row>
    <row r="105" spans="1:50" ht="15.6" x14ac:dyDescent="0.3">
      <c r="A105" s="127"/>
      <c r="B105" s="127"/>
      <c r="C105" s="127"/>
      <c r="D105" s="38" t="s">
        <v>22</v>
      </c>
      <c r="E105" s="24">
        <f t="shared" si="110"/>
        <v>0</v>
      </c>
      <c r="F105" s="24">
        <f t="shared" si="110"/>
        <v>0</v>
      </c>
      <c r="G105" s="25"/>
      <c r="H105" s="24"/>
      <c r="I105" s="24"/>
      <c r="J105" s="22"/>
      <c r="K105" s="24"/>
      <c r="L105" s="24"/>
      <c r="M105" s="22"/>
      <c r="N105" s="24"/>
      <c r="O105" s="24"/>
      <c r="P105" s="22"/>
      <c r="Q105" s="24"/>
      <c r="R105" s="24"/>
      <c r="S105" s="22"/>
      <c r="T105" s="24"/>
      <c r="U105" s="24"/>
      <c r="V105" s="22"/>
      <c r="W105" s="24"/>
      <c r="X105" s="24"/>
      <c r="Y105" s="22"/>
      <c r="Z105" s="24"/>
      <c r="AA105" s="24"/>
      <c r="AB105" s="22"/>
      <c r="AC105" s="24"/>
      <c r="AD105" s="24"/>
      <c r="AE105" s="22"/>
      <c r="AF105" s="24"/>
      <c r="AG105" s="24"/>
      <c r="AH105" s="25"/>
      <c r="AI105" s="24"/>
      <c r="AJ105" s="24"/>
      <c r="AK105" s="22"/>
      <c r="AL105" s="24"/>
      <c r="AM105" s="24"/>
      <c r="AN105" s="22"/>
      <c r="AO105" s="24"/>
      <c r="AP105" s="24"/>
      <c r="AQ105" s="25"/>
      <c r="AR105" s="36"/>
      <c r="AS105" s="36"/>
      <c r="AT105" s="80"/>
      <c r="AU105" s="84">
        <f t="shared" si="97"/>
        <v>0</v>
      </c>
      <c r="AV105" s="84">
        <f t="shared" si="98"/>
        <v>0</v>
      </c>
      <c r="AW105" s="84">
        <f t="shared" si="99"/>
        <v>0</v>
      </c>
      <c r="AX105" s="84">
        <f t="shared" si="100"/>
        <v>0</v>
      </c>
    </row>
    <row r="106" spans="1:50" ht="24" x14ac:dyDescent="0.3">
      <c r="A106" s="127"/>
      <c r="B106" s="127"/>
      <c r="C106" s="127"/>
      <c r="D106" s="38" t="s">
        <v>4</v>
      </c>
      <c r="E106" s="24">
        <f t="shared" si="110"/>
        <v>0</v>
      </c>
      <c r="F106" s="24">
        <f t="shared" si="110"/>
        <v>0</v>
      </c>
      <c r="G106" s="25"/>
      <c r="H106" s="24"/>
      <c r="I106" s="24"/>
      <c r="J106" s="22"/>
      <c r="K106" s="24"/>
      <c r="L106" s="24"/>
      <c r="M106" s="22"/>
      <c r="N106" s="24"/>
      <c r="O106" s="24"/>
      <c r="P106" s="22"/>
      <c r="Q106" s="24"/>
      <c r="R106" s="24"/>
      <c r="S106" s="22"/>
      <c r="T106" s="24"/>
      <c r="U106" s="24"/>
      <c r="V106" s="22"/>
      <c r="W106" s="24"/>
      <c r="X106" s="24"/>
      <c r="Y106" s="22"/>
      <c r="Z106" s="24"/>
      <c r="AA106" s="24"/>
      <c r="AB106" s="22"/>
      <c r="AC106" s="24"/>
      <c r="AD106" s="24"/>
      <c r="AE106" s="22"/>
      <c r="AF106" s="24"/>
      <c r="AG106" s="24"/>
      <c r="AH106" s="25"/>
      <c r="AI106" s="24"/>
      <c r="AJ106" s="24"/>
      <c r="AK106" s="22"/>
      <c r="AL106" s="24"/>
      <c r="AM106" s="24"/>
      <c r="AN106" s="22"/>
      <c r="AO106" s="24"/>
      <c r="AP106" s="24"/>
      <c r="AQ106" s="25"/>
      <c r="AR106" s="36"/>
      <c r="AS106" s="36"/>
      <c r="AT106" s="80"/>
      <c r="AU106" s="84">
        <f t="shared" si="97"/>
        <v>0</v>
      </c>
      <c r="AV106" s="84">
        <f t="shared" si="98"/>
        <v>0</v>
      </c>
      <c r="AW106" s="84">
        <f t="shared" si="99"/>
        <v>0</v>
      </c>
      <c r="AX106" s="84">
        <f t="shared" si="100"/>
        <v>0</v>
      </c>
    </row>
    <row r="107" spans="1:50" ht="36.6" x14ac:dyDescent="0.3">
      <c r="A107" s="127"/>
      <c r="B107" s="127"/>
      <c r="C107" s="127"/>
      <c r="D107" s="38" t="s">
        <v>44</v>
      </c>
      <c r="E107" s="24">
        <f t="shared" si="110"/>
        <v>29</v>
      </c>
      <c r="F107" s="24">
        <f t="shared" si="110"/>
        <v>29</v>
      </c>
      <c r="G107" s="25">
        <f t="shared" ref="G107" si="115">F107/E107*100</f>
        <v>100</v>
      </c>
      <c r="H107" s="24"/>
      <c r="I107" s="24"/>
      <c r="J107" s="22"/>
      <c r="K107" s="24"/>
      <c r="L107" s="24"/>
      <c r="M107" s="22"/>
      <c r="N107" s="24"/>
      <c r="O107" s="24"/>
      <c r="P107" s="22"/>
      <c r="Q107" s="24"/>
      <c r="R107" s="24"/>
      <c r="S107" s="22"/>
      <c r="T107" s="24"/>
      <c r="U107" s="24"/>
      <c r="V107" s="22"/>
      <c r="W107" s="24"/>
      <c r="X107" s="24"/>
      <c r="Y107" s="22"/>
      <c r="Z107" s="24"/>
      <c r="AA107" s="24"/>
      <c r="AB107" s="22"/>
      <c r="AC107" s="24"/>
      <c r="AD107" s="24"/>
      <c r="AE107" s="22"/>
      <c r="AF107" s="24"/>
      <c r="AG107" s="24"/>
      <c r="AH107" s="25"/>
      <c r="AI107" s="24"/>
      <c r="AJ107" s="24"/>
      <c r="AK107" s="22"/>
      <c r="AL107" s="24"/>
      <c r="AM107" s="24"/>
      <c r="AN107" s="22"/>
      <c r="AO107" s="24">
        <v>29</v>
      </c>
      <c r="AP107" s="24">
        <v>29</v>
      </c>
      <c r="AQ107" s="25">
        <f t="shared" ref="AQ107" si="116">AP107/AO107*100</f>
        <v>100</v>
      </c>
      <c r="AR107" s="43" t="s">
        <v>180</v>
      </c>
      <c r="AS107" s="36"/>
      <c r="AT107" s="80">
        <f t="shared" si="70"/>
        <v>1</v>
      </c>
      <c r="AU107" s="84">
        <f t="shared" si="97"/>
        <v>0</v>
      </c>
      <c r="AV107" s="84">
        <f t="shared" si="98"/>
        <v>0</v>
      </c>
      <c r="AW107" s="84">
        <f t="shared" si="99"/>
        <v>0</v>
      </c>
      <c r="AX107" s="84">
        <f t="shared" si="100"/>
        <v>29</v>
      </c>
    </row>
    <row r="108" spans="1:50" ht="15.75" customHeight="1" x14ac:dyDescent="0.3">
      <c r="A108" s="127"/>
      <c r="B108" s="127"/>
      <c r="C108" s="127"/>
      <c r="D108" s="38" t="s">
        <v>23</v>
      </c>
      <c r="E108" s="24">
        <f t="shared" si="110"/>
        <v>0</v>
      </c>
      <c r="F108" s="24">
        <f t="shared" si="110"/>
        <v>0</v>
      </c>
      <c r="G108" s="25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/>
      <c r="AI108" s="24"/>
      <c r="AJ108" s="24"/>
      <c r="AK108" s="24"/>
      <c r="AL108" s="24"/>
      <c r="AM108" s="24"/>
      <c r="AN108" s="24"/>
      <c r="AO108" s="24"/>
      <c r="AP108" s="24"/>
      <c r="AQ108" s="24"/>
      <c r="AR108" s="36"/>
      <c r="AS108" s="36"/>
      <c r="AT108" s="80"/>
      <c r="AU108" s="84">
        <f t="shared" si="97"/>
        <v>0</v>
      </c>
      <c r="AV108" s="84">
        <f t="shared" si="98"/>
        <v>0</v>
      </c>
      <c r="AW108" s="84">
        <f t="shared" si="99"/>
        <v>0</v>
      </c>
      <c r="AX108" s="84">
        <f t="shared" si="100"/>
        <v>0</v>
      </c>
    </row>
    <row r="109" spans="1:50" ht="15.75" customHeight="1" x14ac:dyDescent="0.3">
      <c r="A109" s="127" t="s">
        <v>58</v>
      </c>
      <c r="B109" s="127" t="s">
        <v>95</v>
      </c>
      <c r="C109" s="127" t="s">
        <v>6</v>
      </c>
      <c r="D109" s="38" t="s">
        <v>3</v>
      </c>
      <c r="E109" s="24">
        <f t="shared" si="110"/>
        <v>0</v>
      </c>
      <c r="F109" s="24">
        <f t="shared" si="110"/>
        <v>0</v>
      </c>
      <c r="G109" s="25"/>
      <c r="H109" s="24">
        <f>H110+H111+H112+H113</f>
        <v>0</v>
      </c>
      <c r="I109" s="24"/>
      <c r="J109" s="22"/>
      <c r="K109" s="24">
        <f t="shared" ref="K109:AO109" si="117">K110+K111+K112+K113</f>
        <v>0</v>
      </c>
      <c r="L109" s="24"/>
      <c r="M109" s="22"/>
      <c r="N109" s="24">
        <f t="shared" si="117"/>
        <v>0</v>
      </c>
      <c r="O109" s="24">
        <f t="shared" si="117"/>
        <v>29</v>
      </c>
      <c r="P109" s="25"/>
      <c r="Q109" s="24">
        <f t="shared" si="117"/>
        <v>0</v>
      </c>
      <c r="R109" s="24">
        <f t="shared" si="117"/>
        <v>0</v>
      </c>
      <c r="S109" s="25"/>
      <c r="T109" s="24">
        <f t="shared" si="117"/>
        <v>0</v>
      </c>
      <c r="U109" s="24">
        <f t="shared" si="117"/>
        <v>0</v>
      </c>
      <c r="V109" s="22"/>
      <c r="W109" s="24">
        <f t="shared" si="117"/>
        <v>0</v>
      </c>
      <c r="X109" s="24">
        <f t="shared" si="117"/>
        <v>0</v>
      </c>
      <c r="Y109" s="22"/>
      <c r="Z109" s="24">
        <f t="shared" si="117"/>
        <v>0</v>
      </c>
      <c r="AA109" s="24"/>
      <c r="AB109" s="22"/>
      <c r="AC109" s="24">
        <f t="shared" si="117"/>
        <v>0</v>
      </c>
      <c r="AD109" s="24">
        <f t="shared" si="117"/>
        <v>-29</v>
      </c>
      <c r="AE109" s="22"/>
      <c r="AF109" s="24">
        <f t="shared" si="117"/>
        <v>0</v>
      </c>
      <c r="AG109" s="24">
        <f t="shared" si="117"/>
        <v>0</v>
      </c>
      <c r="AH109" s="25"/>
      <c r="AI109" s="24">
        <f t="shared" si="117"/>
        <v>0</v>
      </c>
      <c r="AJ109" s="24">
        <f t="shared" si="117"/>
        <v>0</v>
      </c>
      <c r="AK109" s="22"/>
      <c r="AL109" s="24">
        <f t="shared" si="117"/>
        <v>0</v>
      </c>
      <c r="AM109" s="24"/>
      <c r="AN109" s="22"/>
      <c r="AO109" s="24">
        <f t="shared" si="117"/>
        <v>0</v>
      </c>
      <c r="AP109" s="24"/>
      <c r="AQ109" s="22"/>
      <c r="AR109" s="36"/>
      <c r="AS109" s="36"/>
      <c r="AT109" s="80"/>
      <c r="AU109" s="84">
        <f t="shared" si="97"/>
        <v>0</v>
      </c>
      <c r="AV109" s="84">
        <f t="shared" si="98"/>
        <v>0</v>
      </c>
      <c r="AW109" s="84">
        <f t="shared" si="99"/>
        <v>0</v>
      </c>
      <c r="AX109" s="84">
        <f t="shared" si="100"/>
        <v>0</v>
      </c>
    </row>
    <row r="110" spans="1:50" ht="15.6" x14ac:dyDescent="0.3">
      <c r="A110" s="127"/>
      <c r="B110" s="127"/>
      <c r="C110" s="127"/>
      <c r="D110" s="38" t="s">
        <v>22</v>
      </c>
      <c r="E110" s="24">
        <f t="shared" si="110"/>
        <v>0</v>
      </c>
      <c r="F110" s="24">
        <f t="shared" si="110"/>
        <v>0</v>
      </c>
      <c r="G110" s="25"/>
      <c r="H110" s="24"/>
      <c r="I110" s="24"/>
      <c r="J110" s="22"/>
      <c r="K110" s="24"/>
      <c r="L110" s="24"/>
      <c r="M110" s="22"/>
      <c r="N110" s="24"/>
      <c r="O110" s="24"/>
      <c r="P110" s="25"/>
      <c r="Q110" s="24"/>
      <c r="R110" s="24"/>
      <c r="S110" s="25"/>
      <c r="T110" s="24"/>
      <c r="U110" s="24"/>
      <c r="V110" s="22"/>
      <c r="W110" s="24"/>
      <c r="X110" s="24"/>
      <c r="Y110" s="22"/>
      <c r="Z110" s="24"/>
      <c r="AA110" s="24"/>
      <c r="AB110" s="22"/>
      <c r="AC110" s="24"/>
      <c r="AD110" s="24"/>
      <c r="AE110" s="22"/>
      <c r="AF110" s="24"/>
      <c r="AG110" s="24"/>
      <c r="AH110" s="25"/>
      <c r="AI110" s="24"/>
      <c r="AJ110" s="24"/>
      <c r="AK110" s="22"/>
      <c r="AL110" s="24"/>
      <c r="AM110" s="24"/>
      <c r="AN110" s="22"/>
      <c r="AO110" s="24"/>
      <c r="AP110" s="24"/>
      <c r="AQ110" s="22"/>
      <c r="AR110" s="36"/>
      <c r="AS110" s="36"/>
      <c r="AT110" s="80"/>
      <c r="AU110" s="84">
        <f t="shared" si="97"/>
        <v>0</v>
      </c>
      <c r="AV110" s="84">
        <f t="shared" si="98"/>
        <v>0</v>
      </c>
      <c r="AW110" s="84">
        <f t="shared" si="99"/>
        <v>0</v>
      </c>
      <c r="AX110" s="84">
        <f t="shared" si="100"/>
        <v>0</v>
      </c>
    </row>
    <row r="111" spans="1:50" ht="24" x14ac:dyDescent="0.3">
      <c r="A111" s="127"/>
      <c r="B111" s="127"/>
      <c r="C111" s="127"/>
      <c r="D111" s="38" t="s">
        <v>4</v>
      </c>
      <c r="E111" s="24">
        <f t="shared" si="110"/>
        <v>0</v>
      </c>
      <c r="F111" s="24">
        <f t="shared" si="110"/>
        <v>0</v>
      </c>
      <c r="G111" s="25"/>
      <c r="H111" s="24"/>
      <c r="I111" s="24"/>
      <c r="J111" s="22"/>
      <c r="K111" s="24"/>
      <c r="L111" s="24"/>
      <c r="M111" s="22"/>
      <c r="N111" s="24"/>
      <c r="O111" s="24"/>
      <c r="P111" s="25"/>
      <c r="Q111" s="24"/>
      <c r="R111" s="24"/>
      <c r="S111" s="25"/>
      <c r="T111" s="24"/>
      <c r="U111" s="24"/>
      <c r="V111" s="22"/>
      <c r="W111" s="24"/>
      <c r="X111" s="24"/>
      <c r="Y111" s="22"/>
      <c r="Z111" s="24"/>
      <c r="AA111" s="24"/>
      <c r="AB111" s="22"/>
      <c r="AC111" s="24"/>
      <c r="AD111" s="24"/>
      <c r="AE111" s="22"/>
      <c r="AF111" s="24"/>
      <c r="AG111" s="24"/>
      <c r="AH111" s="25"/>
      <c r="AI111" s="24"/>
      <c r="AJ111" s="24"/>
      <c r="AK111" s="22"/>
      <c r="AL111" s="24"/>
      <c r="AM111" s="24"/>
      <c r="AN111" s="22"/>
      <c r="AO111" s="24"/>
      <c r="AP111" s="24"/>
      <c r="AQ111" s="22"/>
      <c r="AR111" s="36"/>
      <c r="AS111" s="36"/>
      <c r="AT111" s="80"/>
      <c r="AU111" s="84">
        <f t="shared" si="97"/>
        <v>0</v>
      </c>
      <c r="AV111" s="84">
        <f t="shared" si="98"/>
        <v>0</v>
      </c>
      <c r="AW111" s="84">
        <f t="shared" si="99"/>
        <v>0</v>
      </c>
      <c r="AX111" s="84">
        <f t="shared" si="100"/>
        <v>0</v>
      </c>
    </row>
    <row r="112" spans="1:50" ht="13.95" customHeight="1" x14ac:dyDescent="0.3">
      <c r="A112" s="127"/>
      <c r="B112" s="127"/>
      <c r="C112" s="127"/>
      <c r="D112" s="38" t="s">
        <v>44</v>
      </c>
      <c r="E112" s="24">
        <f t="shared" si="110"/>
        <v>0</v>
      </c>
      <c r="F112" s="24">
        <f t="shared" si="110"/>
        <v>0</v>
      </c>
      <c r="G112" s="25"/>
      <c r="H112" s="24"/>
      <c r="I112" s="24"/>
      <c r="J112" s="22"/>
      <c r="K112" s="24"/>
      <c r="L112" s="24"/>
      <c r="M112" s="22"/>
      <c r="N112" s="24">
        <f>17.8+29-17.8-29</f>
        <v>0</v>
      </c>
      <c r="O112" s="24">
        <v>29</v>
      </c>
      <c r="P112" s="25"/>
      <c r="Q112" s="24">
        <f>20-20</f>
        <v>0</v>
      </c>
      <c r="R112" s="24"/>
      <c r="S112" s="25"/>
      <c r="T112" s="24"/>
      <c r="U112" s="24"/>
      <c r="V112" s="22"/>
      <c r="W112" s="24"/>
      <c r="X112" s="24"/>
      <c r="Y112" s="22"/>
      <c r="Z112" s="24"/>
      <c r="AA112" s="24"/>
      <c r="AB112" s="22"/>
      <c r="AC112" s="24"/>
      <c r="AD112" s="24">
        <v>-29</v>
      </c>
      <c r="AE112" s="22"/>
      <c r="AF112" s="24"/>
      <c r="AG112" s="24"/>
      <c r="AH112" s="25"/>
      <c r="AI112" s="24">
        <f>17.8-17.8</f>
        <v>0</v>
      </c>
      <c r="AJ112" s="24">
        <v>0</v>
      </c>
      <c r="AK112" s="22"/>
      <c r="AL112" s="24">
        <f>20-20</f>
        <v>0</v>
      </c>
      <c r="AM112" s="24"/>
      <c r="AN112" s="22"/>
      <c r="AO112" s="24"/>
      <c r="AP112" s="24"/>
      <c r="AQ112" s="22"/>
      <c r="AR112" s="119"/>
      <c r="AS112" s="119"/>
      <c r="AT112" s="80"/>
      <c r="AU112" s="84">
        <f t="shared" si="97"/>
        <v>0</v>
      </c>
      <c r="AV112" s="84">
        <f t="shared" si="98"/>
        <v>0</v>
      </c>
      <c r="AW112" s="84">
        <f t="shared" si="99"/>
        <v>0</v>
      </c>
      <c r="AX112" s="84">
        <f t="shared" si="100"/>
        <v>0</v>
      </c>
    </row>
    <row r="113" spans="1:50" ht="15.75" customHeight="1" x14ac:dyDescent="0.3">
      <c r="A113" s="127"/>
      <c r="B113" s="127"/>
      <c r="C113" s="127"/>
      <c r="D113" s="38" t="s">
        <v>23</v>
      </c>
      <c r="E113" s="24">
        <f t="shared" si="110"/>
        <v>0</v>
      </c>
      <c r="F113" s="24">
        <f t="shared" si="110"/>
        <v>0</v>
      </c>
      <c r="G113" s="25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36"/>
      <c r="AS113" s="36"/>
      <c r="AT113" s="80"/>
      <c r="AU113" s="84">
        <f t="shared" si="97"/>
        <v>0</v>
      </c>
      <c r="AV113" s="84">
        <f t="shared" si="98"/>
        <v>0</v>
      </c>
      <c r="AW113" s="84">
        <f t="shared" si="99"/>
        <v>0</v>
      </c>
      <c r="AX113" s="84">
        <f t="shared" si="100"/>
        <v>0</v>
      </c>
    </row>
    <row r="114" spans="1:50" ht="15.75" customHeight="1" x14ac:dyDescent="0.3">
      <c r="A114" s="127" t="s">
        <v>59</v>
      </c>
      <c r="B114" s="127" t="s">
        <v>117</v>
      </c>
      <c r="C114" s="127" t="s">
        <v>6</v>
      </c>
      <c r="D114" s="38" t="s">
        <v>3</v>
      </c>
      <c r="E114" s="24">
        <f t="shared" si="110"/>
        <v>671477.90000000014</v>
      </c>
      <c r="F114" s="24">
        <f t="shared" si="110"/>
        <v>668277.19999999995</v>
      </c>
      <c r="G114" s="25">
        <f>F114/E114*100</f>
        <v>99.523335019663321</v>
      </c>
      <c r="H114" s="24">
        <f>H115+H116+H117+H118</f>
        <v>15338</v>
      </c>
      <c r="I114" s="24">
        <f>I115+I116+I117+I118</f>
        <v>15338</v>
      </c>
      <c r="J114" s="25">
        <f>I114/H114*100</f>
        <v>100</v>
      </c>
      <c r="K114" s="24">
        <f t="shared" ref="K114:AP114" si="118">K115+K116+K117+K118</f>
        <v>52118.5</v>
      </c>
      <c r="L114" s="24">
        <f t="shared" si="118"/>
        <v>52118.5</v>
      </c>
      <c r="M114" s="25">
        <f>L114/K114*100</f>
        <v>100</v>
      </c>
      <c r="N114" s="24">
        <f t="shared" si="118"/>
        <v>52508</v>
      </c>
      <c r="O114" s="24">
        <f t="shared" si="118"/>
        <v>52508</v>
      </c>
      <c r="P114" s="25">
        <f>O114/N114*100</f>
        <v>100</v>
      </c>
      <c r="Q114" s="24">
        <f t="shared" si="118"/>
        <v>58138</v>
      </c>
      <c r="R114" s="24">
        <f t="shared" si="118"/>
        <v>58921.4</v>
      </c>
      <c r="S114" s="25">
        <f>R114/Q114*100</f>
        <v>101.34748357356635</v>
      </c>
      <c r="T114" s="24">
        <f t="shared" si="118"/>
        <v>76582</v>
      </c>
      <c r="U114" s="24">
        <f t="shared" si="118"/>
        <v>98848.7</v>
      </c>
      <c r="V114" s="25">
        <f>U114/T114*100</f>
        <v>129.07563134940324</v>
      </c>
      <c r="W114" s="24">
        <f t="shared" si="118"/>
        <v>121826.6</v>
      </c>
      <c r="X114" s="24">
        <f t="shared" si="118"/>
        <v>98776.5</v>
      </c>
      <c r="Y114" s="25">
        <f>X114/W114*100</f>
        <v>81.079583604894168</v>
      </c>
      <c r="Z114" s="24">
        <f t="shared" si="118"/>
        <v>45034</v>
      </c>
      <c r="AA114" s="24">
        <f t="shared" si="118"/>
        <v>41699</v>
      </c>
      <c r="AB114" s="25">
        <f>AA114/Z114*100</f>
        <v>92.594484167517876</v>
      </c>
      <c r="AC114" s="24">
        <f t="shared" si="118"/>
        <v>20509</v>
      </c>
      <c r="AD114" s="24">
        <f t="shared" si="118"/>
        <v>21211</v>
      </c>
      <c r="AE114" s="25">
        <f>AD114/AC114*100</f>
        <v>103.42288751279926</v>
      </c>
      <c r="AF114" s="24">
        <f>AF115+AF116+AF117+AF118</f>
        <v>30324.400000000001</v>
      </c>
      <c r="AG114" s="24">
        <f t="shared" si="118"/>
        <v>32559.4</v>
      </c>
      <c r="AH114" s="25">
        <f>AG114/AF114*100</f>
        <v>107.37030246270329</v>
      </c>
      <c r="AI114" s="24">
        <f t="shared" si="118"/>
        <v>64452.4</v>
      </c>
      <c r="AJ114" s="24">
        <f t="shared" si="118"/>
        <v>53335.7</v>
      </c>
      <c r="AK114" s="25">
        <f>AJ114/AI114*100</f>
        <v>82.752077502156624</v>
      </c>
      <c r="AL114" s="24">
        <f t="shared" si="118"/>
        <v>51564.800000000003</v>
      </c>
      <c r="AM114" s="24">
        <f t="shared" si="118"/>
        <v>50863.899999999994</v>
      </c>
      <c r="AN114" s="25">
        <f>AM114/AL114*100</f>
        <v>98.640739419138626</v>
      </c>
      <c r="AO114" s="24">
        <f t="shared" si="118"/>
        <v>83082.200000000012</v>
      </c>
      <c r="AP114" s="24">
        <f t="shared" si="118"/>
        <v>92097.1</v>
      </c>
      <c r="AQ114" s="25">
        <f>AP114/AO114*100</f>
        <v>110.85057930579593</v>
      </c>
      <c r="AR114" s="36"/>
      <c r="AS114" s="36"/>
      <c r="AT114" s="80">
        <f t="shared" si="70"/>
        <v>0.99523335019663317</v>
      </c>
      <c r="AU114" s="84">
        <f t="shared" si="97"/>
        <v>119964.5</v>
      </c>
      <c r="AV114" s="84">
        <f t="shared" si="98"/>
        <v>256546.6</v>
      </c>
      <c r="AW114" s="84">
        <f t="shared" si="99"/>
        <v>95867.4</v>
      </c>
      <c r="AX114" s="84">
        <f t="shared" si="100"/>
        <v>199099.40000000002</v>
      </c>
    </row>
    <row r="115" spans="1:50" ht="60" x14ac:dyDescent="0.3">
      <c r="A115" s="127"/>
      <c r="B115" s="127"/>
      <c r="C115" s="127"/>
      <c r="D115" s="38" t="s">
        <v>22</v>
      </c>
      <c r="E115" s="24">
        <f t="shared" si="110"/>
        <v>11041</v>
      </c>
      <c r="F115" s="24">
        <f t="shared" si="110"/>
        <v>10243.299999999999</v>
      </c>
      <c r="G115" s="25">
        <f>F115/E115*100</f>
        <v>92.775110950095097</v>
      </c>
      <c r="H115" s="24"/>
      <c r="I115" s="24"/>
      <c r="J115" s="25"/>
      <c r="K115" s="24"/>
      <c r="L115" s="24"/>
      <c r="M115" s="25"/>
      <c r="N115" s="24"/>
      <c r="O115" s="24"/>
      <c r="P115" s="25"/>
      <c r="Q115" s="24"/>
      <c r="R115" s="24"/>
      <c r="S115" s="25"/>
      <c r="T115" s="24"/>
      <c r="U115" s="24"/>
      <c r="V115" s="25"/>
      <c r="W115" s="24"/>
      <c r="X115" s="24"/>
      <c r="Y115" s="25"/>
      <c r="Z115" s="24"/>
      <c r="AA115" s="24"/>
      <c r="AB115" s="25"/>
      <c r="AC115" s="24"/>
      <c r="AD115" s="24"/>
      <c r="AE115" s="25"/>
      <c r="AF115" s="24">
        <v>2585.6999999999998</v>
      </c>
      <c r="AG115" s="24">
        <v>2585.6999999999998</v>
      </c>
      <c r="AH115" s="25">
        <f t="shared" ref="AH115:AH116" si="119">AG115/AF115*100</f>
        <v>100</v>
      </c>
      <c r="AI115" s="24">
        <v>2853</v>
      </c>
      <c r="AJ115" s="24">
        <v>2545.6</v>
      </c>
      <c r="AK115" s="25">
        <f>AJ115/AI115*100</f>
        <v>89.225376796354709</v>
      </c>
      <c r="AL115" s="24">
        <v>2800</v>
      </c>
      <c r="AM115" s="24">
        <v>2574.1999999999998</v>
      </c>
      <c r="AN115" s="25">
        <f>AM115/AL115*100</f>
        <v>91.935714285714283</v>
      </c>
      <c r="AO115" s="24">
        <v>2802.3</v>
      </c>
      <c r="AP115" s="24">
        <v>2537.8000000000002</v>
      </c>
      <c r="AQ115" s="25">
        <f>AP115/AO115*100</f>
        <v>90.561324626199919</v>
      </c>
      <c r="AR115" s="119" t="s">
        <v>163</v>
      </c>
      <c r="AS115" s="119" t="s">
        <v>181</v>
      </c>
      <c r="AT115" s="80">
        <f t="shared" si="70"/>
        <v>0.92775110950095097</v>
      </c>
      <c r="AU115" s="84">
        <f t="shared" si="97"/>
        <v>0</v>
      </c>
      <c r="AV115" s="84">
        <f t="shared" si="98"/>
        <v>0</v>
      </c>
      <c r="AW115" s="84">
        <f t="shared" si="99"/>
        <v>2585.6999999999998</v>
      </c>
      <c r="AX115" s="84">
        <f t="shared" si="100"/>
        <v>8455.2999999999993</v>
      </c>
    </row>
    <row r="116" spans="1:50" ht="120" customHeight="1" x14ac:dyDescent="0.3">
      <c r="A116" s="127"/>
      <c r="B116" s="127"/>
      <c r="C116" s="127"/>
      <c r="D116" s="38" t="s">
        <v>4</v>
      </c>
      <c r="E116" s="24">
        <f t="shared" si="110"/>
        <v>618751.1</v>
      </c>
      <c r="F116" s="24">
        <f t="shared" si="110"/>
        <v>616348.1</v>
      </c>
      <c r="G116" s="25">
        <f t="shared" ref="G116:G117" si="120">F116/E116*100</f>
        <v>99.611637054059372</v>
      </c>
      <c r="H116" s="24">
        <v>14665</v>
      </c>
      <c r="I116" s="24">
        <v>14665</v>
      </c>
      <c r="J116" s="25">
        <f t="shared" ref="J116:J117" si="121">I116/H116*100</f>
        <v>100</v>
      </c>
      <c r="K116" s="24">
        <v>46451</v>
      </c>
      <c r="L116" s="24">
        <v>46451</v>
      </c>
      <c r="M116" s="25">
        <f t="shared" ref="M116:M127" si="122">L116/K116*100</f>
        <v>100</v>
      </c>
      <c r="N116" s="24">
        <v>48436</v>
      </c>
      <c r="O116" s="24">
        <v>48436</v>
      </c>
      <c r="P116" s="25">
        <f t="shared" ref="P116:P117" si="123">O116/N116*100</f>
        <v>100</v>
      </c>
      <c r="Q116" s="24">
        <v>51753</v>
      </c>
      <c r="R116" s="24">
        <v>51753</v>
      </c>
      <c r="S116" s="25">
        <f t="shared" ref="S116:S117" si="124">R116/Q116*100</f>
        <v>100</v>
      </c>
      <c r="T116" s="24">
        <v>72976</v>
      </c>
      <c r="U116" s="24">
        <v>95676</v>
      </c>
      <c r="V116" s="25">
        <f t="shared" ref="V116:V117" si="125">U116/T116*100</f>
        <v>131.10611707958782</v>
      </c>
      <c r="W116" s="24">
        <f>119753+1650</f>
        <v>121403</v>
      </c>
      <c r="X116" s="24">
        <v>98703</v>
      </c>
      <c r="Y116" s="25">
        <f t="shared" ref="Y116:Y117" si="126">X116/W116*100</f>
        <v>81.301944762485277</v>
      </c>
      <c r="Z116" s="24">
        <f>43784-1650</f>
        <v>42134</v>
      </c>
      <c r="AA116" s="24">
        <v>39134</v>
      </c>
      <c r="AB116" s="25">
        <f t="shared" ref="AB116:AB117" si="127">AA116/Z116*100</f>
        <v>92.879859495894053</v>
      </c>
      <c r="AC116" s="24">
        <v>17469</v>
      </c>
      <c r="AD116" s="24">
        <v>18969</v>
      </c>
      <c r="AE116" s="25">
        <f t="shared" ref="AE116:AE117" si="128">AD116/AC116*100</f>
        <v>108.58663918942126</v>
      </c>
      <c r="AF116" s="24">
        <v>27585</v>
      </c>
      <c r="AG116" s="24">
        <v>29085</v>
      </c>
      <c r="AH116" s="25">
        <f t="shared" si="119"/>
        <v>105.43773790103317</v>
      </c>
      <c r="AI116" s="24">
        <f>47212+8095.1</f>
        <v>55307.1</v>
      </c>
      <c r="AJ116" s="24">
        <v>47212</v>
      </c>
      <c r="AK116" s="25">
        <f t="shared" ref="AK116:AK117" si="129">AJ116/AI116*100</f>
        <v>85.363362027660102</v>
      </c>
      <c r="AL116" s="24">
        <v>45647</v>
      </c>
      <c r="AM116" s="24">
        <v>45189.1</v>
      </c>
      <c r="AN116" s="25">
        <f t="shared" ref="AN116:AN117" si="130">AM116/AL116*100</f>
        <v>98.996867264004209</v>
      </c>
      <c r="AO116" s="24">
        <f>86942.6+27704.5+1104.1+240-41066.2</f>
        <v>74925.000000000015</v>
      </c>
      <c r="AP116" s="24">
        <v>81075</v>
      </c>
      <c r="AQ116" s="25">
        <f t="shared" ref="AQ116:AQ117" si="131">AP116/AO116*100</f>
        <v>108.20820820820818</v>
      </c>
      <c r="AR116" s="119" t="s">
        <v>182</v>
      </c>
      <c r="AS116" s="119" t="s">
        <v>294</v>
      </c>
      <c r="AT116" s="80">
        <f t="shared" si="70"/>
        <v>0.99611637054059377</v>
      </c>
      <c r="AU116" s="84">
        <f t="shared" si="97"/>
        <v>109552</v>
      </c>
      <c r="AV116" s="84">
        <f t="shared" si="98"/>
        <v>246132</v>
      </c>
      <c r="AW116" s="84">
        <f t="shared" si="99"/>
        <v>87188</v>
      </c>
      <c r="AX116" s="84">
        <f t="shared" si="100"/>
        <v>175879.10000000003</v>
      </c>
    </row>
    <row r="117" spans="1:50" ht="62.4" customHeight="1" x14ac:dyDescent="0.3">
      <c r="A117" s="127"/>
      <c r="B117" s="127"/>
      <c r="C117" s="127"/>
      <c r="D117" s="38" t="s">
        <v>44</v>
      </c>
      <c r="E117" s="24">
        <f t="shared" si="110"/>
        <v>41685.799999999996</v>
      </c>
      <c r="F117" s="24">
        <f t="shared" si="110"/>
        <v>41685.800000000003</v>
      </c>
      <c r="G117" s="25">
        <f t="shared" si="120"/>
        <v>100.00000000000003</v>
      </c>
      <c r="H117" s="24">
        <v>673</v>
      </c>
      <c r="I117" s="24">
        <v>673</v>
      </c>
      <c r="J117" s="25">
        <f t="shared" si="121"/>
        <v>100</v>
      </c>
      <c r="K117" s="24">
        <v>5667.5</v>
      </c>
      <c r="L117" s="24">
        <v>5667.5</v>
      </c>
      <c r="M117" s="25">
        <f t="shared" si="122"/>
        <v>100</v>
      </c>
      <c r="N117" s="24">
        <v>4072</v>
      </c>
      <c r="O117" s="24">
        <v>4072</v>
      </c>
      <c r="P117" s="25">
        <f t="shared" si="123"/>
        <v>100</v>
      </c>
      <c r="Q117" s="24">
        <v>6385</v>
      </c>
      <c r="R117" s="24">
        <v>7168.4</v>
      </c>
      <c r="S117" s="25">
        <f t="shared" si="124"/>
        <v>112.26938136256852</v>
      </c>
      <c r="T117" s="24">
        <v>3606</v>
      </c>
      <c r="U117" s="24">
        <v>3172.7</v>
      </c>
      <c r="V117" s="25">
        <f t="shared" si="125"/>
        <v>87.983915696062112</v>
      </c>
      <c r="W117" s="24">
        <f>3595-3171.4</f>
        <v>423.59999999999991</v>
      </c>
      <c r="X117" s="24">
        <v>73.5</v>
      </c>
      <c r="Y117" s="25">
        <f t="shared" si="126"/>
        <v>17.351274787535413</v>
      </c>
      <c r="Z117" s="24">
        <v>2900</v>
      </c>
      <c r="AA117" s="24">
        <v>2565</v>
      </c>
      <c r="AB117" s="25">
        <f t="shared" si="127"/>
        <v>88.448275862068968</v>
      </c>
      <c r="AC117" s="24">
        <v>3040</v>
      </c>
      <c r="AD117" s="24">
        <v>2242</v>
      </c>
      <c r="AE117" s="25">
        <f t="shared" si="128"/>
        <v>73.75</v>
      </c>
      <c r="AF117" s="24">
        <f>3559+0.1-733.5-2671.9</f>
        <v>153.69999999999982</v>
      </c>
      <c r="AG117" s="24">
        <v>888.7</v>
      </c>
      <c r="AH117" s="25">
        <f>AG117/AF117*100</f>
        <v>578.20429407937604</v>
      </c>
      <c r="AI117" s="24">
        <f>6292.2+0.1</f>
        <v>6292.3</v>
      </c>
      <c r="AJ117" s="24">
        <v>3578.1</v>
      </c>
      <c r="AK117" s="25">
        <f t="shared" si="129"/>
        <v>56.864739443446751</v>
      </c>
      <c r="AL117" s="24">
        <f>4945.9+2671.9-4500</f>
        <v>3117.7999999999993</v>
      </c>
      <c r="AM117" s="24">
        <v>3100.6</v>
      </c>
      <c r="AN117" s="25">
        <f t="shared" si="130"/>
        <v>99.448328949900585</v>
      </c>
      <c r="AO117" s="24">
        <f>7006.9+1768.5-0.1-2521.1-899.3</f>
        <v>5354.8999999999987</v>
      </c>
      <c r="AP117" s="94">
        <v>8484.2999999999993</v>
      </c>
      <c r="AQ117" s="25">
        <f t="shared" si="131"/>
        <v>158.43993351883324</v>
      </c>
      <c r="AR117" s="119" t="s">
        <v>170</v>
      </c>
      <c r="AS117" s="119"/>
      <c r="AT117" s="80">
        <f t="shared" si="70"/>
        <v>1.0000000000000002</v>
      </c>
      <c r="AU117" s="84">
        <f t="shared" si="97"/>
        <v>10412.5</v>
      </c>
      <c r="AV117" s="84">
        <f t="shared" si="98"/>
        <v>10414.6</v>
      </c>
      <c r="AW117" s="84">
        <f t="shared" si="99"/>
        <v>6093.7</v>
      </c>
      <c r="AX117" s="84">
        <f t="shared" si="100"/>
        <v>14764.999999999996</v>
      </c>
    </row>
    <row r="118" spans="1:50" ht="15.75" customHeight="1" x14ac:dyDescent="0.3">
      <c r="A118" s="127"/>
      <c r="B118" s="127"/>
      <c r="C118" s="127"/>
      <c r="D118" s="38" t="s">
        <v>23</v>
      </c>
      <c r="E118" s="24">
        <f t="shared" si="110"/>
        <v>0</v>
      </c>
      <c r="F118" s="79">
        <f t="shared" si="110"/>
        <v>0</v>
      </c>
      <c r="G118" s="25"/>
      <c r="H118" s="24"/>
      <c r="I118" s="24"/>
      <c r="J118" s="24"/>
      <c r="K118" s="24"/>
      <c r="L118" s="24"/>
      <c r="M118" s="25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36"/>
      <c r="AS118" s="36"/>
      <c r="AT118" s="80"/>
      <c r="AU118" s="86">
        <f t="shared" si="97"/>
        <v>0</v>
      </c>
      <c r="AV118" s="86">
        <f t="shared" si="98"/>
        <v>0</v>
      </c>
      <c r="AW118" s="86">
        <f t="shared" si="99"/>
        <v>0</v>
      </c>
      <c r="AX118" s="86">
        <f t="shared" si="100"/>
        <v>0</v>
      </c>
    </row>
    <row r="119" spans="1:50" ht="15.75" customHeight="1" x14ac:dyDescent="0.3">
      <c r="A119" s="127" t="s">
        <v>60</v>
      </c>
      <c r="B119" s="127" t="s">
        <v>118</v>
      </c>
      <c r="C119" s="127" t="s">
        <v>6</v>
      </c>
      <c r="D119" s="38" t="s">
        <v>3</v>
      </c>
      <c r="E119" s="24">
        <f t="shared" si="110"/>
        <v>34190.299999999996</v>
      </c>
      <c r="F119" s="24">
        <f t="shared" si="110"/>
        <v>34190.300000000003</v>
      </c>
      <c r="G119" s="25">
        <f>F119/E119*100</f>
        <v>100.00000000000003</v>
      </c>
      <c r="H119" s="24">
        <f>H120+H121+H122+H123</f>
        <v>2380</v>
      </c>
      <c r="I119" s="24">
        <f>I120+I121+I122+I123</f>
        <v>2380</v>
      </c>
      <c r="J119" s="25">
        <f>I119/H119*100</f>
        <v>100</v>
      </c>
      <c r="K119" s="24">
        <f t="shared" ref="K119:AP119" si="132">K120+K121+K122+K123</f>
        <v>3445</v>
      </c>
      <c r="L119" s="24">
        <f t="shared" si="132"/>
        <v>3445</v>
      </c>
      <c r="M119" s="25">
        <f t="shared" si="122"/>
        <v>100</v>
      </c>
      <c r="N119" s="24">
        <f t="shared" si="132"/>
        <v>3442</v>
      </c>
      <c r="O119" s="24">
        <f t="shared" si="132"/>
        <v>3442</v>
      </c>
      <c r="P119" s="25">
        <f>O119/N119*100</f>
        <v>100</v>
      </c>
      <c r="Q119" s="24">
        <f t="shared" si="132"/>
        <v>4258</v>
      </c>
      <c r="R119" s="24">
        <f t="shared" si="132"/>
        <v>4158</v>
      </c>
      <c r="S119" s="25">
        <f>R119/Q119*100</f>
        <v>97.651479567872244</v>
      </c>
      <c r="T119" s="24">
        <f t="shared" si="132"/>
        <v>4274</v>
      </c>
      <c r="U119" s="24">
        <f t="shared" si="132"/>
        <v>4274</v>
      </c>
      <c r="V119" s="25">
        <f>U119/T119*100</f>
        <v>100</v>
      </c>
      <c r="W119" s="24">
        <f t="shared" si="132"/>
        <v>4346</v>
      </c>
      <c r="X119" s="24">
        <f t="shared" si="132"/>
        <v>4446</v>
      </c>
      <c r="Y119" s="25">
        <f>X119/W119*100</f>
        <v>102.30096640589048</v>
      </c>
      <c r="Z119" s="24">
        <f t="shared" si="132"/>
        <v>834</v>
      </c>
      <c r="AA119" s="24">
        <f t="shared" si="132"/>
        <v>834</v>
      </c>
      <c r="AB119" s="25">
        <f>AA119/Z119*100</f>
        <v>100</v>
      </c>
      <c r="AC119" s="24">
        <f t="shared" si="132"/>
        <v>1896.1000000000001</v>
      </c>
      <c r="AD119" s="24">
        <f t="shared" si="132"/>
        <v>738.4</v>
      </c>
      <c r="AE119" s="25">
        <f>AD119/AC119*100</f>
        <v>38.943093718685716</v>
      </c>
      <c r="AF119" s="24">
        <f t="shared" si="132"/>
        <v>2090.1</v>
      </c>
      <c r="AG119" s="24">
        <f t="shared" si="132"/>
        <v>3247.9</v>
      </c>
      <c r="AH119" s="25">
        <f>AG119/AF119*100</f>
        <v>155.394478733075</v>
      </c>
      <c r="AI119" s="24">
        <f t="shared" si="132"/>
        <v>2415.3000000000002</v>
      </c>
      <c r="AJ119" s="24">
        <f t="shared" si="132"/>
        <v>2268.8000000000002</v>
      </c>
      <c r="AK119" s="25">
        <f>AJ119/AI119*100</f>
        <v>93.934500890158574</v>
      </c>
      <c r="AL119" s="24">
        <f t="shared" si="132"/>
        <v>2674</v>
      </c>
      <c r="AM119" s="24">
        <f t="shared" si="132"/>
        <v>2674</v>
      </c>
      <c r="AN119" s="25">
        <f>AM119/AL119*100</f>
        <v>100</v>
      </c>
      <c r="AO119" s="24">
        <f t="shared" si="132"/>
        <v>2135.7999999999997</v>
      </c>
      <c r="AP119" s="24">
        <f t="shared" si="132"/>
        <v>2282.1999999999998</v>
      </c>
      <c r="AQ119" s="25">
        <f>AP119/AO119*100</f>
        <v>106.85457439835191</v>
      </c>
      <c r="AR119" s="36"/>
      <c r="AS119" s="36"/>
      <c r="AT119" s="80">
        <f t="shared" si="70"/>
        <v>1.0000000000000002</v>
      </c>
      <c r="AU119" s="84">
        <f t="shared" si="97"/>
        <v>9267</v>
      </c>
      <c r="AV119" s="84">
        <f t="shared" si="98"/>
        <v>12878</v>
      </c>
      <c r="AW119" s="84">
        <f t="shared" si="99"/>
        <v>4820.2000000000007</v>
      </c>
      <c r="AX119" s="84">
        <f t="shared" si="100"/>
        <v>7225.1</v>
      </c>
    </row>
    <row r="120" spans="1:50" ht="14.25" customHeight="1" x14ac:dyDescent="0.3">
      <c r="A120" s="127"/>
      <c r="B120" s="127"/>
      <c r="C120" s="127"/>
      <c r="D120" s="38" t="s">
        <v>22</v>
      </c>
      <c r="E120" s="24">
        <f t="shared" si="110"/>
        <v>0</v>
      </c>
      <c r="F120" s="64">
        <f t="shared" si="110"/>
        <v>0</v>
      </c>
      <c r="G120" s="25"/>
      <c r="H120" s="24"/>
      <c r="I120" s="24"/>
      <c r="J120" s="25"/>
      <c r="K120" s="24"/>
      <c r="L120" s="24"/>
      <c r="M120" s="25"/>
      <c r="N120" s="24"/>
      <c r="O120" s="24"/>
      <c r="P120" s="25"/>
      <c r="Q120" s="24"/>
      <c r="R120" s="24"/>
      <c r="S120" s="25"/>
      <c r="T120" s="24"/>
      <c r="U120" s="24"/>
      <c r="V120" s="25"/>
      <c r="W120" s="24"/>
      <c r="X120" s="24"/>
      <c r="Y120" s="25"/>
      <c r="Z120" s="24"/>
      <c r="AA120" s="24"/>
      <c r="AB120" s="25"/>
      <c r="AC120" s="24"/>
      <c r="AD120" s="24"/>
      <c r="AE120" s="25"/>
      <c r="AF120" s="24"/>
      <c r="AG120" s="24"/>
      <c r="AH120" s="25"/>
      <c r="AI120" s="24"/>
      <c r="AJ120" s="24"/>
      <c r="AK120" s="25"/>
      <c r="AL120" s="24"/>
      <c r="AM120" s="24"/>
      <c r="AN120" s="25"/>
      <c r="AO120" s="24"/>
      <c r="AP120" s="24"/>
      <c r="AQ120" s="25"/>
      <c r="AR120" s="36"/>
      <c r="AS120" s="36"/>
      <c r="AT120" s="80"/>
      <c r="AU120" s="84">
        <f t="shared" si="97"/>
        <v>0</v>
      </c>
      <c r="AV120" s="84">
        <f t="shared" si="98"/>
        <v>0</v>
      </c>
      <c r="AW120" s="84">
        <f t="shared" si="99"/>
        <v>0</v>
      </c>
      <c r="AX120" s="84">
        <f t="shared" si="100"/>
        <v>0</v>
      </c>
    </row>
    <row r="121" spans="1:50" ht="25.95" customHeight="1" x14ac:dyDescent="0.3">
      <c r="A121" s="127"/>
      <c r="B121" s="127"/>
      <c r="C121" s="127"/>
      <c r="D121" s="38" t="s">
        <v>4</v>
      </c>
      <c r="E121" s="24">
        <f t="shared" si="110"/>
        <v>100</v>
      </c>
      <c r="F121" s="24">
        <f t="shared" si="110"/>
        <v>100</v>
      </c>
      <c r="G121" s="25">
        <f>F121/E121*100</f>
        <v>100</v>
      </c>
      <c r="H121" s="24"/>
      <c r="I121" s="24"/>
      <c r="J121" s="25"/>
      <c r="K121" s="24"/>
      <c r="L121" s="24"/>
      <c r="M121" s="25"/>
      <c r="N121" s="24"/>
      <c r="O121" s="24"/>
      <c r="P121" s="25"/>
      <c r="Q121" s="24">
        <v>100</v>
      </c>
      <c r="R121" s="24">
        <v>0</v>
      </c>
      <c r="S121" s="25">
        <f>R121/Q121*100</f>
        <v>0</v>
      </c>
      <c r="T121" s="24"/>
      <c r="U121" s="24"/>
      <c r="V121" s="25"/>
      <c r="W121" s="24"/>
      <c r="X121" s="24">
        <v>100</v>
      </c>
      <c r="Y121" s="25"/>
      <c r="Z121" s="24"/>
      <c r="AA121" s="24"/>
      <c r="AB121" s="25"/>
      <c r="AC121" s="24"/>
      <c r="AD121" s="24"/>
      <c r="AE121" s="25"/>
      <c r="AF121" s="24"/>
      <c r="AG121" s="24"/>
      <c r="AH121" s="25"/>
      <c r="AI121" s="24"/>
      <c r="AJ121" s="24"/>
      <c r="AK121" s="25"/>
      <c r="AL121" s="24"/>
      <c r="AM121" s="24"/>
      <c r="AN121" s="25"/>
      <c r="AO121" s="24"/>
      <c r="AP121" s="24"/>
      <c r="AQ121" s="25"/>
      <c r="AR121" s="119" t="s">
        <v>150</v>
      </c>
      <c r="AS121" s="36"/>
      <c r="AT121" s="80">
        <f t="shared" si="70"/>
        <v>1</v>
      </c>
      <c r="AU121" s="84">
        <f t="shared" si="97"/>
        <v>0</v>
      </c>
      <c r="AV121" s="84">
        <f t="shared" si="98"/>
        <v>100</v>
      </c>
      <c r="AW121" s="84">
        <f t="shared" si="99"/>
        <v>0</v>
      </c>
      <c r="AX121" s="84">
        <f t="shared" si="100"/>
        <v>0</v>
      </c>
    </row>
    <row r="122" spans="1:50" ht="61.95" customHeight="1" x14ac:dyDescent="0.3">
      <c r="A122" s="127"/>
      <c r="B122" s="127"/>
      <c r="C122" s="127"/>
      <c r="D122" s="38" t="s">
        <v>44</v>
      </c>
      <c r="E122" s="24">
        <f t="shared" si="110"/>
        <v>34090.299999999996</v>
      </c>
      <c r="F122" s="24">
        <f t="shared" si="110"/>
        <v>34090.300000000003</v>
      </c>
      <c r="G122" s="25">
        <f>F122/E122*100</f>
        <v>100.00000000000003</v>
      </c>
      <c r="H122" s="24">
        <v>2380</v>
      </c>
      <c r="I122" s="24">
        <v>2380</v>
      </c>
      <c r="J122" s="25">
        <f t="shared" ref="J122" si="133">I122/H122*100</f>
        <v>100</v>
      </c>
      <c r="K122" s="24">
        <v>3445</v>
      </c>
      <c r="L122" s="24">
        <v>3445</v>
      </c>
      <c r="M122" s="25">
        <f t="shared" si="122"/>
        <v>100</v>
      </c>
      <c r="N122" s="24">
        <v>3442</v>
      </c>
      <c r="O122" s="24">
        <v>3442</v>
      </c>
      <c r="P122" s="25">
        <f t="shared" ref="P122" si="134">O122/N122*100</f>
        <v>100</v>
      </c>
      <c r="Q122" s="24">
        <v>4158</v>
      </c>
      <c r="R122" s="24">
        <v>4158</v>
      </c>
      <c r="S122" s="25">
        <f t="shared" ref="S122" si="135">R122/Q122*100</f>
        <v>100</v>
      </c>
      <c r="T122" s="24">
        <v>4274</v>
      </c>
      <c r="U122" s="24">
        <v>4274</v>
      </c>
      <c r="V122" s="25">
        <f t="shared" ref="V122" si="136">U122/T122*100</f>
        <v>100</v>
      </c>
      <c r="W122" s="24">
        <v>4346</v>
      </c>
      <c r="X122" s="24">
        <v>4346</v>
      </c>
      <c r="Y122" s="25">
        <f t="shared" ref="Y122" si="137">X122/W122*100</f>
        <v>100</v>
      </c>
      <c r="Z122" s="24">
        <f>3234-2400</f>
        <v>834</v>
      </c>
      <c r="AA122" s="24">
        <v>834</v>
      </c>
      <c r="AB122" s="25">
        <f t="shared" ref="AB122" si="138">AA122/Z122*100</f>
        <v>100</v>
      </c>
      <c r="AC122" s="24">
        <f>2238.4-342.3</f>
        <v>1896.1000000000001</v>
      </c>
      <c r="AD122" s="24">
        <v>738.4</v>
      </c>
      <c r="AE122" s="25">
        <f>AD122/AC122*100</f>
        <v>38.943093718685716</v>
      </c>
      <c r="AF122" s="24">
        <f>1582+508.1</f>
        <v>2090.1</v>
      </c>
      <c r="AG122" s="24">
        <v>3247.9</v>
      </c>
      <c r="AH122" s="25">
        <f t="shared" ref="AH122" si="139">AG122/AF122*100</f>
        <v>155.394478733075</v>
      </c>
      <c r="AI122" s="24">
        <f>2073+342.3</f>
        <v>2415.3000000000002</v>
      </c>
      <c r="AJ122" s="24">
        <v>2268.8000000000002</v>
      </c>
      <c r="AK122" s="25">
        <f t="shared" ref="AK122" si="140">AJ122/AI122*100</f>
        <v>93.934500890158574</v>
      </c>
      <c r="AL122" s="24">
        <f>1474+1200</f>
        <v>2674</v>
      </c>
      <c r="AM122" s="24">
        <v>2674</v>
      </c>
      <c r="AN122" s="25">
        <f t="shared" ref="AN122" si="141">AM122/AL122*100</f>
        <v>100</v>
      </c>
      <c r="AO122" s="24">
        <f>1773+1200-690.8-146.4</f>
        <v>2135.7999999999997</v>
      </c>
      <c r="AP122" s="24">
        <v>2282.1999999999998</v>
      </c>
      <c r="AQ122" s="25">
        <f>AP122/AO122*100</f>
        <v>106.85457439835191</v>
      </c>
      <c r="AR122" s="119" t="s">
        <v>171</v>
      </c>
      <c r="AS122" s="36"/>
      <c r="AT122" s="80">
        <f t="shared" si="70"/>
        <v>1.0000000000000002</v>
      </c>
      <c r="AU122" s="84">
        <f t="shared" si="97"/>
        <v>9267</v>
      </c>
      <c r="AV122" s="84">
        <f t="shared" si="98"/>
        <v>12778</v>
      </c>
      <c r="AW122" s="87">
        <f t="shared" si="99"/>
        <v>4820.2000000000007</v>
      </c>
      <c r="AX122" s="87">
        <f t="shared" si="100"/>
        <v>7225.1</v>
      </c>
    </row>
    <row r="123" spans="1:50" ht="15.75" customHeight="1" x14ac:dyDescent="0.3">
      <c r="A123" s="127"/>
      <c r="B123" s="127"/>
      <c r="C123" s="127"/>
      <c r="D123" s="38" t="s">
        <v>23</v>
      </c>
      <c r="E123" s="24">
        <f t="shared" si="110"/>
        <v>0</v>
      </c>
      <c r="F123" s="24">
        <f t="shared" si="110"/>
        <v>0</v>
      </c>
      <c r="G123" s="25"/>
      <c r="H123" s="24"/>
      <c r="I123" s="24"/>
      <c r="J123" s="24"/>
      <c r="K123" s="24"/>
      <c r="L123" s="24"/>
      <c r="M123" s="25"/>
      <c r="N123" s="24"/>
      <c r="O123" s="24"/>
      <c r="P123" s="24"/>
      <c r="Q123" s="24"/>
      <c r="R123" s="24"/>
      <c r="S123" s="24"/>
      <c r="T123" s="24"/>
      <c r="U123" s="24"/>
      <c r="V123" s="25"/>
      <c r="W123" s="24"/>
      <c r="X123" s="24"/>
      <c r="Y123" s="24"/>
      <c r="Z123" s="24"/>
      <c r="AA123" s="24"/>
      <c r="AB123" s="24"/>
      <c r="AC123" s="24"/>
      <c r="AD123" s="24"/>
      <c r="AE123" s="25"/>
      <c r="AF123" s="24"/>
      <c r="AG123" s="24"/>
      <c r="AH123" s="24"/>
      <c r="AI123" s="24"/>
      <c r="AJ123" s="24"/>
      <c r="AK123" s="24"/>
      <c r="AL123" s="24"/>
      <c r="AM123" s="24"/>
      <c r="AN123" s="25"/>
      <c r="AO123" s="24"/>
      <c r="AP123" s="24"/>
      <c r="AQ123" s="24"/>
      <c r="AR123" s="36"/>
      <c r="AS123" s="36"/>
      <c r="AT123" s="80"/>
      <c r="AU123" s="84">
        <f t="shared" si="97"/>
        <v>0</v>
      </c>
      <c r="AV123" s="84">
        <f t="shared" si="98"/>
        <v>0</v>
      </c>
      <c r="AW123" s="84">
        <f t="shared" si="99"/>
        <v>0</v>
      </c>
      <c r="AX123" s="84">
        <f t="shared" si="100"/>
        <v>0</v>
      </c>
    </row>
    <row r="124" spans="1:50" ht="15.75" customHeight="1" x14ac:dyDescent="0.3">
      <c r="A124" s="127" t="s">
        <v>61</v>
      </c>
      <c r="B124" s="127" t="s">
        <v>96</v>
      </c>
      <c r="C124" s="127" t="s">
        <v>6</v>
      </c>
      <c r="D124" s="38" t="s">
        <v>3</v>
      </c>
      <c r="E124" s="24">
        <f t="shared" si="110"/>
        <v>36817.799999999996</v>
      </c>
      <c r="F124" s="24">
        <f t="shared" si="110"/>
        <v>36648</v>
      </c>
      <c r="G124" s="25">
        <f>F124/E124*100</f>
        <v>99.538810032104053</v>
      </c>
      <c r="H124" s="24">
        <f>H125+H126+H127+H128</f>
        <v>189</v>
      </c>
      <c r="I124" s="24">
        <f>I125+I126+I127+I128</f>
        <v>107.7</v>
      </c>
      <c r="J124" s="25">
        <f>I124/H124*100</f>
        <v>56.984126984126981</v>
      </c>
      <c r="K124" s="24">
        <f t="shared" ref="K124:AP124" si="142">K125+K126+K127+K128</f>
        <v>6804</v>
      </c>
      <c r="L124" s="24">
        <f t="shared" si="142"/>
        <v>6956.5</v>
      </c>
      <c r="M124" s="25">
        <f t="shared" si="122"/>
        <v>102.24132863021751</v>
      </c>
      <c r="N124" s="24">
        <f t="shared" si="142"/>
        <v>4745</v>
      </c>
      <c r="O124" s="24">
        <f t="shared" si="142"/>
        <v>4673.1000000000004</v>
      </c>
      <c r="P124" s="25">
        <f>O124/N124*100</f>
        <v>98.484720758693371</v>
      </c>
      <c r="Q124" s="24">
        <f t="shared" si="142"/>
        <v>4379</v>
      </c>
      <c r="R124" s="24">
        <f t="shared" si="142"/>
        <v>4477.1000000000004</v>
      </c>
      <c r="S124" s="25">
        <f>R124/Q124*100</f>
        <v>102.24023749714549</v>
      </c>
      <c r="T124" s="24">
        <f t="shared" si="142"/>
        <v>4479</v>
      </c>
      <c r="U124" s="24">
        <f t="shared" si="142"/>
        <v>4484.1000000000004</v>
      </c>
      <c r="V124" s="25">
        <f>U124/T124*100</f>
        <v>100.11386470194242</v>
      </c>
      <c r="W124" s="24">
        <f t="shared" si="142"/>
        <v>956</v>
      </c>
      <c r="X124" s="24">
        <f t="shared" si="142"/>
        <v>853.5</v>
      </c>
      <c r="Y124" s="25">
        <f>X124/W124*100</f>
        <v>89.278242677824267</v>
      </c>
      <c r="Z124" s="24">
        <f t="shared" si="142"/>
        <v>86</v>
      </c>
      <c r="AA124" s="24">
        <f t="shared" si="142"/>
        <v>0</v>
      </c>
      <c r="AB124" s="22"/>
      <c r="AC124" s="24">
        <f t="shared" si="142"/>
        <v>86</v>
      </c>
      <c r="AD124" s="24">
        <f t="shared" si="142"/>
        <v>0</v>
      </c>
      <c r="AE124" s="25">
        <f>AD124/AC124*100</f>
        <v>0</v>
      </c>
      <c r="AF124" s="24">
        <f t="shared" si="142"/>
        <v>1320.6</v>
      </c>
      <c r="AG124" s="24">
        <f t="shared" si="142"/>
        <v>1492.5</v>
      </c>
      <c r="AH124" s="25">
        <f>AG124/AF124*100</f>
        <v>113.01681054066334</v>
      </c>
      <c r="AI124" s="24">
        <f t="shared" si="142"/>
        <v>4405</v>
      </c>
      <c r="AJ124" s="24">
        <f t="shared" si="142"/>
        <v>4531.3</v>
      </c>
      <c r="AK124" s="25">
        <f>AJ124/AI124*100</f>
        <v>102.86719636776391</v>
      </c>
      <c r="AL124" s="24">
        <f t="shared" si="142"/>
        <v>4410</v>
      </c>
      <c r="AM124" s="24">
        <f t="shared" si="142"/>
        <v>3692.5</v>
      </c>
      <c r="AN124" s="25">
        <f>AM124/AL124*100</f>
        <v>83.730158730158735</v>
      </c>
      <c r="AO124" s="24">
        <f t="shared" si="142"/>
        <v>4958.1999999999989</v>
      </c>
      <c r="AP124" s="24">
        <f t="shared" si="142"/>
        <v>5379.7</v>
      </c>
      <c r="AQ124" s="25">
        <f>AP124/AO124*100</f>
        <v>108.50106893630755</v>
      </c>
      <c r="AR124" s="36"/>
      <c r="AS124" s="36"/>
      <c r="AT124" s="80">
        <f t="shared" si="70"/>
        <v>0.99538810032104053</v>
      </c>
      <c r="AU124" s="84">
        <f t="shared" si="97"/>
        <v>11738</v>
      </c>
      <c r="AV124" s="84">
        <f t="shared" si="98"/>
        <v>9814</v>
      </c>
      <c r="AW124" s="84">
        <f t="shared" si="99"/>
        <v>1492.6</v>
      </c>
      <c r="AX124" s="84">
        <f t="shared" si="100"/>
        <v>13773.199999999999</v>
      </c>
    </row>
    <row r="125" spans="1:50" ht="15.6" x14ac:dyDescent="0.3">
      <c r="A125" s="127"/>
      <c r="B125" s="127"/>
      <c r="C125" s="127"/>
      <c r="D125" s="38" t="s">
        <v>22</v>
      </c>
      <c r="E125" s="24">
        <f t="shared" si="110"/>
        <v>0</v>
      </c>
      <c r="F125" s="24">
        <f t="shared" si="110"/>
        <v>0</v>
      </c>
      <c r="G125" s="25"/>
      <c r="H125" s="24"/>
      <c r="I125" s="24"/>
      <c r="J125" s="25"/>
      <c r="K125" s="24"/>
      <c r="L125" s="24"/>
      <c r="M125" s="25"/>
      <c r="N125" s="24"/>
      <c r="O125" s="24"/>
      <c r="P125" s="25"/>
      <c r="Q125" s="24"/>
      <c r="R125" s="24"/>
      <c r="S125" s="25"/>
      <c r="T125" s="24"/>
      <c r="U125" s="24"/>
      <c r="V125" s="25"/>
      <c r="W125" s="24"/>
      <c r="X125" s="24"/>
      <c r="Y125" s="25"/>
      <c r="Z125" s="24"/>
      <c r="AA125" s="24"/>
      <c r="AB125" s="22"/>
      <c r="AC125" s="24"/>
      <c r="AD125" s="24"/>
      <c r="AE125" s="25"/>
      <c r="AF125" s="24"/>
      <c r="AG125" s="24"/>
      <c r="AH125" s="25"/>
      <c r="AI125" s="24"/>
      <c r="AJ125" s="24"/>
      <c r="AK125" s="25"/>
      <c r="AL125" s="24"/>
      <c r="AM125" s="24"/>
      <c r="AN125" s="25"/>
      <c r="AO125" s="24"/>
      <c r="AP125" s="24"/>
      <c r="AQ125" s="25"/>
      <c r="AR125" s="36"/>
      <c r="AS125" s="36"/>
      <c r="AT125" s="80"/>
      <c r="AU125" s="84">
        <f t="shared" si="97"/>
        <v>0</v>
      </c>
      <c r="AV125" s="84">
        <f t="shared" si="98"/>
        <v>0</v>
      </c>
      <c r="AW125" s="84">
        <f t="shared" si="99"/>
        <v>0</v>
      </c>
      <c r="AX125" s="84">
        <f t="shared" si="100"/>
        <v>0</v>
      </c>
    </row>
    <row r="126" spans="1:50" ht="23.4" customHeight="1" x14ac:dyDescent="0.3">
      <c r="A126" s="127"/>
      <c r="B126" s="127"/>
      <c r="C126" s="127"/>
      <c r="D126" s="38" t="s">
        <v>4</v>
      </c>
      <c r="E126" s="24">
        <f t="shared" si="110"/>
        <v>0</v>
      </c>
      <c r="F126" s="24">
        <f t="shared" si="110"/>
        <v>0</v>
      </c>
      <c r="G126" s="25"/>
      <c r="H126" s="24"/>
      <c r="I126" s="24"/>
      <c r="J126" s="25"/>
      <c r="K126" s="24"/>
      <c r="L126" s="24"/>
      <c r="M126" s="25"/>
      <c r="N126" s="24"/>
      <c r="O126" s="24"/>
      <c r="P126" s="25"/>
      <c r="Q126" s="24"/>
      <c r="R126" s="24"/>
      <c r="S126" s="25"/>
      <c r="T126" s="24"/>
      <c r="U126" s="24"/>
      <c r="V126" s="25"/>
      <c r="W126" s="24"/>
      <c r="X126" s="24"/>
      <c r="Y126" s="25"/>
      <c r="Z126" s="24"/>
      <c r="AA126" s="24"/>
      <c r="AB126" s="22"/>
      <c r="AC126" s="24"/>
      <c r="AD126" s="24"/>
      <c r="AE126" s="25"/>
      <c r="AF126" s="24"/>
      <c r="AG126" s="24"/>
      <c r="AH126" s="25"/>
      <c r="AI126" s="24"/>
      <c r="AJ126" s="24"/>
      <c r="AK126" s="25"/>
      <c r="AL126" s="24"/>
      <c r="AM126" s="24"/>
      <c r="AN126" s="25"/>
      <c r="AO126" s="24"/>
      <c r="AP126" s="24"/>
      <c r="AQ126" s="25"/>
      <c r="AR126" s="36"/>
      <c r="AS126" s="36"/>
      <c r="AT126" s="80"/>
      <c r="AU126" s="84">
        <f t="shared" si="97"/>
        <v>0</v>
      </c>
      <c r="AV126" s="84">
        <f t="shared" si="98"/>
        <v>0</v>
      </c>
      <c r="AW126" s="84">
        <f t="shared" si="99"/>
        <v>0</v>
      </c>
      <c r="AX126" s="84">
        <f t="shared" si="100"/>
        <v>0</v>
      </c>
    </row>
    <row r="127" spans="1:50" ht="61.2" customHeight="1" x14ac:dyDescent="0.3">
      <c r="A127" s="127"/>
      <c r="B127" s="127"/>
      <c r="C127" s="127"/>
      <c r="D127" s="38" t="s">
        <v>44</v>
      </c>
      <c r="E127" s="24">
        <f t="shared" si="110"/>
        <v>36817.799999999996</v>
      </c>
      <c r="F127" s="24">
        <f t="shared" si="110"/>
        <v>36648</v>
      </c>
      <c r="G127" s="25">
        <f t="shared" ref="G127" si="143">F127/E127*100</f>
        <v>99.538810032104053</v>
      </c>
      <c r="H127" s="24">
        <v>189</v>
      </c>
      <c r="I127" s="24">
        <v>107.7</v>
      </c>
      <c r="J127" s="25">
        <f t="shared" ref="J127" si="144">I127/H127*100</f>
        <v>56.984126984126981</v>
      </c>
      <c r="K127" s="24">
        <v>6804</v>
      </c>
      <c r="L127" s="24">
        <v>6956.5</v>
      </c>
      <c r="M127" s="25">
        <f t="shared" si="122"/>
        <v>102.24132863021751</v>
      </c>
      <c r="N127" s="24">
        <f>4439+306</f>
        <v>4745</v>
      </c>
      <c r="O127" s="24">
        <v>4673.1000000000004</v>
      </c>
      <c r="P127" s="25">
        <f t="shared" ref="P127" si="145">O127/N127*100</f>
        <v>98.484720758693371</v>
      </c>
      <c r="Q127" s="24">
        <v>4379</v>
      </c>
      <c r="R127" s="24">
        <v>4477.1000000000004</v>
      </c>
      <c r="S127" s="25">
        <f t="shared" ref="S127" si="146">R127/Q127*100</f>
        <v>102.24023749714549</v>
      </c>
      <c r="T127" s="24">
        <v>4479</v>
      </c>
      <c r="U127" s="24">
        <v>4484.1000000000004</v>
      </c>
      <c r="V127" s="25">
        <f t="shared" ref="V127" si="147">U127/T127*100</f>
        <v>100.11386470194242</v>
      </c>
      <c r="W127" s="24">
        <v>956</v>
      </c>
      <c r="X127" s="24">
        <v>853.5</v>
      </c>
      <c r="Y127" s="25">
        <f t="shared" ref="Y127" si="148">X127/W127*100</f>
        <v>89.278242677824267</v>
      </c>
      <c r="Z127" s="24">
        <v>86</v>
      </c>
      <c r="AA127" s="24"/>
      <c r="AB127" s="22"/>
      <c r="AC127" s="24">
        <v>86</v>
      </c>
      <c r="AD127" s="24">
        <v>0</v>
      </c>
      <c r="AE127" s="25">
        <f t="shared" ref="AE127" si="149">AD127/AC127*100</f>
        <v>0</v>
      </c>
      <c r="AF127" s="24">
        <f>3585-2264.4</f>
        <v>1320.6</v>
      </c>
      <c r="AG127" s="24">
        <v>1492.5</v>
      </c>
      <c r="AH127" s="25">
        <f t="shared" ref="AH127" si="150">AG127/AF127*100</f>
        <v>113.01681054066334</v>
      </c>
      <c r="AI127" s="24">
        <v>4405</v>
      </c>
      <c r="AJ127" s="24">
        <v>4531.3</v>
      </c>
      <c r="AK127" s="25">
        <f t="shared" ref="AK127" si="151">AJ127/AI127*100</f>
        <v>102.86719636776391</v>
      </c>
      <c r="AL127" s="24">
        <v>4410</v>
      </c>
      <c r="AM127" s="24">
        <v>3692.5</v>
      </c>
      <c r="AN127" s="25">
        <f t="shared" ref="AN127" si="152">AM127/AL127*100</f>
        <v>83.730158730158735</v>
      </c>
      <c r="AO127" s="24">
        <f>5477.9-306+2827.1+2264.4-3152.1-2153.1</f>
        <v>4958.1999999999989</v>
      </c>
      <c r="AP127" s="24">
        <v>5379.7</v>
      </c>
      <c r="AQ127" s="25">
        <f t="shared" ref="AQ127" si="153">AP127/AO127*100</f>
        <v>108.50106893630755</v>
      </c>
      <c r="AR127" s="119" t="s">
        <v>295</v>
      </c>
      <c r="AS127" s="119" t="s">
        <v>191</v>
      </c>
      <c r="AT127" s="80">
        <f t="shared" si="70"/>
        <v>0.99538810032104053</v>
      </c>
      <c r="AU127" s="84">
        <f t="shared" si="97"/>
        <v>11738</v>
      </c>
      <c r="AV127" s="84">
        <f t="shared" si="98"/>
        <v>9814</v>
      </c>
      <c r="AW127" s="87">
        <f t="shared" si="99"/>
        <v>1492.6</v>
      </c>
      <c r="AX127" s="87">
        <f t="shared" si="100"/>
        <v>13773.199999999999</v>
      </c>
    </row>
    <row r="128" spans="1:50" ht="15.75" customHeight="1" x14ac:dyDescent="0.3">
      <c r="A128" s="127"/>
      <c r="B128" s="127"/>
      <c r="C128" s="127"/>
      <c r="D128" s="38" t="s">
        <v>23</v>
      </c>
      <c r="E128" s="24">
        <f t="shared" si="110"/>
        <v>0</v>
      </c>
      <c r="F128" s="24">
        <f t="shared" si="110"/>
        <v>0</v>
      </c>
      <c r="G128" s="25"/>
      <c r="H128" s="24"/>
      <c r="I128" s="24"/>
      <c r="J128" s="24"/>
      <c r="K128" s="24"/>
      <c r="L128" s="24"/>
      <c r="M128" s="25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5"/>
      <c r="AL128" s="24"/>
      <c r="AM128" s="24"/>
      <c r="AN128" s="24"/>
      <c r="AO128" s="24"/>
      <c r="AP128" s="24"/>
      <c r="AQ128" s="24"/>
      <c r="AR128" s="36"/>
      <c r="AS128" s="36"/>
      <c r="AT128" s="80"/>
      <c r="AU128" s="84">
        <f t="shared" si="97"/>
        <v>0</v>
      </c>
      <c r="AV128" s="84">
        <f t="shared" si="98"/>
        <v>0</v>
      </c>
      <c r="AW128" s="84">
        <f t="shared" si="99"/>
        <v>0</v>
      </c>
      <c r="AX128" s="84">
        <f t="shared" si="100"/>
        <v>0</v>
      </c>
    </row>
    <row r="129" spans="1:50" ht="15.75" customHeight="1" x14ac:dyDescent="0.3">
      <c r="A129" s="127" t="s">
        <v>62</v>
      </c>
      <c r="B129" s="127" t="s">
        <v>97</v>
      </c>
      <c r="C129" s="127" t="s">
        <v>6</v>
      </c>
      <c r="D129" s="38" t="s">
        <v>3</v>
      </c>
      <c r="E129" s="24">
        <f t="shared" si="110"/>
        <v>1963.1999999999998</v>
      </c>
      <c r="F129" s="24">
        <f t="shared" si="110"/>
        <v>1962.5</v>
      </c>
      <c r="G129" s="25">
        <f>F129/E129*100</f>
        <v>99.964343928280357</v>
      </c>
      <c r="H129" s="24">
        <f>H130+H131+H132+H133</f>
        <v>0</v>
      </c>
      <c r="I129" s="24"/>
      <c r="J129" s="22"/>
      <c r="K129" s="24">
        <f t="shared" ref="K129:AP129" si="154">K130+K131+K132+K133</f>
        <v>0</v>
      </c>
      <c r="L129" s="24">
        <f t="shared" si="154"/>
        <v>0</v>
      </c>
      <c r="M129" s="25"/>
      <c r="N129" s="24">
        <f t="shared" si="154"/>
        <v>0</v>
      </c>
      <c r="O129" s="24">
        <f t="shared" si="154"/>
        <v>0</v>
      </c>
      <c r="P129" s="25"/>
      <c r="Q129" s="24">
        <f t="shared" si="154"/>
        <v>378.70000000000005</v>
      </c>
      <c r="R129" s="24">
        <f t="shared" si="154"/>
        <v>378.7</v>
      </c>
      <c r="S129" s="25">
        <f>R129/Q129*100</f>
        <v>99.999999999999986</v>
      </c>
      <c r="T129" s="24">
        <f t="shared" si="154"/>
        <v>480.5</v>
      </c>
      <c r="U129" s="24">
        <f t="shared" si="154"/>
        <v>480.5</v>
      </c>
      <c r="V129" s="25">
        <f>U129/T129*100</f>
        <v>100</v>
      </c>
      <c r="W129" s="24">
        <f t="shared" si="154"/>
        <v>164</v>
      </c>
      <c r="X129" s="24">
        <f t="shared" si="154"/>
        <v>164</v>
      </c>
      <c r="Y129" s="25">
        <f>X129/W129*100</f>
        <v>100</v>
      </c>
      <c r="Z129" s="24">
        <f t="shared" si="154"/>
        <v>756.79999999999973</v>
      </c>
      <c r="AA129" s="24">
        <f t="shared" si="154"/>
        <v>283.7</v>
      </c>
      <c r="AB129" s="25">
        <f>AA129/Z129*100</f>
        <v>37.486786469344615</v>
      </c>
      <c r="AC129" s="24">
        <f t="shared" si="154"/>
        <v>0</v>
      </c>
      <c r="AD129" s="24">
        <f t="shared" si="154"/>
        <v>506.3</v>
      </c>
      <c r="AE129" s="25"/>
      <c r="AF129" s="24">
        <f t="shared" si="154"/>
        <v>0</v>
      </c>
      <c r="AG129" s="24">
        <f t="shared" si="154"/>
        <v>3.8</v>
      </c>
      <c r="AH129" s="22"/>
      <c r="AI129" s="24">
        <f t="shared" si="154"/>
        <v>129</v>
      </c>
      <c r="AJ129" s="24">
        <f t="shared" si="154"/>
        <v>72</v>
      </c>
      <c r="AK129" s="25">
        <f>AJ129/AI129*100</f>
        <v>55.813953488372093</v>
      </c>
      <c r="AL129" s="24">
        <f t="shared" si="154"/>
        <v>98.8</v>
      </c>
      <c r="AM129" s="24">
        <f t="shared" si="154"/>
        <v>-25</v>
      </c>
      <c r="AN129" s="25">
        <f>AM129/AL129*100</f>
        <v>-25.303643724696357</v>
      </c>
      <c r="AO129" s="24">
        <f t="shared" si="154"/>
        <v>-44.600000000000023</v>
      </c>
      <c r="AP129" s="24">
        <f t="shared" si="154"/>
        <v>98.5</v>
      </c>
      <c r="AQ129" s="25">
        <f>AP129/AO129*100</f>
        <v>-220.85201793721961</v>
      </c>
      <c r="AR129" s="36"/>
      <c r="AS129" s="36"/>
      <c r="AT129" s="80">
        <f t="shared" si="70"/>
        <v>0.99964343928280364</v>
      </c>
      <c r="AU129" s="84">
        <f t="shared" si="97"/>
        <v>0</v>
      </c>
      <c r="AV129" s="84">
        <f t="shared" si="98"/>
        <v>1023.2</v>
      </c>
      <c r="AW129" s="84">
        <f t="shared" si="99"/>
        <v>756.79999999999973</v>
      </c>
      <c r="AX129" s="84">
        <f t="shared" si="100"/>
        <v>183.2</v>
      </c>
    </row>
    <row r="130" spans="1:50" ht="15.6" x14ac:dyDescent="0.3">
      <c r="A130" s="127"/>
      <c r="B130" s="127"/>
      <c r="C130" s="127"/>
      <c r="D130" s="38" t="s">
        <v>22</v>
      </c>
      <c r="E130" s="24">
        <f t="shared" si="110"/>
        <v>0</v>
      </c>
      <c r="F130" s="24">
        <f t="shared" si="110"/>
        <v>0</v>
      </c>
      <c r="G130" s="25"/>
      <c r="H130" s="24"/>
      <c r="I130" s="24"/>
      <c r="J130" s="22"/>
      <c r="K130" s="24"/>
      <c r="L130" s="24"/>
      <c r="M130" s="25"/>
      <c r="N130" s="24"/>
      <c r="O130" s="24"/>
      <c r="P130" s="25"/>
      <c r="Q130" s="24"/>
      <c r="R130" s="24"/>
      <c r="S130" s="25"/>
      <c r="T130" s="24"/>
      <c r="U130" s="24"/>
      <c r="V130" s="25"/>
      <c r="W130" s="24"/>
      <c r="X130" s="24"/>
      <c r="Y130" s="25"/>
      <c r="Z130" s="24"/>
      <c r="AA130" s="24"/>
      <c r="AB130" s="25"/>
      <c r="AC130" s="24"/>
      <c r="AD130" s="24"/>
      <c r="AE130" s="25"/>
      <c r="AF130" s="24"/>
      <c r="AG130" s="24"/>
      <c r="AH130" s="22"/>
      <c r="AI130" s="24"/>
      <c r="AJ130" s="24"/>
      <c r="AK130" s="25"/>
      <c r="AL130" s="24"/>
      <c r="AM130" s="24"/>
      <c r="AN130" s="25"/>
      <c r="AO130" s="24"/>
      <c r="AP130" s="24"/>
      <c r="AQ130" s="25"/>
      <c r="AR130" s="36"/>
      <c r="AS130" s="36"/>
      <c r="AT130" s="80"/>
      <c r="AU130" s="84">
        <f t="shared" si="97"/>
        <v>0</v>
      </c>
      <c r="AV130" s="84">
        <f t="shared" si="98"/>
        <v>0</v>
      </c>
      <c r="AW130" s="84">
        <f t="shared" si="99"/>
        <v>0</v>
      </c>
      <c r="AX130" s="84">
        <f t="shared" si="100"/>
        <v>0</v>
      </c>
    </row>
    <row r="131" spans="1:50" ht="97.95" customHeight="1" x14ac:dyDescent="0.3">
      <c r="A131" s="127"/>
      <c r="B131" s="127"/>
      <c r="C131" s="127"/>
      <c r="D131" s="38" t="s">
        <v>4</v>
      </c>
      <c r="E131" s="92">
        <f t="shared" si="110"/>
        <v>1963.1999999999998</v>
      </c>
      <c r="F131" s="92">
        <f t="shared" si="110"/>
        <v>1962.5</v>
      </c>
      <c r="G131" s="25">
        <f>F131/E131*100</f>
        <v>99.964343928280357</v>
      </c>
      <c r="H131" s="25"/>
      <c r="I131" s="25"/>
      <c r="J131" s="22"/>
      <c r="K131" s="25"/>
      <c r="L131" s="25"/>
      <c r="M131" s="25"/>
      <c r="N131" s="25"/>
      <c r="O131" s="25"/>
      <c r="P131" s="25"/>
      <c r="Q131" s="25">
        <f>417.9+42+24+1110-1215.2</f>
        <v>378.70000000000005</v>
      </c>
      <c r="R131" s="25">
        <v>378.7</v>
      </c>
      <c r="S131" s="25">
        <f>R131/Q131*100</f>
        <v>99.999999999999986</v>
      </c>
      <c r="T131" s="25">
        <f>73.1+800-392.6</f>
        <v>480.5</v>
      </c>
      <c r="U131" s="25">
        <v>480.5</v>
      </c>
      <c r="V131" s="25">
        <f>U131/T131*100</f>
        <v>100</v>
      </c>
      <c r="W131" s="25">
        <f>202-38</f>
        <v>164</v>
      </c>
      <c r="X131" s="25">
        <v>164</v>
      </c>
      <c r="Y131" s="25">
        <f>X131/W131*100</f>
        <v>100</v>
      </c>
      <c r="Z131" s="25">
        <f>72+42+15+799.4+1651.2-98.8-1500-224</f>
        <v>756.79999999999973</v>
      </c>
      <c r="AA131" s="25">
        <v>283.7</v>
      </c>
      <c r="AB131" s="25">
        <f>AA131/Z131*100</f>
        <v>37.486786469344615</v>
      </c>
      <c r="AC131" s="25"/>
      <c r="AD131" s="25">
        <v>506.3</v>
      </c>
      <c r="AE131" s="25"/>
      <c r="AF131" s="25"/>
      <c r="AG131" s="25">
        <v>3.8</v>
      </c>
      <c r="AH131" s="22"/>
      <c r="AI131" s="24">
        <f>72+42+15</f>
        <v>129</v>
      </c>
      <c r="AJ131" s="25">
        <v>72</v>
      </c>
      <c r="AK131" s="25">
        <f>AJ131/AI131*100</f>
        <v>55.813953488372093</v>
      </c>
      <c r="AL131" s="25">
        <v>98.8</v>
      </c>
      <c r="AM131" s="25">
        <v>-25</v>
      </c>
      <c r="AN131" s="25">
        <f>AM131/AL131*100</f>
        <v>-25.303643724696357</v>
      </c>
      <c r="AO131" s="24">
        <f>75+42+15-5.4-395.2+224</f>
        <v>-44.600000000000023</v>
      </c>
      <c r="AP131" s="25">
        <v>98.5</v>
      </c>
      <c r="AQ131" s="25">
        <f>AP131/AO131*100</f>
        <v>-220.85201793721961</v>
      </c>
      <c r="AR131" s="119" t="s">
        <v>157</v>
      </c>
      <c r="AS131" s="91"/>
      <c r="AT131" s="80">
        <f t="shared" si="70"/>
        <v>0.99964343928280364</v>
      </c>
      <c r="AU131" s="86">
        <f t="shared" si="97"/>
        <v>0</v>
      </c>
      <c r="AV131" s="84">
        <f t="shared" si="98"/>
        <v>1023.2</v>
      </c>
      <c r="AW131" s="84">
        <f t="shared" si="99"/>
        <v>756.79999999999973</v>
      </c>
      <c r="AX131" s="84">
        <f t="shared" si="100"/>
        <v>183.2</v>
      </c>
    </row>
    <row r="132" spans="1:50" ht="15.6" x14ac:dyDescent="0.3">
      <c r="A132" s="127"/>
      <c r="B132" s="127"/>
      <c r="C132" s="127"/>
      <c r="D132" s="38" t="s">
        <v>44</v>
      </c>
      <c r="E132" s="24">
        <f t="shared" si="110"/>
        <v>0</v>
      </c>
      <c r="F132" s="24">
        <f t="shared" si="110"/>
        <v>0</v>
      </c>
      <c r="G132" s="25"/>
      <c r="H132" s="25"/>
      <c r="I132" s="25"/>
      <c r="J132" s="22"/>
      <c r="K132" s="25"/>
      <c r="L132" s="25"/>
      <c r="M132" s="25"/>
      <c r="N132" s="25"/>
      <c r="O132" s="25"/>
      <c r="P132" s="25"/>
      <c r="Q132" s="25"/>
      <c r="R132" s="25"/>
      <c r="S132" s="22"/>
      <c r="T132" s="25"/>
      <c r="U132" s="25"/>
      <c r="V132" s="25"/>
      <c r="W132" s="25"/>
      <c r="X132" s="25"/>
      <c r="Y132" s="22"/>
      <c r="Z132" s="25"/>
      <c r="AA132" s="25"/>
      <c r="AB132" s="22"/>
      <c r="AC132" s="25"/>
      <c r="AD132" s="25"/>
      <c r="AE132" s="22"/>
      <c r="AF132" s="25"/>
      <c r="AG132" s="25"/>
      <c r="AH132" s="22"/>
      <c r="AI132" s="25"/>
      <c r="AJ132" s="25"/>
      <c r="AK132" s="22"/>
      <c r="AL132" s="25"/>
      <c r="AM132" s="25"/>
      <c r="AN132" s="22"/>
      <c r="AO132" s="25"/>
      <c r="AP132" s="25"/>
      <c r="AQ132" s="22"/>
      <c r="AR132" s="36"/>
      <c r="AS132" s="36"/>
      <c r="AT132" s="80"/>
      <c r="AU132" s="84">
        <f t="shared" si="97"/>
        <v>0</v>
      </c>
      <c r="AV132" s="84">
        <f t="shared" si="98"/>
        <v>0</v>
      </c>
      <c r="AW132" s="84">
        <f t="shared" si="99"/>
        <v>0</v>
      </c>
      <c r="AX132" s="84">
        <f t="shared" si="100"/>
        <v>0</v>
      </c>
    </row>
    <row r="133" spans="1:50" ht="15.75" customHeight="1" thickBot="1" x14ac:dyDescent="0.35">
      <c r="A133" s="127"/>
      <c r="B133" s="127"/>
      <c r="C133" s="127"/>
      <c r="D133" s="38" t="s">
        <v>23</v>
      </c>
      <c r="E133" s="24">
        <f t="shared" si="110"/>
        <v>0</v>
      </c>
      <c r="F133" s="24">
        <f t="shared" si="110"/>
        <v>0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36"/>
      <c r="AS133" s="36"/>
      <c r="AT133" s="80"/>
      <c r="AU133" s="84">
        <f t="shared" si="97"/>
        <v>0</v>
      </c>
      <c r="AV133" s="84">
        <f t="shared" si="98"/>
        <v>0</v>
      </c>
      <c r="AW133" s="84">
        <f t="shared" si="99"/>
        <v>0</v>
      </c>
      <c r="AX133" s="84">
        <f t="shared" si="100"/>
        <v>0</v>
      </c>
    </row>
    <row r="134" spans="1:50" ht="15.75" customHeight="1" x14ac:dyDescent="0.3">
      <c r="A134" s="127" t="s">
        <v>145</v>
      </c>
      <c r="B134" s="128" t="s">
        <v>147</v>
      </c>
      <c r="C134" s="127" t="s">
        <v>6</v>
      </c>
      <c r="D134" s="38" t="s">
        <v>3</v>
      </c>
      <c r="E134" s="24">
        <f t="shared" ref="E134:F148" si="155">H134+K134+N134+Q134+T134+W134+Z134+AC134+AF134+AI134+AL134+AO134</f>
        <v>108.3</v>
      </c>
      <c r="F134" s="24">
        <f t="shared" si="155"/>
        <v>108.3</v>
      </c>
      <c r="G134" s="25">
        <f>F134/E134*100</f>
        <v>100</v>
      </c>
      <c r="H134" s="24">
        <f>H135+H136+H137+H138</f>
        <v>0</v>
      </c>
      <c r="I134" s="24"/>
      <c r="J134" s="22"/>
      <c r="K134" s="24">
        <f t="shared" ref="K134:L134" si="156">K135+K136+K137+K138</f>
        <v>0</v>
      </c>
      <c r="L134" s="24">
        <f t="shared" si="156"/>
        <v>0</v>
      </c>
      <c r="M134" s="25"/>
      <c r="N134" s="24">
        <f t="shared" ref="N134:O134" si="157">N135+N136+N137+N138</f>
        <v>0</v>
      </c>
      <c r="O134" s="24">
        <f t="shared" si="157"/>
        <v>0</v>
      </c>
      <c r="P134" s="25"/>
      <c r="Q134" s="24">
        <f t="shared" ref="Q134:R134" si="158">Q135+Q136+Q137+Q138</f>
        <v>0</v>
      </c>
      <c r="R134" s="24">
        <f t="shared" si="158"/>
        <v>0</v>
      </c>
      <c r="S134" s="25"/>
      <c r="T134" s="24">
        <f t="shared" ref="T134:U134" si="159">T135+T136+T137+T138</f>
        <v>0</v>
      </c>
      <c r="U134" s="24">
        <f t="shared" si="159"/>
        <v>0</v>
      </c>
      <c r="V134" s="25"/>
      <c r="W134" s="24">
        <f t="shared" ref="W134:X134" si="160">W135+W136+W137+W138</f>
        <v>0</v>
      </c>
      <c r="X134" s="24">
        <f t="shared" si="160"/>
        <v>0</v>
      </c>
      <c r="Y134" s="25"/>
      <c r="Z134" s="24">
        <f t="shared" ref="Z134:AA134" si="161">Z135+Z136+Z137+Z138</f>
        <v>0</v>
      </c>
      <c r="AA134" s="24">
        <f t="shared" si="161"/>
        <v>0</v>
      </c>
      <c r="AB134" s="25"/>
      <c r="AC134" s="24">
        <f t="shared" ref="AC134:AD134" si="162">AC135+AC136+AC137+AC138</f>
        <v>108.3</v>
      </c>
      <c r="AD134" s="24">
        <f t="shared" si="162"/>
        <v>108.3</v>
      </c>
      <c r="AE134" s="25">
        <f>AD134/AC134*100</f>
        <v>100</v>
      </c>
      <c r="AF134" s="24">
        <f t="shared" ref="AF134" si="163">AF135+AF136+AF137+AF138</f>
        <v>0</v>
      </c>
      <c r="AG134" s="24"/>
      <c r="AH134" s="22"/>
      <c r="AI134" s="24">
        <f t="shared" ref="AI134:AJ134" si="164">AI135+AI136+AI137+AI138</f>
        <v>0</v>
      </c>
      <c r="AJ134" s="24">
        <f t="shared" si="164"/>
        <v>0</v>
      </c>
      <c r="AK134" s="25"/>
      <c r="AL134" s="24">
        <f t="shared" ref="AL134:AM134" si="165">AL135+AL136+AL137+AL138</f>
        <v>0</v>
      </c>
      <c r="AM134" s="24">
        <f t="shared" si="165"/>
        <v>0</v>
      </c>
      <c r="AN134" s="25"/>
      <c r="AO134" s="24">
        <f t="shared" ref="AO134:AP134" si="166">AO135+AO136+AO137+AO138</f>
        <v>0</v>
      </c>
      <c r="AP134" s="24">
        <f t="shared" si="166"/>
        <v>0</v>
      </c>
      <c r="AQ134" s="22"/>
      <c r="AR134" s="36"/>
      <c r="AS134" s="36"/>
      <c r="AT134" s="80">
        <f t="shared" si="70"/>
        <v>1</v>
      </c>
      <c r="AU134" s="84">
        <f t="shared" si="97"/>
        <v>0</v>
      </c>
      <c r="AV134" s="84">
        <f t="shared" si="98"/>
        <v>0</v>
      </c>
      <c r="AW134" s="84">
        <f t="shared" si="99"/>
        <v>108.3</v>
      </c>
      <c r="AX134" s="84">
        <f t="shared" si="100"/>
        <v>0</v>
      </c>
    </row>
    <row r="135" spans="1:50" ht="15.6" x14ac:dyDescent="0.3">
      <c r="A135" s="127"/>
      <c r="B135" s="129"/>
      <c r="C135" s="127"/>
      <c r="D135" s="38" t="s">
        <v>22</v>
      </c>
      <c r="E135" s="24">
        <f t="shared" si="155"/>
        <v>0</v>
      </c>
      <c r="F135" s="24">
        <f t="shared" si="155"/>
        <v>0</v>
      </c>
      <c r="G135" s="25"/>
      <c r="H135" s="24"/>
      <c r="I135" s="24"/>
      <c r="J135" s="22"/>
      <c r="K135" s="24"/>
      <c r="L135" s="24"/>
      <c r="M135" s="25"/>
      <c r="N135" s="24"/>
      <c r="O135" s="24"/>
      <c r="P135" s="25"/>
      <c r="Q135" s="24"/>
      <c r="R135" s="24"/>
      <c r="S135" s="25"/>
      <c r="T135" s="24"/>
      <c r="U135" s="24"/>
      <c r="V135" s="25"/>
      <c r="W135" s="24"/>
      <c r="X135" s="24"/>
      <c r="Y135" s="25"/>
      <c r="Z135" s="24"/>
      <c r="AA135" s="24"/>
      <c r="AB135" s="25"/>
      <c r="AC135" s="24"/>
      <c r="AD135" s="24"/>
      <c r="AE135" s="25"/>
      <c r="AF135" s="24"/>
      <c r="AG135" s="24"/>
      <c r="AH135" s="22"/>
      <c r="AI135" s="24"/>
      <c r="AJ135" s="24"/>
      <c r="AK135" s="25"/>
      <c r="AL135" s="24"/>
      <c r="AM135" s="24"/>
      <c r="AN135" s="25"/>
      <c r="AO135" s="24"/>
      <c r="AP135" s="24"/>
      <c r="AQ135" s="22"/>
      <c r="AR135" s="36"/>
      <c r="AS135" s="36"/>
      <c r="AT135" s="80"/>
      <c r="AU135" s="84">
        <f t="shared" si="97"/>
        <v>0</v>
      </c>
      <c r="AV135" s="84">
        <f t="shared" si="98"/>
        <v>0</v>
      </c>
      <c r="AW135" s="84">
        <f t="shared" si="99"/>
        <v>0</v>
      </c>
      <c r="AX135" s="84">
        <f t="shared" si="100"/>
        <v>0</v>
      </c>
    </row>
    <row r="136" spans="1:50" ht="23.4" customHeight="1" x14ac:dyDescent="0.3">
      <c r="A136" s="127"/>
      <c r="B136" s="129"/>
      <c r="C136" s="127"/>
      <c r="D136" s="38" t="s">
        <v>4</v>
      </c>
      <c r="E136" s="24">
        <f t="shared" si="155"/>
        <v>0</v>
      </c>
      <c r="F136" s="24">
        <f t="shared" si="155"/>
        <v>0</v>
      </c>
      <c r="G136" s="25"/>
      <c r="H136" s="25"/>
      <c r="I136" s="25"/>
      <c r="J136" s="22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4"/>
      <c r="AD136" s="25"/>
      <c r="AE136" s="25"/>
      <c r="AF136" s="25"/>
      <c r="AG136" s="25"/>
      <c r="AH136" s="22"/>
      <c r="AI136" s="25"/>
      <c r="AJ136" s="25"/>
      <c r="AK136" s="25"/>
      <c r="AL136" s="25"/>
      <c r="AM136" s="25"/>
      <c r="AN136" s="25"/>
      <c r="AO136" s="25"/>
      <c r="AP136" s="25"/>
      <c r="AQ136" s="22"/>
      <c r="AR136" s="119"/>
      <c r="AS136" s="91"/>
      <c r="AT136" s="80"/>
      <c r="AU136" s="86">
        <f t="shared" si="97"/>
        <v>0</v>
      </c>
      <c r="AV136" s="84">
        <f t="shared" si="98"/>
        <v>0</v>
      </c>
      <c r="AW136" s="86">
        <f t="shared" si="99"/>
        <v>0</v>
      </c>
      <c r="AX136" s="88">
        <f t="shared" si="100"/>
        <v>0</v>
      </c>
    </row>
    <row r="137" spans="1:50" ht="49.95" customHeight="1" x14ac:dyDescent="0.3">
      <c r="A137" s="127"/>
      <c r="B137" s="129"/>
      <c r="C137" s="127"/>
      <c r="D137" s="38" t="s">
        <v>44</v>
      </c>
      <c r="E137" s="24">
        <f t="shared" si="155"/>
        <v>108.3</v>
      </c>
      <c r="F137" s="24">
        <f t="shared" si="155"/>
        <v>108.3</v>
      </c>
      <c r="G137" s="25">
        <f t="shared" ref="G137" si="167">F137/E137*100</f>
        <v>100</v>
      </c>
      <c r="H137" s="25"/>
      <c r="I137" s="25"/>
      <c r="J137" s="22"/>
      <c r="K137" s="25"/>
      <c r="L137" s="25"/>
      <c r="M137" s="25"/>
      <c r="N137" s="25"/>
      <c r="O137" s="25"/>
      <c r="P137" s="25"/>
      <c r="Q137" s="25"/>
      <c r="R137" s="25"/>
      <c r="S137" s="22"/>
      <c r="T137" s="25"/>
      <c r="U137" s="25"/>
      <c r="V137" s="25"/>
      <c r="W137" s="25"/>
      <c r="X137" s="25"/>
      <c r="Y137" s="22"/>
      <c r="Z137" s="25"/>
      <c r="AA137" s="25"/>
      <c r="AB137" s="22"/>
      <c r="AC137" s="24">
        <v>108.3</v>
      </c>
      <c r="AD137" s="24">
        <v>108.3</v>
      </c>
      <c r="AE137" s="25">
        <f t="shared" ref="AE137" si="168">AD137/AC137*100</f>
        <v>100</v>
      </c>
      <c r="AF137" s="25"/>
      <c r="AG137" s="25"/>
      <c r="AH137" s="22"/>
      <c r="AI137" s="25"/>
      <c r="AJ137" s="25"/>
      <c r="AK137" s="22"/>
      <c r="AL137" s="25"/>
      <c r="AM137" s="25"/>
      <c r="AN137" s="22"/>
      <c r="AO137" s="25"/>
      <c r="AP137" s="25"/>
      <c r="AQ137" s="22"/>
      <c r="AR137" s="119" t="s">
        <v>158</v>
      </c>
      <c r="AS137" s="36"/>
      <c r="AT137" s="80">
        <f t="shared" si="70"/>
        <v>1</v>
      </c>
      <c r="AU137" s="84">
        <f t="shared" si="97"/>
        <v>0</v>
      </c>
      <c r="AV137" s="84">
        <f t="shared" si="98"/>
        <v>0</v>
      </c>
      <c r="AW137" s="84">
        <f t="shared" si="99"/>
        <v>108.3</v>
      </c>
      <c r="AX137" s="84">
        <f t="shared" si="100"/>
        <v>0</v>
      </c>
    </row>
    <row r="138" spans="1:50" ht="15.75" customHeight="1" thickBot="1" x14ac:dyDescent="0.35">
      <c r="A138" s="127"/>
      <c r="B138" s="130"/>
      <c r="C138" s="127"/>
      <c r="D138" s="38" t="s">
        <v>23</v>
      </c>
      <c r="E138" s="24">
        <f t="shared" si="155"/>
        <v>0</v>
      </c>
      <c r="F138" s="24">
        <f t="shared" si="155"/>
        <v>0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36"/>
      <c r="AS138" s="36"/>
      <c r="AT138" s="80"/>
      <c r="AU138" s="84">
        <f t="shared" si="97"/>
        <v>0</v>
      </c>
      <c r="AV138" s="84">
        <f t="shared" si="98"/>
        <v>0</v>
      </c>
      <c r="AW138" s="84">
        <f t="shared" si="99"/>
        <v>0</v>
      </c>
      <c r="AX138" s="84">
        <f t="shared" si="100"/>
        <v>0</v>
      </c>
    </row>
    <row r="139" spans="1:50" ht="15.75" customHeight="1" x14ac:dyDescent="0.3">
      <c r="A139" s="127" t="s">
        <v>146</v>
      </c>
      <c r="B139" s="128" t="s">
        <v>148</v>
      </c>
      <c r="C139" s="127" t="s">
        <v>6</v>
      </c>
      <c r="D139" s="38" t="s">
        <v>3</v>
      </c>
      <c r="E139" s="24">
        <f t="shared" si="155"/>
        <v>6269.8000000000011</v>
      </c>
      <c r="F139" s="24">
        <f t="shared" si="155"/>
        <v>6192.0999999999995</v>
      </c>
      <c r="G139" s="25">
        <f>F139/E139*100</f>
        <v>98.760726019968715</v>
      </c>
      <c r="H139" s="24">
        <f>H140+H141+H142+H143</f>
        <v>0</v>
      </c>
      <c r="I139" s="24"/>
      <c r="J139" s="22"/>
      <c r="K139" s="24">
        <f t="shared" ref="K139:L139" si="169">K140+K141+K142+K143</f>
        <v>0</v>
      </c>
      <c r="L139" s="24">
        <f t="shared" si="169"/>
        <v>0</v>
      </c>
      <c r="M139" s="25"/>
      <c r="N139" s="24">
        <f t="shared" ref="N139:O139" si="170">N140+N141+N142+N143</f>
        <v>0</v>
      </c>
      <c r="O139" s="24">
        <f t="shared" si="170"/>
        <v>0</v>
      </c>
      <c r="P139" s="25"/>
      <c r="Q139" s="24">
        <f t="shared" ref="Q139:R139" si="171">Q140+Q141+Q142+Q143</f>
        <v>0</v>
      </c>
      <c r="R139" s="24">
        <f t="shared" si="171"/>
        <v>0</v>
      </c>
      <c r="S139" s="25"/>
      <c r="T139" s="24">
        <f t="shared" ref="T139:U139" si="172">T140+T141+T142+T143</f>
        <v>0</v>
      </c>
      <c r="U139" s="24">
        <f t="shared" si="172"/>
        <v>0</v>
      </c>
      <c r="V139" s="25"/>
      <c r="W139" s="24">
        <f t="shared" ref="W139:X139" si="173">W140+W141+W142+W143</f>
        <v>0</v>
      </c>
      <c r="X139" s="24">
        <f t="shared" si="173"/>
        <v>0</v>
      </c>
      <c r="Y139" s="25"/>
      <c r="Z139" s="24">
        <f t="shared" ref="Z139:AA139" si="174">Z140+Z141+Z142+Z143</f>
        <v>0</v>
      </c>
      <c r="AA139" s="24">
        <f t="shared" si="174"/>
        <v>0</v>
      </c>
      <c r="AB139" s="25"/>
      <c r="AC139" s="24">
        <f t="shared" ref="AC139:AD139" si="175">AC140+AC141+AC142+AC143</f>
        <v>0</v>
      </c>
      <c r="AD139" s="24">
        <f t="shared" si="175"/>
        <v>0</v>
      </c>
      <c r="AE139" s="25"/>
      <c r="AF139" s="24">
        <f t="shared" ref="AF139:AG139" si="176">AF140+AF141+AF142+AF143</f>
        <v>1733.1</v>
      </c>
      <c r="AG139" s="24">
        <f t="shared" si="176"/>
        <v>1733.1</v>
      </c>
      <c r="AH139" s="25">
        <f>AG139/AF139*100</f>
        <v>100</v>
      </c>
      <c r="AI139" s="24">
        <f t="shared" ref="AI139:AJ139" si="177">AI140+AI141+AI142+AI143</f>
        <v>4536.7000000000007</v>
      </c>
      <c r="AJ139" s="24">
        <f t="shared" si="177"/>
        <v>3093.7</v>
      </c>
      <c r="AK139" s="25">
        <f>AJ139/AI139*100</f>
        <v>68.192739215729475</v>
      </c>
      <c r="AL139" s="24">
        <f t="shared" ref="AL139:AM139" si="178">AL140+AL141+AL142+AL143</f>
        <v>0</v>
      </c>
      <c r="AM139" s="24">
        <f t="shared" si="178"/>
        <v>1365.3000000000002</v>
      </c>
      <c r="AN139" s="25"/>
      <c r="AO139" s="24">
        <f t="shared" ref="AO139:AP139" si="179">AO140+AO141+AO142+AO143</f>
        <v>0</v>
      </c>
      <c r="AP139" s="24">
        <f t="shared" si="179"/>
        <v>0</v>
      </c>
      <c r="AQ139" s="22"/>
      <c r="AR139" s="36"/>
      <c r="AS139" s="36"/>
      <c r="AT139" s="80">
        <f t="shared" ref="AT139:AT201" si="180">(I139+L139+O139+R139+U139+X139+AA139+AD139+AG139+AJ139+AM139+AP139)/(H139+K139+N139+Q139+T139+W139+Z139+AC139+AF139+AI139+AL139+AO139)</f>
        <v>0.98760726019968714</v>
      </c>
      <c r="AU139" s="84">
        <f t="shared" si="97"/>
        <v>0</v>
      </c>
      <c r="AV139" s="84">
        <f t="shared" si="98"/>
        <v>0</v>
      </c>
      <c r="AW139" s="84">
        <f t="shared" si="99"/>
        <v>1733.1</v>
      </c>
      <c r="AX139" s="84">
        <f t="shared" si="100"/>
        <v>4536.7000000000007</v>
      </c>
    </row>
    <row r="140" spans="1:50" ht="17.25" customHeight="1" x14ac:dyDescent="0.3">
      <c r="A140" s="127"/>
      <c r="B140" s="129"/>
      <c r="C140" s="127"/>
      <c r="D140" s="38" t="s">
        <v>22</v>
      </c>
      <c r="E140" s="24">
        <f t="shared" si="155"/>
        <v>2233.8000000000002</v>
      </c>
      <c r="F140" s="24">
        <f t="shared" si="155"/>
        <v>2233.8000000000002</v>
      </c>
      <c r="G140" s="25">
        <f t="shared" ref="G140:G142" si="181">F140/E140*100</f>
        <v>100</v>
      </c>
      <c r="H140" s="24"/>
      <c r="I140" s="24"/>
      <c r="J140" s="22"/>
      <c r="K140" s="24"/>
      <c r="L140" s="24"/>
      <c r="M140" s="25"/>
      <c r="N140" s="24"/>
      <c r="O140" s="24"/>
      <c r="P140" s="25"/>
      <c r="Q140" s="24"/>
      <c r="R140" s="24"/>
      <c r="S140" s="25"/>
      <c r="T140" s="24"/>
      <c r="U140" s="24"/>
      <c r="V140" s="25"/>
      <c r="W140" s="24"/>
      <c r="X140" s="24"/>
      <c r="Y140" s="25"/>
      <c r="Z140" s="24"/>
      <c r="AA140" s="24"/>
      <c r="AB140" s="25"/>
      <c r="AC140" s="24"/>
      <c r="AD140" s="24"/>
      <c r="AE140" s="25"/>
      <c r="AF140" s="24">
        <v>625.20000000000005</v>
      </c>
      <c r="AG140" s="24">
        <v>625.20000000000005</v>
      </c>
      <c r="AH140" s="25">
        <f t="shared" ref="AH140:AH142" si="182">AG140/AF140*100</f>
        <v>100</v>
      </c>
      <c r="AI140" s="24">
        <f>1982.2-373.6</f>
        <v>1608.6</v>
      </c>
      <c r="AJ140" s="24">
        <v>1116.0999999999999</v>
      </c>
      <c r="AK140" s="25">
        <f t="shared" ref="AK140:AK142" si="183">AJ140/AI140*100</f>
        <v>69.383314683575776</v>
      </c>
      <c r="AL140" s="24"/>
      <c r="AM140" s="24">
        <v>492.5</v>
      </c>
      <c r="AN140" s="25"/>
      <c r="AO140" s="24"/>
      <c r="AP140" s="24"/>
      <c r="AQ140" s="22"/>
      <c r="AR140" s="124" t="s">
        <v>159</v>
      </c>
      <c r="AS140" s="91"/>
      <c r="AT140" s="80">
        <f t="shared" si="180"/>
        <v>1</v>
      </c>
      <c r="AU140" s="84">
        <f t="shared" si="97"/>
        <v>0</v>
      </c>
      <c r="AV140" s="84">
        <f t="shared" si="98"/>
        <v>0</v>
      </c>
      <c r="AW140" s="84">
        <f t="shared" si="99"/>
        <v>625.20000000000005</v>
      </c>
      <c r="AX140" s="84">
        <f t="shared" si="100"/>
        <v>1608.6</v>
      </c>
    </row>
    <row r="141" spans="1:50" ht="27" customHeight="1" x14ac:dyDescent="0.3">
      <c r="A141" s="127"/>
      <c r="B141" s="129"/>
      <c r="C141" s="127"/>
      <c r="D141" s="38" t="s">
        <v>4</v>
      </c>
      <c r="E141" s="24">
        <f t="shared" si="155"/>
        <v>3493.9</v>
      </c>
      <c r="F141" s="24">
        <f t="shared" si="155"/>
        <v>3493.9</v>
      </c>
      <c r="G141" s="25">
        <f t="shared" si="181"/>
        <v>100</v>
      </c>
      <c r="H141" s="25"/>
      <c r="I141" s="25"/>
      <c r="J141" s="22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4">
        <v>977.9</v>
      </c>
      <c r="AG141" s="25">
        <v>977.9</v>
      </c>
      <c r="AH141" s="25">
        <f t="shared" si="182"/>
        <v>100</v>
      </c>
      <c r="AI141" s="24">
        <f>3100.4-584.4</f>
        <v>2516</v>
      </c>
      <c r="AJ141" s="24">
        <v>1745.6</v>
      </c>
      <c r="AK141" s="25">
        <f t="shared" si="183"/>
        <v>69.379968203497612</v>
      </c>
      <c r="AL141" s="25"/>
      <c r="AM141" s="25">
        <v>770.4</v>
      </c>
      <c r="AN141" s="25"/>
      <c r="AO141" s="25"/>
      <c r="AP141" s="25"/>
      <c r="AQ141" s="22"/>
      <c r="AR141" s="125"/>
      <c r="AS141" s="91"/>
      <c r="AT141" s="80">
        <f t="shared" si="180"/>
        <v>1</v>
      </c>
      <c r="AU141" s="86">
        <f t="shared" si="97"/>
        <v>0</v>
      </c>
      <c r="AV141" s="84">
        <f t="shared" si="98"/>
        <v>0</v>
      </c>
      <c r="AW141" s="84">
        <f t="shared" si="99"/>
        <v>977.9</v>
      </c>
      <c r="AX141" s="84">
        <f t="shared" si="100"/>
        <v>2516</v>
      </c>
    </row>
    <row r="142" spans="1:50" ht="49.8" customHeight="1" x14ac:dyDescent="0.3">
      <c r="A142" s="127"/>
      <c r="B142" s="129"/>
      <c r="C142" s="127"/>
      <c r="D142" s="38" t="s">
        <v>44</v>
      </c>
      <c r="E142" s="24">
        <f t="shared" si="155"/>
        <v>542.1</v>
      </c>
      <c r="F142" s="24">
        <f t="shared" si="155"/>
        <v>464.4</v>
      </c>
      <c r="G142" s="25">
        <f t="shared" si="181"/>
        <v>85.666851134477028</v>
      </c>
      <c r="H142" s="25"/>
      <c r="I142" s="25"/>
      <c r="J142" s="22"/>
      <c r="K142" s="25"/>
      <c r="L142" s="25"/>
      <c r="M142" s="25"/>
      <c r="N142" s="25"/>
      <c r="O142" s="25"/>
      <c r="P142" s="25"/>
      <c r="Q142" s="25"/>
      <c r="R142" s="25"/>
      <c r="S142" s="22"/>
      <c r="T142" s="25"/>
      <c r="U142" s="25"/>
      <c r="V142" s="25"/>
      <c r="W142" s="25"/>
      <c r="X142" s="25"/>
      <c r="Y142" s="22"/>
      <c r="Z142" s="25"/>
      <c r="AA142" s="25"/>
      <c r="AB142" s="22"/>
      <c r="AC142" s="25"/>
      <c r="AD142" s="25"/>
      <c r="AE142" s="22"/>
      <c r="AF142" s="24">
        <v>130</v>
      </c>
      <c r="AG142" s="25">
        <v>130</v>
      </c>
      <c r="AH142" s="25">
        <f t="shared" si="182"/>
        <v>100</v>
      </c>
      <c r="AI142" s="24">
        <v>412.1</v>
      </c>
      <c r="AJ142" s="24">
        <v>232</v>
      </c>
      <c r="AK142" s="25">
        <f t="shared" si="183"/>
        <v>56.297015287551567</v>
      </c>
      <c r="AL142" s="25"/>
      <c r="AM142" s="25">
        <v>102.4</v>
      </c>
      <c r="AN142" s="22"/>
      <c r="AO142" s="25"/>
      <c r="AP142" s="25"/>
      <c r="AQ142" s="22"/>
      <c r="AR142" s="126"/>
      <c r="AS142" s="91" t="s">
        <v>192</v>
      </c>
      <c r="AT142" s="80">
        <f t="shared" si="180"/>
        <v>0.85666851134477029</v>
      </c>
      <c r="AU142" s="84">
        <f t="shared" si="97"/>
        <v>0</v>
      </c>
      <c r="AV142" s="84">
        <f t="shared" si="98"/>
        <v>0</v>
      </c>
      <c r="AW142" s="84">
        <f t="shared" si="99"/>
        <v>130</v>
      </c>
      <c r="AX142" s="84">
        <f t="shared" si="100"/>
        <v>412.1</v>
      </c>
    </row>
    <row r="143" spans="1:50" ht="15.75" customHeight="1" thickBot="1" x14ac:dyDescent="0.35">
      <c r="A143" s="127"/>
      <c r="B143" s="130"/>
      <c r="C143" s="127"/>
      <c r="D143" s="38" t="s">
        <v>23</v>
      </c>
      <c r="E143" s="24">
        <f t="shared" si="155"/>
        <v>0</v>
      </c>
      <c r="F143" s="24">
        <f t="shared" si="155"/>
        <v>0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36"/>
      <c r="AS143" s="36"/>
      <c r="AT143" s="80"/>
      <c r="AU143" s="84">
        <f t="shared" si="97"/>
        <v>0</v>
      </c>
      <c r="AV143" s="84">
        <f t="shared" si="98"/>
        <v>0</v>
      </c>
      <c r="AW143" s="84">
        <f t="shared" si="99"/>
        <v>0</v>
      </c>
      <c r="AX143" s="84">
        <f t="shared" si="100"/>
        <v>0</v>
      </c>
    </row>
    <row r="144" spans="1:50" ht="13.2" customHeight="1" x14ac:dyDescent="0.3">
      <c r="A144" s="131" t="s">
        <v>11</v>
      </c>
      <c r="B144" s="131"/>
      <c r="C144" s="131"/>
      <c r="D144" s="39" t="s">
        <v>3</v>
      </c>
      <c r="E144" s="40">
        <f t="shared" si="155"/>
        <v>751907.39999999991</v>
      </c>
      <c r="F144" s="40">
        <f t="shared" si="155"/>
        <v>748458.5</v>
      </c>
      <c r="G144" s="26">
        <f>F144/E144*100</f>
        <v>99.541313198939136</v>
      </c>
      <c r="H144" s="40">
        <f>H146+H145+H147+H148</f>
        <v>18197.8</v>
      </c>
      <c r="I144" s="40">
        <f>I146+I145+I147+I148</f>
        <v>18116.5</v>
      </c>
      <c r="J144" s="26">
        <f>I144/H144*100</f>
        <v>99.553242699666995</v>
      </c>
      <c r="K144" s="40">
        <f t="shared" ref="K144:AP144" si="184">K146+K145+K147+K148</f>
        <v>62387.5</v>
      </c>
      <c r="L144" s="40">
        <f t="shared" si="184"/>
        <v>62541</v>
      </c>
      <c r="M144" s="26">
        <f t="shared" ref="M144:M147" si="185">L144/K144*100</f>
        <v>100.24604287717894</v>
      </c>
      <c r="N144" s="40">
        <f t="shared" si="184"/>
        <v>60683.9</v>
      </c>
      <c r="O144" s="40">
        <f t="shared" si="184"/>
        <v>60641</v>
      </c>
      <c r="P144" s="26">
        <f t="shared" ref="P144:P147" si="186">O144/N144*100</f>
        <v>99.929305796100778</v>
      </c>
      <c r="Q144" s="40">
        <f t="shared" si="184"/>
        <v>67275.5</v>
      </c>
      <c r="R144" s="40">
        <f t="shared" si="184"/>
        <v>68035.199999999997</v>
      </c>
      <c r="S144" s="26">
        <f>R144/Q144*100</f>
        <v>101.12923724089751</v>
      </c>
      <c r="T144" s="40">
        <f t="shared" si="184"/>
        <v>85815.5</v>
      </c>
      <c r="U144" s="40">
        <f t="shared" si="184"/>
        <v>108087.3</v>
      </c>
      <c r="V144" s="26">
        <f>U144/T144*100</f>
        <v>125.95312035704507</v>
      </c>
      <c r="W144" s="40">
        <f t="shared" si="184"/>
        <v>127389.8</v>
      </c>
      <c r="X144" s="40">
        <f t="shared" si="184"/>
        <v>104373.2</v>
      </c>
      <c r="Y144" s="26">
        <f>X144/W144*100</f>
        <v>81.932148413766242</v>
      </c>
      <c r="Z144" s="40">
        <f t="shared" si="184"/>
        <v>46710.8</v>
      </c>
      <c r="AA144" s="40">
        <f t="shared" si="184"/>
        <v>42816.7</v>
      </c>
      <c r="AB144" s="26">
        <f>AA144/Z144*100</f>
        <v>91.663384056791998</v>
      </c>
      <c r="AC144" s="40">
        <f t="shared" si="184"/>
        <v>23106.799999999999</v>
      </c>
      <c r="AD144" s="40">
        <f t="shared" si="184"/>
        <v>22609</v>
      </c>
      <c r="AE144" s="26">
        <f>AD144/AC144*100</f>
        <v>97.845655824259524</v>
      </c>
      <c r="AF144" s="40">
        <f t="shared" si="184"/>
        <v>35468.200000000004</v>
      </c>
      <c r="AG144" s="40">
        <f t="shared" si="184"/>
        <v>39469.1</v>
      </c>
      <c r="AH144" s="26">
        <f>AG144/AF144*100</f>
        <v>111.28024540292429</v>
      </c>
      <c r="AI144" s="40">
        <f t="shared" si="184"/>
        <v>75938.399999999994</v>
      </c>
      <c r="AJ144" s="40">
        <f t="shared" si="184"/>
        <v>63287.299999999996</v>
      </c>
      <c r="AK144" s="26">
        <f>AJ144/AI144*100</f>
        <v>83.340312674483528</v>
      </c>
      <c r="AL144" s="40">
        <f t="shared" si="184"/>
        <v>58747.600000000006</v>
      </c>
      <c r="AM144" s="40">
        <f t="shared" si="184"/>
        <v>58570.7</v>
      </c>
      <c r="AN144" s="26">
        <f>AM144/AL144*100</f>
        <v>99.698881316002684</v>
      </c>
      <c r="AO144" s="40">
        <f t="shared" si="184"/>
        <v>90185.600000000006</v>
      </c>
      <c r="AP144" s="40">
        <f t="shared" si="184"/>
        <v>99911.5</v>
      </c>
      <c r="AQ144" s="26">
        <f>AP144/AO144*100</f>
        <v>110.78431589965581</v>
      </c>
      <c r="AR144" s="36"/>
      <c r="AS144" s="36"/>
      <c r="AT144" s="80">
        <f t="shared" si="180"/>
        <v>0.99541313198939141</v>
      </c>
      <c r="AU144" s="85">
        <f t="shared" si="97"/>
        <v>141269.20000000001</v>
      </c>
      <c r="AV144" s="85">
        <f t="shared" si="98"/>
        <v>280480.8</v>
      </c>
      <c r="AW144" s="85">
        <f t="shared" si="99"/>
        <v>105285.80000000002</v>
      </c>
      <c r="AX144" s="85">
        <f t="shared" si="100"/>
        <v>224871.6</v>
      </c>
    </row>
    <row r="145" spans="1:50" ht="12.75" customHeight="1" x14ac:dyDescent="0.3">
      <c r="A145" s="131"/>
      <c r="B145" s="131"/>
      <c r="C145" s="131"/>
      <c r="D145" s="39" t="s">
        <v>22</v>
      </c>
      <c r="E145" s="40">
        <f t="shared" si="155"/>
        <v>13274.8</v>
      </c>
      <c r="F145" s="40">
        <f t="shared" si="155"/>
        <v>12477.099999999999</v>
      </c>
      <c r="G145" s="26">
        <f>F145/E145*100</f>
        <v>93.990869918944171</v>
      </c>
      <c r="H145" s="40">
        <f>H85+H90+H95+H100+H105+H110+H115+H120+H125+H130+H135+H140</f>
        <v>0</v>
      </c>
      <c r="I145" s="40">
        <f>I85+I90+I95+I100+I105+I110+I115+I120+I125+I130+I135+I140</f>
        <v>0</v>
      </c>
      <c r="J145" s="26"/>
      <c r="K145" s="40">
        <f>K85+K90+K95+K100+K105+K110+K115+K120+K125+K130+K135+K140</f>
        <v>0</v>
      </c>
      <c r="L145" s="40">
        <f>L85+L90+L95+L100+L105+L110+L115+L120+L125+L130+L135+L140</f>
        <v>0</v>
      </c>
      <c r="M145" s="26"/>
      <c r="N145" s="40">
        <f>N85+N90+N95+N100+N105+N110+N115+N120+N125+N130+N135+N140</f>
        <v>0</v>
      </c>
      <c r="O145" s="40">
        <f>O85+O90+O95+O100+O105+O110+O115+O120+O125+O130+O135+O140</f>
        <v>0</v>
      </c>
      <c r="P145" s="26"/>
      <c r="Q145" s="40">
        <f>Q85+Q90+Q95+Q100+Q105+Q110+Q115+Q120+Q125+Q130+Q135+Q140</f>
        <v>0</v>
      </c>
      <c r="R145" s="40">
        <f>R85+R90+R95+R100+R105+R110+R115+R120+R125+R130+R135+R140</f>
        <v>0</v>
      </c>
      <c r="S145" s="26"/>
      <c r="T145" s="40">
        <f>T85+T90+T95+T100+T105+T110+T115+T120+T125+T130+T135+T140</f>
        <v>0</v>
      </c>
      <c r="U145" s="40">
        <f>U85+U90+U95+U100+U105+U110+U115+U120+U125+U130+U135+U140</f>
        <v>0</v>
      </c>
      <c r="V145" s="26"/>
      <c r="W145" s="40">
        <f>W85+W90+W95+W100+W105+W110+W115+W120+W125+W130+W135+W140</f>
        <v>0</v>
      </c>
      <c r="X145" s="40">
        <f>X85+X90+X95+X100+X105+X110+X115+X120+X125+X130+X135+X140</f>
        <v>0</v>
      </c>
      <c r="Y145" s="26"/>
      <c r="Z145" s="40">
        <f>Z85+Z90+Z95+Z100+Z105+Z110+Z115+Z120+Z125+Z130+Z135+Z140</f>
        <v>0</v>
      </c>
      <c r="AA145" s="40">
        <f>AA85+AA90+AA95+AA100+AA105+AA110+AA115+AA120+AA125+AA130+AA135+AA140</f>
        <v>0</v>
      </c>
      <c r="AB145" s="26"/>
      <c r="AC145" s="40">
        <f>AC85+AC90+AC95+AC100+AC105+AC110+AC115+AC120+AC125+AC130+AC135+AC140</f>
        <v>0</v>
      </c>
      <c r="AD145" s="40">
        <f>AD85+AD90+AD95+AD100+AD105+AD110+AD115+AD120+AD125+AD130+AD135+AD140</f>
        <v>0</v>
      </c>
      <c r="AE145" s="26"/>
      <c r="AF145" s="40">
        <f>AF85+AF90+AF95+AF100+AF105+AF110+AF115+AF120+AF125+AF130+AF135+AF140</f>
        <v>3210.8999999999996</v>
      </c>
      <c r="AG145" s="40">
        <f>AG85+AG90+AG95+AG100+AG105+AG110+AG115+AG120+AG125+AG130+AG135+AG140</f>
        <v>3210.8999999999996</v>
      </c>
      <c r="AH145" s="26"/>
      <c r="AI145" s="40">
        <f>AI85+AI90+AI95+AI100+AI105+AI110+AI115+AI120+AI125+AI130+AI135+AI140</f>
        <v>4461.6000000000004</v>
      </c>
      <c r="AJ145" s="40">
        <f>AJ85+AJ90+AJ95+AJ100+AJ105+AJ110+AJ115+AJ120+AJ125+AJ130+AJ135+AJ140</f>
        <v>3661.7</v>
      </c>
      <c r="AK145" s="26">
        <f>AJ145/AI145*100</f>
        <v>82.071454186838793</v>
      </c>
      <c r="AL145" s="40">
        <f>AL85+AL90+AL95+AL100+AL105+AL110+AL115+AL120+AL125+AL130+AL135+AL140</f>
        <v>2800</v>
      </c>
      <c r="AM145" s="40">
        <f>AM85+AM90+AM95+AM100+AM105+AM110+AM115+AM120+AM125+AM130+AM135+AM140</f>
        <v>3066.7</v>
      </c>
      <c r="AN145" s="26">
        <f>AM145/AL145*100</f>
        <v>109.52499999999998</v>
      </c>
      <c r="AO145" s="40">
        <f>AO85+AO90+AO95+AO100+AO105+AO110+AO115+AO120+AO125+AO130+AO135+AO140</f>
        <v>2802.3</v>
      </c>
      <c r="AP145" s="40">
        <f>AP85+AP90+AP95+AP100+AP105+AP110+AP115+AP120+AP125+AP130+AP135+AP140</f>
        <v>2537.8000000000002</v>
      </c>
      <c r="AQ145" s="26">
        <f>AP145/AO145*100</f>
        <v>90.561324626199919</v>
      </c>
      <c r="AR145" s="36"/>
      <c r="AS145" s="36"/>
      <c r="AT145" s="80">
        <f t="shared" si="180"/>
        <v>0.93990869918944164</v>
      </c>
      <c r="AU145" s="85">
        <f t="shared" si="97"/>
        <v>0</v>
      </c>
      <c r="AV145" s="85">
        <f t="shared" si="98"/>
        <v>0</v>
      </c>
      <c r="AW145" s="85">
        <f t="shared" si="99"/>
        <v>3210.8999999999996</v>
      </c>
      <c r="AX145" s="85">
        <f t="shared" si="100"/>
        <v>10063.900000000001</v>
      </c>
    </row>
    <row r="146" spans="1:50" ht="23.25" customHeight="1" x14ac:dyDescent="0.3">
      <c r="A146" s="131"/>
      <c r="B146" s="131"/>
      <c r="C146" s="131"/>
      <c r="D146" s="39" t="s">
        <v>4</v>
      </c>
      <c r="E146" s="40">
        <f t="shared" si="155"/>
        <v>624708.20000000007</v>
      </c>
      <c r="F146" s="40">
        <f t="shared" si="155"/>
        <v>622304.5</v>
      </c>
      <c r="G146" s="26">
        <f t="shared" ref="G146:G147" si="187">F146/E146*100</f>
        <v>99.615228357815681</v>
      </c>
      <c r="H146" s="40">
        <f t="shared" ref="H146:I148" si="188">H86+H91+H96+H101+H106+H111+H116+H121+H126+H131+H136+H141</f>
        <v>14665</v>
      </c>
      <c r="I146" s="40">
        <f t="shared" si="188"/>
        <v>14665</v>
      </c>
      <c r="J146" s="26">
        <f t="shared" ref="J146:J147" si="189">I146/H146*100</f>
        <v>100</v>
      </c>
      <c r="K146" s="40">
        <f t="shared" ref="K146:L148" si="190">K86+K91+K96+K101+K106+K111+K116+K121+K126+K131+K136+K141</f>
        <v>46451</v>
      </c>
      <c r="L146" s="40">
        <f t="shared" si="190"/>
        <v>46451</v>
      </c>
      <c r="M146" s="26">
        <f t="shared" si="185"/>
        <v>100</v>
      </c>
      <c r="N146" s="40">
        <f t="shared" ref="N146:O148" si="191">N86+N91+N96+N101+N106+N111+N116+N121+N126+N131+N136+N141</f>
        <v>48436</v>
      </c>
      <c r="O146" s="40">
        <f t="shared" si="191"/>
        <v>48436</v>
      </c>
      <c r="P146" s="26">
        <f t="shared" si="186"/>
        <v>100</v>
      </c>
      <c r="Q146" s="40">
        <f t="shared" ref="Q146:R148" si="192">Q86+Q91+Q96+Q101+Q106+Q111+Q116+Q121+Q126+Q131+Q136+Q141</f>
        <v>52231.7</v>
      </c>
      <c r="R146" s="40">
        <f t="shared" si="192"/>
        <v>52131.7</v>
      </c>
      <c r="S146" s="26">
        <f t="shared" ref="S146:S147" si="193">R146/Q146*100</f>
        <v>99.808545385273689</v>
      </c>
      <c r="T146" s="40">
        <f t="shared" ref="T146:U148" si="194">T86+T91+T96+T101+T106+T111+T116+T121+T126+T131+T136+T141</f>
        <v>73456.5</v>
      </c>
      <c r="U146" s="40">
        <f t="shared" si="194"/>
        <v>96156.5</v>
      </c>
      <c r="V146" s="26">
        <f t="shared" ref="V146:V147" si="195">U146/T146*100</f>
        <v>130.90264306085913</v>
      </c>
      <c r="W146" s="40">
        <f t="shared" ref="W146:X148" si="196">W86+W91+W96+W101+W106+W111+W116+W121+W126+W131+W136+W141</f>
        <v>121567</v>
      </c>
      <c r="X146" s="40">
        <f t="shared" si="196"/>
        <v>98967</v>
      </c>
      <c r="Y146" s="26">
        <f t="shared" ref="Y146:Y147" si="197">X146/W146*100</f>
        <v>81.409428545575693</v>
      </c>
      <c r="Z146" s="40">
        <f t="shared" ref="Z146:AA148" si="198">Z86+Z91+Z96+Z101+Z106+Z111+Z116+Z121+Z126+Z131+Z136+Z141</f>
        <v>42890.8</v>
      </c>
      <c r="AA146" s="40">
        <f t="shared" si="198"/>
        <v>39417.699999999997</v>
      </c>
      <c r="AB146" s="26">
        <f t="shared" ref="AB146:AB147" si="199">AA146/Z146*100</f>
        <v>91.90245926865434</v>
      </c>
      <c r="AC146" s="40">
        <f t="shared" ref="AC146:AD148" si="200">AC86+AC91+AC96+AC101+AC106+AC111+AC116+AC121+AC126+AC131+AC136+AC141</f>
        <v>17869</v>
      </c>
      <c r="AD146" s="40">
        <f t="shared" si="200"/>
        <v>19475.3</v>
      </c>
      <c r="AE146" s="26">
        <f t="shared" ref="AE146:AE147" si="201">AD146/AC146*100</f>
        <v>108.98931109743131</v>
      </c>
      <c r="AF146" s="40">
        <f t="shared" ref="AF146:AG148" si="202">AF86+AF91+AF96+AF101+AF106+AF111+AF116+AF121+AF126+AF131+AF136+AF141</f>
        <v>28562.9</v>
      </c>
      <c r="AG146" s="40">
        <f t="shared" si="202"/>
        <v>30466.7</v>
      </c>
      <c r="AH146" s="26">
        <f t="shared" ref="AH146:AH147" si="203">AG146/AF146*100</f>
        <v>106.6652895889423</v>
      </c>
      <c r="AI146" s="40">
        <f t="shared" ref="AI146:AJ148" si="204">AI86+AI91+AI96+AI101+AI106+AI111+AI116+AI121+AI126+AI131+AI136+AI141</f>
        <v>57952.1</v>
      </c>
      <c r="AJ146" s="40">
        <f t="shared" si="204"/>
        <v>49029.599999999999</v>
      </c>
      <c r="AK146" s="26">
        <f t="shared" ref="AK146:AK147" si="205">AJ146/AI146*100</f>
        <v>84.60366406049134</v>
      </c>
      <c r="AL146" s="40">
        <f t="shared" ref="AL146:AM148" si="206">AL86+AL91+AL96+AL101+AL106+AL111+AL116+AL121+AL126+AL131+AL136+AL141</f>
        <v>45745.8</v>
      </c>
      <c r="AM146" s="40">
        <f t="shared" si="206"/>
        <v>45934.5</v>
      </c>
      <c r="AN146" s="26">
        <f t="shared" ref="AN146:AN147" si="207">AM146/AL146*100</f>
        <v>100.41249688495992</v>
      </c>
      <c r="AO146" s="40">
        <f t="shared" ref="AO146:AP148" si="208">AO86+AO91+AO96+AO101+AO106+AO111+AO116+AO121+AO126+AO131+AO136+AO141</f>
        <v>74880.400000000009</v>
      </c>
      <c r="AP146" s="40">
        <f t="shared" si="208"/>
        <v>81173.5</v>
      </c>
      <c r="AQ146" s="26">
        <f t="shared" ref="AQ146:AQ147" si="209">AP146/AO146*100</f>
        <v>108.40420190063087</v>
      </c>
      <c r="AR146" s="36"/>
      <c r="AS146" s="36"/>
      <c r="AT146" s="80">
        <f t="shared" si="180"/>
        <v>0.99615228357815688</v>
      </c>
      <c r="AU146" s="85">
        <f t="shared" si="97"/>
        <v>109552</v>
      </c>
      <c r="AV146" s="85">
        <f t="shared" si="98"/>
        <v>247255.2</v>
      </c>
      <c r="AW146" s="85">
        <f t="shared" si="99"/>
        <v>89322.700000000012</v>
      </c>
      <c r="AX146" s="85">
        <f t="shared" si="100"/>
        <v>178578.3</v>
      </c>
    </row>
    <row r="147" spans="1:50" ht="15.6" x14ac:dyDescent="0.3">
      <c r="A147" s="131"/>
      <c r="B147" s="131"/>
      <c r="C147" s="131"/>
      <c r="D147" s="39" t="s">
        <v>44</v>
      </c>
      <c r="E147" s="40">
        <f t="shared" si="155"/>
        <v>113924.4</v>
      </c>
      <c r="F147" s="40">
        <f t="shared" si="155"/>
        <v>113676.9</v>
      </c>
      <c r="G147" s="26">
        <f t="shared" si="187"/>
        <v>99.782750666231294</v>
      </c>
      <c r="H147" s="40">
        <f t="shared" si="188"/>
        <v>3532.8</v>
      </c>
      <c r="I147" s="40">
        <f t="shared" si="188"/>
        <v>3451.5</v>
      </c>
      <c r="J147" s="26">
        <f t="shared" si="189"/>
        <v>97.698709239130437</v>
      </c>
      <c r="K147" s="40">
        <f t="shared" si="190"/>
        <v>15936.5</v>
      </c>
      <c r="L147" s="40">
        <f t="shared" si="190"/>
        <v>16090</v>
      </c>
      <c r="M147" s="26">
        <f t="shared" si="185"/>
        <v>100.9631976908355</v>
      </c>
      <c r="N147" s="40">
        <f t="shared" si="191"/>
        <v>12247.9</v>
      </c>
      <c r="O147" s="40">
        <f t="shared" si="191"/>
        <v>12205</v>
      </c>
      <c r="P147" s="26">
        <f t="shared" si="186"/>
        <v>99.649735873088446</v>
      </c>
      <c r="Q147" s="40">
        <f t="shared" si="192"/>
        <v>15043.8</v>
      </c>
      <c r="R147" s="40">
        <f t="shared" si="192"/>
        <v>15903.5</v>
      </c>
      <c r="S147" s="26">
        <f t="shared" si="193"/>
        <v>105.71464656536247</v>
      </c>
      <c r="T147" s="40">
        <f t="shared" si="194"/>
        <v>12359</v>
      </c>
      <c r="U147" s="40">
        <f t="shared" si="194"/>
        <v>11930.8</v>
      </c>
      <c r="V147" s="26">
        <f t="shared" si="195"/>
        <v>96.535318391455618</v>
      </c>
      <c r="W147" s="40">
        <f t="shared" si="196"/>
        <v>5822.8</v>
      </c>
      <c r="X147" s="40">
        <f t="shared" si="196"/>
        <v>5406.2</v>
      </c>
      <c r="Y147" s="26">
        <f t="shared" si="197"/>
        <v>92.845366490348283</v>
      </c>
      <c r="Z147" s="40">
        <f t="shared" si="198"/>
        <v>3820</v>
      </c>
      <c r="AA147" s="40">
        <f t="shared" si="198"/>
        <v>3399</v>
      </c>
      <c r="AB147" s="26">
        <f t="shared" si="199"/>
        <v>88.979057591623032</v>
      </c>
      <c r="AC147" s="40">
        <f t="shared" si="200"/>
        <v>5237.8</v>
      </c>
      <c r="AD147" s="40">
        <f t="shared" si="200"/>
        <v>3133.7000000000003</v>
      </c>
      <c r="AE147" s="26">
        <f t="shared" si="201"/>
        <v>59.828553973042119</v>
      </c>
      <c r="AF147" s="40">
        <f t="shared" si="202"/>
        <v>3694.3999999999996</v>
      </c>
      <c r="AG147" s="40">
        <f t="shared" si="202"/>
        <v>5791.5</v>
      </c>
      <c r="AH147" s="26">
        <f t="shared" si="203"/>
        <v>156.76429190125597</v>
      </c>
      <c r="AI147" s="40">
        <f t="shared" si="204"/>
        <v>13524.7</v>
      </c>
      <c r="AJ147" s="40">
        <f t="shared" si="204"/>
        <v>10596</v>
      </c>
      <c r="AK147" s="26">
        <f t="shared" si="205"/>
        <v>78.345545557387581</v>
      </c>
      <c r="AL147" s="40">
        <f t="shared" si="206"/>
        <v>10201.799999999999</v>
      </c>
      <c r="AM147" s="40">
        <f t="shared" si="206"/>
        <v>9569.5</v>
      </c>
      <c r="AN147" s="26">
        <f t="shared" si="207"/>
        <v>93.802074143778555</v>
      </c>
      <c r="AO147" s="40">
        <f t="shared" si="208"/>
        <v>12502.899999999998</v>
      </c>
      <c r="AP147" s="40">
        <f t="shared" si="208"/>
        <v>16200.2</v>
      </c>
      <c r="AQ147" s="26">
        <f t="shared" si="209"/>
        <v>129.57153940285858</v>
      </c>
      <c r="AR147" s="36"/>
      <c r="AS147" s="36"/>
      <c r="AT147" s="80">
        <f t="shared" si="180"/>
        <v>0.9978275066623129</v>
      </c>
      <c r="AU147" s="85">
        <f t="shared" si="97"/>
        <v>31717.199999999997</v>
      </c>
      <c r="AV147" s="85">
        <f t="shared" si="98"/>
        <v>33225.599999999999</v>
      </c>
      <c r="AW147" s="85">
        <f t="shared" si="99"/>
        <v>12752.199999999999</v>
      </c>
      <c r="AX147" s="85">
        <f t="shared" si="100"/>
        <v>36229.399999999994</v>
      </c>
    </row>
    <row r="148" spans="1:50" ht="15.75" customHeight="1" x14ac:dyDescent="0.3">
      <c r="A148" s="131"/>
      <c r="B148" s="131"/>
      <c r="C148" s="131"/>
      <c r="D148" s="39" t="s">
        <v>23</v>
      </c>
      <c r="E148" s="40">
        <f t="shared" si="155"/>
        <v>0</v>
      </c>
      <c r="F148" s="40">
        <f t="shared" si="155"/>
        <v>0</v>
      </c>
      <c r="G148" s="40"/>
      <c r="H148" s="40">
        <f t="shared" si="188"/>
        <v>0</v>
      </c>
      <c r="I148" s="40">
        <f t="shared" si="188"/>
        <v>0</v>
      </c>
      <c r="J148" s="40"/>
      <c r="K148" s="40">
        <f t="shared" si="190"/>
        <v>0</v>
      </c>
      <c r="L148" s="40">
        <f t="shared" si="190"/>
        <v>0</v>
      </c>
      <c r="M148" s="26"/>
      <c r="N148" s="40">
        <f t="shared" si="191"/>
        <v>0</v>
      </c>
      <c r="O148" s="40">
        <f t="shared" si="191"/>
        <v>0</v>
      </c>
      <c r="P148" s="40"/>
      <c r="Q148" s="40">
        <f t="shared" si="192"/>
        <v>0</v>
      </c>
      <c r="R148" s="40">
        <f t="shared" si="192"/>
        <v>0</v>
      </c>
      <c r="S148" s="40"/>
      <c r="T148" s="40">
        <f t="shared" si="194"/>
        <v>0</v>
      </c>
      <c r="U148" s="40">
        <f t="shared" si="194"/>
        <v>0</v>
      </c>
      <c r="V148" s="40"/>
      <c r="W148" s="40">
        <f t="shared" si="196"/>
        <v>0</v>
      </c>
      <c r="X148" s="40">
        <f t="shared" si="196"/>
        <v>0</v>
      </c>
      <c r="Y148" s="40"/>
      <c r="Z148" s="40">
        <f t="shared" si="198"/>
        <v>0</v>
      </c>
      <c r="AA148" s="40">
        <f t="shared" si="198"/>
        <v>0</v>
      </c>
      <c r="AB148" s="40"/>
      <c r="AC148" s="40">
        <f t="shared" si="200"/>
        <v>0</v>
      </c>
      <c r="AD148" s="40">
        <f t="shared" si="200"/>
        <v>0</v>
      </c>
      <c r="AE148" s="40"/>
      <c r="AF148" s="40">
        <f t="shared" si="202"/>
        <v>0</v>
      </c>
      <c r="AG148" s="40">
        <f t="shared" si="202"/>
        <v>0</v>
      </c>
      <c r="AH148" s="40"/>
      <c r="AI148" s="40">
        <f t="shared" si="204"/>
        <v>0</v>
      </c>
      <c r="AJ148" s="40">
        <f t="shared" si="204"/>
        <v>0</v>
      </c>
      <c r="AK148" s="40"/>
      <c r="AL148" s="40">
        <f t="shared" si="206"/>
        <v>0</v>
      </c>
      <c r="AM148" s="40">
        <f t="shared" si="206"/>
        <v>0</v>
      </c>
      <c r="AN148" s="40"/>
      <c r="AO148" s="40">
        <f t="shared" si="208"/>
        <v>0</v>
      </c>
      <c r="AP148" s="24"/>
      <c r="AQ148" s="40"/>
      <c r="AR148" s="36"/>
      <c r="AS148" s="36"/>
      <c r="AT148" s="80"/>
      <c r="AU148" s="84">
        <f t="shared" si="97"/>
        <v>0</v>
      </c>
      <c r="AV148" s="84">
        <f t="shared" si="98"/>
        <v>0</v>
      </c>
      <c r="AW148" s="84">
        <f t="shared" si="99"/>
        <v>0</v>
      </c>
      <c r="AX148" s="84">
        <f t="shared" si="100"/>
        <v>0</v>
      </c>
    </row>
    <row r="149" spans="1:50" ht="15.6" x14ac:dyDescent="0.3">
      <c r="A149" s="44" t="s">
        <v>63</v>
      </c>
      <c r="B149" s="37" t="s">
        <v>12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6"/>
      <c r="AS149" s="36"/>
      <c r="AT149" s="80"/>
      <c r="AU149" s="84">
        <f t="shared" si="97"/>
        <v>0</v>
      </c>
      <c r="AV149" s="84">
        <f t="shared" si="98"/>
        <v>0</v>
      </c>
      <c r="AW149" s="84">
        <f t="shared" si="99"/>
        <v>0</v>
      </c>
      <c r="AX149" s="84">
        <f t="shared" si="100"/>
        <v>0</v>
      </c>
    </row>
    <row r="150" spans="1:50" ht="12" customHeight="1" x14ac:dyDescent="0.3">
      <c r="A150" s="127" t="s">
        <v>64</v>
      </c>
      <c r="B150" s="127" t="s">
        <v>98</v>
      </c>
      <c r="C150" s="127" t="s">
        <v>6</v>
      </c>
      <c r="D150" s="38" t="s">
        <v>3</v>
      </c>
      <c r="E150" s="24">
        <f t="shared" ref="E150:F165" si="210">H150+K150+N150+Q150+T150+W150+Z150+AC150+AF150+AI150+AL150+AO150</f>
        <v>20.2</v>
      </c>
      <c r="F150" s="24">
        <f t="shared" si="210"/>
        <v>20.2</v>
      </c>
      <c r="G150" s="25">
        <f>F150/E150*100</f>
        <v>100</v>
      </c>
      <c r="H150" s="24">
        <f>H151+H152+H153+H154</f>
        <v>30</v>
      </c>
      <c r="I150" s="24">
        <f>I151+I152+I153+I154</f>
        <v>20.2</v>
      </c>
      <c r="J150" s="25">
        <f>I150/H150*100</f>
        <v>67.333333333333329</v>
      </c>
      <c r="K150" s="24">
        <f t="shared" ref="K150:AP150" si="211">K151+K152+K153+K154</f>
        <v>0</v>
      </c>
      <c r="L150" s="24">
        <f t="shared" si="211"/>
        <v>0</v>
      </c>
      <c r="M150" s="25"/>
      <c r="N150" s="24">
        <f t="shared" si="211"/>
        <v>-9.8000000000000007</v>
      </c>
      <c r="O150" s="24"/>
      <c r="P150" s="22"/>
      <c r="Q150" s="24">
        <f t="shared" si="211"/>
        <v>0</v>
      </c>
      <c r="R150" s="24"/>
      <c r="S150" s="22"/>
      <c r="T150" s="24">
        <f t="shared" si="211"/>
        <v>0</v>
      </c>
      <c r="U150" s="24"/>
      <c r="V150" s="22"/>
      <c r="W150" s="24">
        <f t="shared" si="211"/>
        <v>0</v>
      </c>
      <c r="X150" s="24"/>
      <c r="Y150" s="22"/>
      <c r="Z150" s="24">
        <f t="shared" si="211"/>
        <v>0</v>
      </c>
      <c r="AA150" s="24"/>
      <c r="AB150" s="22"/>
      <c r="AC150" s="24">
        <f t="shared" si="211"/>
        <v>0</v>
      </c>
      <c r="AD150" s="24"/>
      <c r="AE150" s="22"/>
      <c r="AF150" s="24">
        <f t="shared" si="211"/>
        <v>0</v>
      </c>
      <c r="AG150" s="24">
        <f t="shared" si="211"/>
        <v>0</v>
      </c>
      <c r="AH150" s="22"/>
      <c r="AI150" s="24">
        <f t="shared" si="211"/>
        <v>0</v>
      </c>
      <c r="AJ150" s="24">
        <f t="shared" si="211"/>
        <v>0</v>
      </c>
      <c r="AK150" s="25"/>
      <c r="AL150" s="24">
        <f t="shared" si="211"/>
        <v>0</v>
      </c>
      <c r="AM150" s="24"/>
      <c r="AN150" s="25"/>
      <c r="AO150" s="24">
        <f t="shared" si="211"/>
        <v>0</v>
      </c>
      <c r="AP150" s="24">
        <f t="shared" si="211"/>
        <v>0</v>
      </c>
      <c r="AQ150" s="22"/>
      <c r="AR150" s="36"/>
      <c r="AS150" s="36"/>
      <c r="AT150" s="80">
        <f t="shared" si="180"/>
        <v>1</v>
      </c>
      <c r="AU150" s="84">
        <f t="shared" si="97"/>
        <v>20.2</v>
      </c>
      <c r="AV150" s="84">
        <f t="shared" si="98"/>
        <v>0</v>
      </c>
      <c r="AW150" s="84">
        <f t="shared" si="99"/>
        <v>0</v>
      </c>
      <c r="AX150" s="84">
        <f t="shared" si="100"/>
        <v>0</v>
      </c>
    </row>
    <row r="151" spans="1:50" ht="12" customHeight="1" x14ac:dyDescent="0.3">
      <c r="A151" s="127"/>
      <c r="B151" s="127"/>
      <c r="C151" s="127"/>
      <c r="D151" s="38" t="s">
        <v>22</v>
      </c>
      <c r="E151" s="24">
        <f t="shared" si="210"/>
        <v>0</v>
      </c>
      <c r="F151" s="24">
        <f t="shared" si="210"/>
        <v>0</v>
      </c>
      <c r="G151" s="25"/>
      <c r="H151" s="24"/>
      <c r="I151" s="24"/>
      <c r="J151" s="25"/>
      <c r="K151" s="24"/>
      <c r="L151" s="24"/>
      <c r="M151" s="25"/>
      <c r="N151" s="24"/>
      <c r="O151" s="24"/>
      <c r="P151" s="22"/>
      <c r="Q151" s="24"/>
      <c r="R151" s="24"/>
      <c r="S151" s="22"/>
      <c r="T151" s="24"/>
      <c r="U151" s="24"/>
      <c r="V151" s="22"/>
      <c r="W151" s="24"/>
      <c r="X151" s="24"/>
      <c r="Y151" s="22"/>
      <c r="Z151" s="24"/>
      <c r="AA151" s="24"/>
      <c r="AB151" s="22"/>
      <c r="AC151" s="24"/>
      <c r="AD151" s="24"/>
      <c r="AE151" s="22"/>
      <c r="AF151" s="24"/>
      <c r="AG151" s="24"/>
      <c r="AH151" s="22"/>
      <c r="AI151" s="24"/>
      <c r="AJ151" s="24"/>
      <c r="AK151" s="25"/>
      <c r="AL151" s="24"/>
      <c r="AM151" s="24"/>
      <c r="AN151" s="25"/>
      <c r="AO151" s="24"/>
      <c r="AP151" s="24"/>
      <c r="AQ151" s="22"/>
      <c r="AR151" s="36"/>
      <c r="AS151" s="36"/>
      <c r="AT151" s="80"/>
      <c r="AU151" s="84">
        <f t="shared" si="97"/>
        <v>0</v>
      </c>
      <c r="AV151" s="84">
        <f t="shared" si="98"/>
        <v>0</v>
      </c>
      <c r="AW151" s="84">
        <f t="shared" si="99"/>
        <v>0</v>
      </c>
      <c r="AX151" s="84">
        <f t="shared" si="100"/>
        <v>0</v>
      </c>
    </row>
    <row r="152" spans="1:50" ht="14.25" customHeight="1" x14ac:dyDescent="0.3">
      <c r="A152" s="127"/>
      <c r="B152" s="127"/>
      <c r="C152" s="127"/>
      <c r="D152" s="38" t="s">
        <v>4</v>
      </c>
      <c r="E152" s="24">
        <f t="shared" si="210"/>
        <v>0</v>
      </c>
      <c r="F152" s="24">
        <f t="shared" si="210"/>
        <v>0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2"/>
      <c r="Q152" s="25"/>
      <c r="R152" s="25"/>
      <c r="S152" s="22"/>
      <c r="T152" s="25"/>
      <c r="U152" s="25"/>
      <c r="V152" s="22"/>
      <c r="W152" s="25"/>
      <c r="X152" s="25"/>
      <c r="Y152" s="22"/>
      <c r="Z152" s="25"/>
      <c r="AA152" s="25"/>
      <c r="AB152" s="22"/>
      <c r="AC152" s="25"/>
      <c r="AD152" s="25"/>
      <c r="AE152" s="22"/>
      <c r="AF152" s="25"/>
      <c r="AG152" s="25"/>
      <c r="AH152" s="22"/>
      <c r="AI152" s="25"/>
      <c r="AJ152" s="25"/>
      <c r="AK152" s="25"/>
      <c r="AL152" s="25"/>
      <c r="AM152" s="25"/>
      <c r="AN152" s="25"/>
      <c r="AO152" s="25"/>
      <c r="AP152" s="25"/>
      <c r="AQ152" s="22"/>
      <c r="AR152" s="36"/>
      <c r="AS152" s="36"/>
      <c r="AT152" s="80"/>
      <c r="AU152" s="84">
        <f t="shared" si="97"/>
        <v>0</v>
      </c>
      <c r="AV152" s="84">
        <f t="shared" si="98"/>
        <v>0</v>
      </c>
      <c r="AW152" s="84">
        <f t="shared" si="99"/>
        <v>0</v>
      </c>
      <c r="AX152" s="84">
        <f t="shared" si="100"/>
        <v>0</v>
      </c>
    </row>
    <row r="153" spans="1:50" ht="37.200000000000003" customHeight="1" x14ac:dyDescent="0.3">
      <c r="A153" s="127"/>
      <c r="B153" s="127"/>
      <c r="C153" s="127"/>
      <c r="D153" s="38" t="s">
        <v>44</v>
      </c>
      <c r="E153" s="24">
        <f t="shared" si="210"/>
        <v>20.2</v>
      </c>
      <c r="F153" s="24">
        <f t="shared" si="210"/>
        <v>20.2</v>
      </c>
      <c r="G153" s="25">
        <f t="shared" ref="G153" si="212">F153/E153*100</f>
        <v>100</v>
      </c>
      <c r="H153" s="25">
        <v>30</v>
      </c>
      <c r="I153" s="25">
        <v>20.2</v>
      </c>
      <c r="J153" s="25">
        <f t="shared" ref="J153" si="213">I153/H153*100</f>
        <v>67.333333333333329</v>
      </c>
      <c r="K153" s="25">
        <f>30-30</f>
        <v>0</v>
      </c>
      <c r="L153" s="25"/>
      <c r="M153" s="25"/>
      <c r="N153" s="25">
        <v>-9.8000000000000007</v>
      </c>
      <c r="O153" s="25"/>
      <c r="P153" s="22"/>
      <c r="Q153" s="25"/>
      <c r="R153" s="25"/>
      <c r="S153" s="22"/>
      <c r="T153" s="25"/>
      <c r="U153" s="25"/>
      <c r="V153" s="22"/>
      <c r="W153" s="25"/>
      <c r="X153" s="25"/>
      <c r="Y153" s="22"/>
      <c r="Z153" s="25"/>
      <c r="AA153" s="25"/>
      <c r="AB153" s="22"/>
      <c r="AC153" s="25"/>
      <c r="AD153" s="25"/>
      <c r="AE153" s="22"/>
      <c r="AF153" s="25"/>
      <c r="AG153" s="25"/>
      <c r="AH153" s="22"/>
      <c r="AI153" s="25">
        <f>15-15</f>
        <v>0</v>
      </c>
      <c r="AJ153" s="25">
        <v>0</v>
      </c>
      <c r="AK153" s="25"/>
      <c r="AL153" s="25">
        <f>9.8-9.8</f>
        <v>0</v>
      </c>
      <c r="AM153" s="25"/>
      <c r="AN153" s="25"/>
      <c r="AO153" s="25"/>
      <c r="AP153" s="25"/>
      <c r="AQ153" s="22"/>
      <c r="AR153" s="119" t="s">
        <v>137</v>
      </c>
      <c r="AS153" s="36"/>
      <c r="AT153" s="80">
        <f t="shared" si="180"/>
        <v>1</v>
      </c>
      <c r="AU153" s="84">
        <f t="shared" si="97"/>
        <v>20.2</v>
      </c>
      <c r="AV153" s="84">
        <f t="shared" si="98"/>
        <v>0</v>
      </c>
      <c r="AW153" s="84">
        <f t="shared" si="99"/>
        <v>0</v>
      </c>
      <c r="AX153" s="84">
        <f t="shared" si="100"/>
        <v>0</v>
      </c>
    </row>
    <row r="154" spans="1:50" ht="15.75" customHeight="1" x14ac:dyDescent="0.3">
      <c r="A154" s="127"/>
      <c r="B154" s="127"/>
      <c r="C154" s="127"/>
      <c r="D154" s="38" t="s">
        <v>23</v>
      </c>
      <c r="E154" s="24">
        <f t="shared" si="210"/>
        <v>0</v>
      </c>
      <c r="F154" s="24">
        <f t="shared" si="210"/>
        <v>0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36"/>
      <c r="AS154" s="36"/>
      <c r="AT154" s="80"/>
      <c r="AU154" s="84">
        <f t="shared" si="97"/>
        <v>0</v>
      </c>
      <c r="AV154" s="84">
        <f t="shared" si="98"/>
        <v>0</v>
      </c>
      <c r="AW154" s="84">
        <f t="shared" si="99"/>
        <v>0</v>
      </c>
      <c r="AX154" s="84">
        <f t="shared" si="100"/>
        <v>0</v>
      </c>
    </row>
    <row r="155" spans="1:50" ht="15.75" customHeight="1" x14ac:dyDescent="0.3">
      <c r="A155" s="127" t="s">
        <v>65</v>
      </c>
      <c r="B155" s="127" t="s">
        <v>99</v>
      </c>
      <c r="C155" s="127" t="s">
        <v>6</v>
      </c>
      <c r="D155" s="38" t="s">
        <v>3</v>
      </c>
      <c r="E155" s="24">
        <f t="shared" si="210"/>
        <v>29.7</v>
      </c>
      <c r="F155" s="24">
        <f t="shared" si="210"/>
        <v>29.7</v>
      </c>
      <c r="G155" s="25">
        <f>F155/E155*100</f>
        <v>100</v>
      </c>
      <c r="H155" s="24">
        <f>H156+H157+H158+H159</f>
        <v>0</v>
      </c>
      <c r="I155" s="24"/>
      <c r="J155" s="22"/>
      <c r="K155" s="24">
        <f t="shared" ref="K155:AP155" si="214">K156+K157+K158+K159</f>
        <v>0</v>
      </c>
      <c r="L155" s="24"/>
      <c r="M155" s="22"/>
      <c r="N155" s="24">
        <f t="shared" si="214"/>
        <v>0</v>
      </c>
      <c r="O155" s="24"/>
      <c r="P155" s="22"/>
      <c r="Q155" s="24">
        <f t="shared" si="214"/>
        <v>0</v>
      </c>
      <c r="R155" s="24"/>
      <c r="S155" s="22"/>
      <c r="T155" s="24">
        <f t="shared" si="214"/>
        <v>0</v>
      </c>
      <c r="U155" s="24"/>
      <c r="V155" s="22"/>
      <c r="W155" s="24">
        <f t="shared" si="214"/>
        <v>0</v>
      </c>
      <c r="X155" s="24"/>
      <c r="Y155" s="22"/>
      <c r="Z155" s="24">
        <f t="shared" si="214"/>
        <v>0</v>
      </c>
      <c r="AA155" s="24"/>
      <c r="AB155" s="22"/>
      <c r="AC155" s="24">
        <f t="shared" si="214"/>
        <v>0</v>
      </c>
      <c r="AD155" s="24"/>
      <c r="AE155" s="22"/>
      <c r="AF155" s="24">
        <f t="shared" si="214"/>
        <v>7.8</v>
      </c>
      <c r="AG155" s="24">
        <f t="shared" si="214"/>
        <v>7.8</v>
      </c>
      <c r="AH155" s="25">
        <f>AG155/AF155*100</f>
        <v>100</v>
      </c>
      <c r="AI155" s="24">
        <f t="shared" si="214"/>
        <v>0</v>
      </c>
      <c r="AJ155" s="24">
        <f t="shared" si="214"/>
        <v>0</v>
      </c>
      <c r="AK155" s="25"/>
      <c r="AL155" s="24">
        <f t="shared" si="214"/>
        <v>0</v>
      </c>
      <c r="AM155" s="24"/>
      <c r="AN155" s="25"/>
      <c r="AO155" s="24">
        <f t="shared" si="214"/>
        <v>21.9</v>
      </c>
      <c r="AP155" s="24">
        <f t="shared" si="214"/>
        <v>21.9</v>
      </c>
      <c r="AQ155" s="25">
        <f>AP155/AO155*100</f>
        <v>100</v>
      </c>
      <c r="AR155" s="36"/>
      <c r="AS155" s="36"/>
      <c r="AT155" s="80">
        <f t="shared" si="180"/>
        <v>1</v>
      </c>
      <c r="AU155" s="84">
        <f t="shared" si="97"/>
        <v>0</v>
      </c>
      <c r="AV155" s="84">
        <f t="shared" si="98"/>
        <v>0</v>
      </c>
      <c r="AW155" s="84">
        <f t="shared" si="99"/>
        <v>7.8</v>
      </c>
      <c r="AX155" s="84">
        <f t="shared" si="100"/>
        <v>21.9</v>
      </c>
    </row>
    <row r="156" spans="1:50" ht="15.6" x14ac:dyDescent="0.3">
      <c r="A156" s="127"/>
      <c r="B156" s="127"/>
      <c r="C156" s="127"/>
      <c r="D156" s="38" t="s">
        <v>22</v>
      </c>
      <c r="E156" s="24">
        <f t="shared" si="210"/>
        <v>0</v>
      </c>
      <c r="F156" s="24">
        <f t="shared" si="210"/>
        <v>0</v>
      </c>
      <c r="G156" s="25"/>
      <c r="H156" s="24"/>
      <c r="I156" s="24"/>
      <c r="J156" s="22"/>
      <c r="K156" s="24"/>
      <c r="L156" s="24"/>
      <c r="M156" s="22"/>
      <c r="N156" s="24"/>
      <c r="O156" s="24"/>
      <c r="P156" s="22"/>
      <c r="Q156" s="24"/>
      <c r="R156" s="24"/>
      <c r="S156" s="22"/>
      <c r="T156" s="24"/>
      <c r="U156" s="24"/>
      <c r="V156" s="22"/>
      <c r="W156" s="24"/>
      <c r="X156" s="24"/>
      <c r="Y156" s="22"/>
      <c r="Z156" s="24"/>
      <c r="AA156" s="24"/>
      <c r="AB156" s="22"/>
      <c r="AC156" s="24"/>
      <c r="AD156" s="24"/>
      <c r="AE156" s="22"/>
      <c r="AF156" s="24"/>
      <c r="AG156" s="24"/>
      <c r="AH156" s="25"/>
      <c r="AI156" s="24"/>
      <c r="AJ156" s="24"/>
      <c r="AK156" s="25"/>
      <c r="AL156" s="24"/>
      <c r="AM156" s="24"/>
      <c r="AN156" s="25"/>
      <c r="AO156" s="24"/>
      <c r="AP156" s="24"/>
      <c r="AQ156" s="25"/>
      <c r="AR156" s="36"/>
      <c r="AS156" s="36"/>
      <c r="AT156" s="80"/>
      <c r="AU156" s="84">
        <f t="shared" si="97"/>
        <v>0</v>
      </c>
      <c r="AV156" s="84">
        <f t="shared" si="98"/>
        <v>0</v>
      </c>
      <c r="AW156" s="84">
        <f t="shared" si="99"/>
        <v>0</v>
      </c>
      <c r="AX156" s="84">
        <f t="shared" si="100"/>
        <v>0</v>
      </c>
    </row>
    <row r="157" spans="1:50" ht="24" x14ac:dyDescent="0.3">
      <c r="A157" s="127"/>
      <c r="B157" s="127"/>
      <c r="C157" s="127"/>
      <c r="D157" s="38" t="s">
        <v>4</v>
      </c>
      <c r="E157" s="24">
        <f t="shared" si="210"/>
        <v>0</v>
      </c>
      <c r="F157" s="24">
        <f t="shared" si="210"/>
        <v>0</v>
      </c>
      <c r="G157" s="25"/>
      <c r="H157" s="25"/>
      <c r="I157" s="25"/>
      <c r="J157" s="22"/>
      <c r="K157" s="25"/>
      <c r="L157" s="25"/>
      <c r="M157" s="22"/>
      <c r="N157" s="25"/>
      <c r="O157" s="25"/>
      <c r="P157" s="22"/>
      <c r="Q157" s="25"/>
      <c r="R157" s="25"/>
      <c r="S157" s="22"/>
      <c r="T157" s="25"/>
      <c r="U157" s="25"/>
      <c r="V157" s="22"/>
      <c r="W157" s="25"/>
      <c r="X157" s="25"/>
      <c r="Y157" s="22"/>
      <c r="Z157" s="25"/>
      <c r="AA157" s="25"/>
      <c r="AB157" s="22"/>
      <c r="AC157" s="25"/>
      <c r="AD157" s="25"/>
      <c r="AE157" s="22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36"/>
      <c r="AS157" s="36"/>
      <c r="AT157" s="80"/>
      <c r="AU157" s="84">
        <f t="shared" si="97"/>
        <v>0</v>
      </c>
      <c r="AV157" s="84">
        <f t="shared" si="98"/>
        <v>0</v>
      </c>
      <c r="AW157" s="84">
        <f t="shared" si="99"/>
        <v>0</v>
      </c>
      <c r="AX157" s="84">
        <f t="shared" si="100"/>
        <v>0</v>
      </c>
    </row>
    <row r="158" spans="1:50" ht="51" customHeight="1" x14ac:dyDescent="0.3">
      <c r="A158" s="127"/>
      <c r="B158" s="127"/>
      <c r="C158" s="127"/>
      <c r="D158" s="38" t="s">
        <v>44</v>
      </c>
      <c r="E158" s="24">
        <f t="shared" si="210"/>
        <v>29.7</v>
      </c>
      <c r="F158" s="24">
        <f t="shared" si="210"/>
        <v>29.7</v>
      </c>
      <c r="G158" s="25">
        <f t="shared" ref="G158" si="215">F158/E158*100</f>
        <v>100</v>
      </c>
      <c r="H158" s="25"/>
      <c r="I158" s="25"/>
      <c r="J158" s="22"/>
      <c r="K158" s="25"/>
      <c r="L158" s="25"/>
      <c r="M158" s="22"/>
      <c r="N158" s="25"/>
      <c r="O158" s="25"/>
      <c r="P158" s="22"/>
      <c r="Q158" s="25"/>
      <c r="R158" s="25"/>
      <c r="S158" s="22"/>
      <c r="T158" s="25"/>
      <c r="U158" s="25"/>
      <c r="V158" s="22"/>
      <c r="W158" s="25"/>
      <c r="X158" s="25"/>
      <c r="Y158" s="22"/>
      <c r="Z158" s="25"/>
      <c r="AA158" s="25"/>
      <c r="AB158" s="22"/>
      <c r="AC158" s="25"/>
      <c r="AD158" s="25"/>
      <c r="AE158" s="22"/>
      <c r="AF158" s="25">
        <v>7.8</v>
      </c>
      <c r="AG158" s="25">
        <v>7.8</v>
      </c>
      <c r="AH158" s="25">
        <f t="shared" ref="AH158" si="216">AG158/AF158*100</f>
        <v>100</v>
      </c>
      <c r="AI158" s="25">
        <v>0</v>
      </c>
      <c r="AJ158" s="25">
        <v>0</v>
      </c>
      <c r="AK158" s="25"/>
      <c r="AL158" s="25"/>
      <c r="AM158" s="25"/>
      <c r="AN158" s="25"/>
      <c r="AO158" s="24">
        <v>21.9</v>
      </c>
      <c r="AP158" s="24">
        <v>21.9</v>
      </c>
      <c r="AQ158" s="25">
        <f t="shared" ref="AQ158" si="217">AP158/AO158*100</f>
        <v>100</v>
      </c>
      <c r="AR158" s="119" t="s">
        <v>183</v>
      </c>
      <c r="AS158" s="36"/>
      <c r="AT158" s="80">
        <f t="shared" si="180"/>
        <v>1</v>
      </c>
      <c r="AU158" s="84">
        <f t="shared" si="97"/>
        <v>0</v>
      </c>
      <c r="AV158" s="84">
        <f t="shared" si="98"/>
        <v>0</v>
      </c>
      <c r="AW158" s="84">
        <f t="shared" si="99"/>
        <v>7.8</v>
      </c>
      <c r="AX158" s="84">
        <f t="shared" si="100"/>
        <v>21.9</v>
      </c>
    </row>
    <row r="159" spans="1:50" ht="15.75" customHeight="1" x14ac:dyDescent="0.3">
      <c r="A159" s="127"/>
      <c r="B159" s="127"/>
      <c r="C159" s="127"/>
      <c r="D159" s="38" t="s">
        <v>23</v>
      </c>
      <c r="E159" s="24">
        <f t="shared" si="210"/>
        <v>0</v>
      </c>
      <c r="F159" s="24">
        <f t="shared" si="210"/>
        <v>0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36"/>
      <c r="AS159" s="36"/>
      <c r="AT159" s="80"/>
      <c r="AU159" s="84">
        <f t="shared" si="97"/>
        <v>0</v>
      </c>
      <c r="AV159" s="84">
        <f t="shared" si="98"/>
        <v>0</v>
      </c>
      <c r="AW159" s="84">
        <f t="shared" si="99"/>
        <v>0</v>
      </c>
      <c r="AX159" s="84">
        <f t="shared" si="100"/>
        <v>0</v>
      </c>
    </row>
    <row r="160" spans="1:50" ht="15.75" customHeight="1" x14ac:dyDescent="0.3">
      <c r="A160" s="127" t="s">
        <v>66</v>
      </c>
      <c r="B160" s="127" t="s">
        <v>100</v>
      </c>
      <c r="C160" s="127" t="s">
        <v>6</v>
      </c>
      <c r="D160" s="38" t="s">
        <v>3</v>
      </c>
      <c r="E160" s="24">
        <f t="shared" si="210"/>
        <v>112.8</v>
      </c>
      <c r="F160" s="24">
        <f t="shared" si="210"/>
        <v>112.8</v>
      </c>
      <c r="G160" s="25">
        <f>F160/E160*100</f>
        <v>100</v>
      </c>
      <c r="H160" s="24">
        <f>H161+H162+H163+H164</f>
        <v>0</v>
      </c>
      <c r="I160" s="24"/>
      <c r="J160" s="22"/>
      <c r="K160" s="24">
        <f t="shared" ref="K160:AP160" si="218">K161+K162+K163+K164</f>
        <v>0</v>
      </c>
      <c r="L160" s="24"/>
      <c r="M160" s="22"/>
      <c r="N160" s="24">
        <f t="shared" si="218"/>
        <v>0</v>
      </c>
      <c r="O160" s="24">
        <f t="shared" si="218"/>
        <v>0</v>
      </c>
      <c r="P160" s="25"/>
      <c r="Q160" s="24">
        <f t="shared" si="218"/>
        <v>0</v>
      </c>
      <c r="R160" s="24"/>
      <c r="S160" s="22"/>
      <c r="T160" s="24">
        <f t="shared" si="218"/>
        <v>0</v>
      </c>
      <c r="U160" s="24"/>
      <c r="V160" s="22"/>
      <c r="W160" s="24">
        <f t="shared" si="218"/>
        <v>0</v>
      </c>
      <c r="X160" s="24">
        <f t="shared" si="218"/>
        <v>0</v>
      </c>
      <c r="Y160" s="22"/>
      <c r="Z160" s="24">
        <f t="shared" si="218"/>
        <v>0</v>
      </c>
      <c r="AA160" s="24"/>
      <c r="AB160" s="22"/>
      <c r="AC160" s="24">
        <f t="shared" si="218"/>
        <v>0</v>
      </c>
      <c r="AD160" s="24"/>
      <c r="AE160" s="22"/>
      <c r="AF160" s="24">
        <f t="shared" si="218"/>
        <v>12.799999999999997</v>
      </c>
      <c r="AG160" s="24">
        <f t="shared" si="218"/>
        <v>12.8</v>
      </c>
      <c r="AH160" s="25">
        <f>AG160/AF160*100</f>
        <v>100.00000000000003</v>
      </c>
      <c r="AI160" s="24">
        <f t="shared" si="218"/>
        <v>0</v>
      </c>
      <c r="AJ160" s="24">
        <f t="shared" si="218"/>
        <v>0</v>
      </c>
      <c r="AK160" s="25"/>
      <c r="AL160" s="24">
        <f t="shared" si="218"/>
        <v>0</v>
      </c>
      <c r="AM160" s="24">
        <f t="shared" si="218"/>
        <v>0</v>
      </c>
      <c r="AN160" s="22"/>
      <c r="AO160" s="24">
        <f t="shared" si="218"/>
        <v>100</v>
      </c>
      <c r="AP160" s="24">
        <f t="shared" si="218"/>
        <v>100</v>
      </c>
      <c r="AQ160" s="25">
        <f>AP160/AO160*100</f>
        <v>100</v>
      </c>
      <c r="AR160" s="36"/>
      <c r="AS160" s="36"/>
      <c r="AT160" s="80">
        <f t="shared" si="180"/>
        <v>1</v>
      </c>
      <c r="AU160" s="84">
        <f t="shared" si="97"/>
        <v>0</v>
      </c>
      <c r="AV160" s="84">
        <f t="shared" si="98"/>
        <v>0</v>
      </c>
      <c r="AW160" s="84">
        <f t="shared" si="99"/>
        <v>12.799999999999997</v>
      </c>
      <c r="AX160" s="84">
        <f t="shared" si="100"/>
        <v>100</v>
      </c>
    </row>
    <row r="161" spans="1:50" ht="15.6" x14ac:dyDescent="0.3">
      <c r="A161" s="127"/>
      <c r="B161" s="127"/>
      <c r="C161" s="127"/>
      <c r="D161" s="38" t="s">
        <v>22</v>
      </c>
      <c r="E161" s="24">
        <f t="shared" si="210"/>
        <v>0</v>
      </c>
      <c r="F161" s="24">
        <f t="shared" si="210"/>
        <v>0</v>
      </c>
      <c r="G161" s="25"/>
      <c r="H161" s="24"/>
      <c r="I161" s="24"/>
      <c r="J161" s="22"/>
      <c r="K161" s="24"/>
      <c r="L161" s="24"/>
      <c r="M161" s="22"/>
      <c r="N161" s="24"/>
      <c r="O161" s="24"/>
      <c r="P161" s="25"/>
      <c r="Q161" s="24"/>
      <c r="R161" s="24"/>
      <c r="S161" s="22"/>
      <c r="T161" s="24"/>
      <c r="U161" s="24"/>
      <c r="V161" s="22"/>
      <c r="W161" s="24"/>
      <c r="X161" s="24"/>
      <c r="Y161" s="22"/>
      <c r="Z161" s="24"/>
      <c r="AA161" s="24"/>
      <c r="AB161" s="22"/>
      <c r="AC161" s="24"/>
      <c r="AD161" s="24"/>
      <c r="AE161" s="22"/>
      <c r="AF161" s="24"/>
      <c r="AG161" s="24"/>
      <c r="AH161" s="25"/>
      <c r="AI161" s="24"/>
      <c r="AJ161" s="24"/>
      <c r="AK161" s="25"/>
      <c r="AL161" s="24"/>
      <c r="AM161" s="24"/>
      <c r="AN161" s="22"/>
      <c r="AO161" s="24"/>
      <c r="AP161" s="24"/>
      <c r="AQ161" s="25"/>
      <c r="AR161" s="36"/>
      <c r="AS161" s="36"/>
      <c r="AT161" s="80"/>
      <c r="AU161" s="84">
        <f t="shared" ref="AU161:AU224" si="219">H161+K161+N161</f>
        <v>0</v>
      </c>
      <c r="AV161" s="84">
        <f t="shared" ref="AV161:AV224" si="220">Q161+T161+W161</f>
        <v>0</v>
      </c>
      <c r="AW161" s="84">
        <f t="shared" ref="AW161:AW224" si="221">Z161+AC161+AF161</f>
        <v>0</v>
      </c>
      <c r="AX161" s="84">
        <f t="shared" ref="AX161:AX224" si="222">AI161+AL161+AO161</f>
        <v>0</v>
      </c>
    </row>
    <row r="162" spans="1:50" ht="24" x14ac:dyDescent="0.3">
      <c r="A162" s="127"/>
      <c r="B162" s="127"/>
      <c r="C162" s="127"/>
      <c r="D162" s="38" t="s">
        <v>4</v>
      </c>
      <c r="E162" s="24">
        <f t="shared" si="210"/>
        <v>0</v>
      </c>
      <c r="F162" s="24">
        <f t="shared" si="210"/>
        <v>0</v>
      </c>
      <c r="G162" s="25"/>
      <c r="H162" s="25"/>
      <c r="I162" s="25"/>
      <c r="J162" s="22"/>
      <c r="K162" s="25"/>
      <c r="L162" s="25"/>
      <c r="M162" s="22"/>
      <c r="N162" s="25"/>
      <c r="O162" s="25"/>
      <c r="P162" s="25"/>
      <c r="Q162" s="25"/>
      <c r="R162" s="25"/>
      <c r="S162" s="22"/>
      <c r="T162" s="25"/>
      <c r="U162" s="25"/>
      <c r="V162" s="22"/>
      <c r="W162" s="25"/>
      <c r="X162" s="25"/>
      <c r="Y162" s="22"/>
      <c r="Z162" s="25"/>
      <c r="AA162" s="25"/>
      <c r="AB162" s="22"/>
      <c r="AC162" s="25"/>
      <c r="AD162" s="25"/>
      <c r="AE162" s="22"/>
      <c r="AF162" s="25"/>
      <c r="AG162" s="25"/>
      <c r="AH162" s="25"/>
      <c r="AI162" s="25"/>
      <c r="AJ162" s="25"/>
      <c r="AK162" s="25"/>
      <c r="AL162" s="25"/>
      <c r="AM162" s="25"/>
      <c r="AN162" s="22"/>
      <c r="AO162" s="25"/>
      <c r="AP162" s="25"/>
      <c r="AQ162" s="25"/>
      <c r="AR162" s="36"/>
      <c r="AS162" s="36"/>
      <c r="AT162" s="80"/>
      <c r="AU162" s="84">
        <f t="shared" si="219"/>
        <v>0</v>
      </c>
      <c r="AV162" s="84">
        <f t="shared" si="220"/>
        <v>0</v>
      </c>
      <c r="AW162" s="84">
        <f t="shared" si="221"/>
        <v>0</v>
      </c>
      <c r="AX162" s="84">
        <f t="shared" si="222"/>
        <v>0</v>
      </c>
    </row>
    <row r="163" spans="1:50" ht="61.95" customHeight="1" x14ac:dyDescent="0.3">
      <c r="A163" s="127"/>
      <c r="B163" s="127"/>
      <c r="C163" s="127"/>
      <c r="D163" s="38" t="s">
        <v>44</v>
      </c>
      <c r="E163" s="24">
        <f t="shared" si="210"/>
        <v>112.8</v>
      </c>
      <c r="F163" s="24">
        <f t="shared" si="210"/>
        <v>112.8</v>
      </c>
      <c r="G163" s="25">
        <f t="shared" ref="G163" si="223">F163/E163*100</f>
        <v>100</v>
      </c>
      <c r="H163" s="25"/>
      <c r="I163" s="25"/>
      <c r="J163" s="22"/>
      <c r="K163" s="25"/>
      <c r="L163" s="25"/>
      <c r="M163" s="22"/>
      <c r="N163" s="25">
        <f>110-110</f>
        <v>0</v>
      </c>
      <c r="O163" s="25">
        <v>0</v>
      </c>
      <c r="P163" s="25"/>
      <c r="Q163" s="25"/>
      <c r="R163" s="25"/>
      <c r="S163" s="22"/>
      <c r="T163" s="25"/>
      <c r="U163" s="25"/>
      <c r="V163" s="22"/>
      <c r="W163" s="25"/>
      <c r="X163" s="25"/>
      <c r="Y163" s="22"/>
      <c r="Z163" s="25"/>
      <c r="AA163" s="25"/>
      <c r="AB163" s="22"/>
      <c r="AC163" s="25"/>
      <c r="AD163" s="25"/>
      <c r="AE163" s="22"/>
      <c r="AF163" s="25">
        <f>12.8+110-110</f>
        <v>12.799999999999997</v>
      </c>
      <c r="AG163" s="25">
        <v>12.8</v>
      </c>
      <c r="AH163" s="25">
        <f t="shared" ref="AH163" si="224">AG163/AF163*100</f>
        <v>100.00000000000003</v>
      </c>
      <c r="AI163" s="25">
        <f>70-70</f>
        <v>0</v>
      </c>
      <c r="AJ163" s="25">
        <v>0</v>
      </c>
      <c r="AK163" s="25"/>
      <c r="AL163" s="25">
        <f>110-110</f>
        <v>0</v>
      </c>
      <c r="AM163" s="25"/>
      <c r="AN163" s="22"/>
      <c r="AO163" s="24">
        <v>100</v>
      </c>
      <c r="AP163" s="25">
        <v>100</v>
      </c>
      <c r="AQ163" s="25">
        <f t="shared" ref="AQ163" si="225">AP163/AO163*100</f>
        <v>100</v>
      </c>
      <c r="AR163" s="119" t="s">
        <v>184</v>
      </c>
      <c r="AS163" s="119"/>
      <c r="AT163" s="80">
        <f t="shared" si="180"/>
        <v>1</v>
      </c>
      <c r="AU163" s="84">
        <f t="shared" si="219"/>
        <v>0</v>
      </c>
      <c r="AV163" s="84">
        <f t="shared" si="220"/>
        <v>0</v>
      </c>
      <c r="AW163" s="84">
        <f t="shared" si="221"/>
        <v>12.799999999999997</v>
      </c>
      <c r="AX163" s="84">
        <f t="shared" si="222"/>
        <v>100</v>
      </c>
    </row>
    <row r="164" spans="1:50" ht="15.75" customHeight="1" x14ac:dyDescent="0.3">
      <c r="A164" s="127"/>
      <c r="B164" s="127"/>
      <c r="C164" s="127"/>
      <c r="D164" s="38" t="s">
        <v>23</v>
      </c>
      <c r="E164" s="24">
        <f t="shared" si="210"/>
        <v>0</v>
      </c>
      <c r="F164" s="24">
        <f t="shared" si="210"/>
        <v>0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36"/>
      <c r="AS164" s="36"/>
      <c r="AT164" s="80"/>
      <c r="AU164" s="84">
        <f t="shared" si="219"/>
        <v>0</v>
      </c>
      <c r="AV164" s="84">
        <f t="shared" si="220"/>
        <v>0</v>
      </c>
      <c r="AW164" s="84">
        <f t="shared" si="221"/>
        <v>0</v>
      </c>
      <c r="AX164" s="84">
        <f t="shared" si="222"/>
        <v>0</v>
      </c>
    </row>
    <row r="165" spans="1:50" ht="15.75" customHeight="1" x14ac:dyDescent="0.3">
      <c r="A165" s="127" t="s">
        <v>67</v>
      </c>
      <c r="B165" s="127" t="s">
        <v>101</v>
      </c>
      <c r="C165" s="127" t="s">
        <v>6</v>
      </c>
      <c r="D165" s="38" t="s">
        <v>3</v>
      </c>
      <c r="E165" s="24">
        <f t="shared" si="210"/>
        <v>19608.899999999998</v>
      </c>
      <c r="F165" s="24">
        <f t="shared" si="210"/>
        <v>19608.899999999998</v>
      </c>
      <c r="G165" s="25">
        <f>F165/E165*100</f>
        <v>100</v>
      </c>
      <c r="H165" s="24">
        <f>H166+H167+H168+H169</f>
        <v>712</v>
      </c>
      <c r="I165" s="24">
        <f>I166+I167+I168+I169</f>
        <v>712</v>
      </c>
      <c r="J165" s="25">
        <f>I165/H165*100</f>
        <v>100</v>
      </c>
      <c r="K165" s="24">
        <f t="shared" ref="K165:AP165" si="226">K166+K167+K168+K169</f>
        <v>1853</v>
      </c>
      <c r="L165" s="24">
        <f t="shared" si="226"/>
        <v>1853</v>
      </c>
      <c r="M165" s="25">
        <f t="shared" ref="M165:M168" si="227">L165/K165*100</f>
        <v>100</v>
      </c>
      <c r="N165" s="24">
        <f t="shared" si="226"/>
        <v>1856</v>
      </c>
      <c r="O165" s="24">
        <f t="shared" si="226"/>
        <v>1856</v>
      </c>
      <c r="P165" s="25">
        <f t="shared" ref="P165:P168" si="228">O165/N165*100</f>
        <v>100</v>
      </c>
      <c r="Q165" s="24">
        <f t="shared" si="226"/>
        <v>2624</v>
      </c>
      <c r="R165" s="24">
        <f t="shared" si="226"/>
        <v>2624</v>
      </c>
      <c r="S165" s="25">
        <f>R165/Q165*100</f>
        <v>100</v>
      </c>
      <c r="T165" s="24">
        <f t="shared" si="226"/>
        <v>904</v>
      </c>
      <c r="U165" s="24">
        <f t="shared" si="226"/>
        <v>904</v>
      </c>
      <c r="V165" s="25">
        <f>U165/T165*100</f>
        <v>100</v>
      </c>
      <c r="W165" s="24">
        <f t="shared" si="226"/>
        <v>1403.8</v>
      </c>
      <c r="X165" s="24">
        <f t="shared" si="226"/>
        <v>1403.8</v>
      </c>
      <c r="Y165" s="25">
        <f>X165/W165*100</f>
        <v>100</v>
      </c>
      <c r="Z165" s="24">
        <f t="shared" si="226"/>
        <v>2059</v>
      </c>
      <c r="AA165" s="24">
        <f t="shared" si="226"/>
        <v>2259</v>
      </c>
      <c r="AB165" s="25">
        <f>AA165/Z165*100</f>
        <v>109.71345313258864</v>
      </c>
      <c r="AC165" s="24">
        <f t="shared" si="226"/>
        <v>1597</v>
      </c>
      <c r="AD165" s="24">
        <f t="shared" si="226"/>
        <v>1397</v>
      </c>
      <c r="AE165" s="25">
        <f>AD165/AC165*100</f>
        <v>87.476518472135254</v>
      </c>
      <c r="AF165" s="24">
        <f t="shared" si="226"/>
        <v>919.2</v>
      </c>
      <c r="AG165" s="24">
        <f t="shared" si="226"/>
        <v>919.2</v>
      </c>
      <c r="AH165" s="25">
        <f>AG165/AF165*100</f>
        <v>100</v>
      </c>
      <c r="AI165" s="24">
        <f t="shared" si="226"/>
        <v>1926.2</v>
      </c>
      <c r="AJ165" s="24">
        <f t="shared" si="226"/>
        <v>1926.2</v>
      </c>
      <c r="AK165" s="25">
        <f>AJ165/AI165*100</f>
        <v>100</v>
      </c>
      <c r="AL165" s="24">
        <f t="shared" si="226"/>
        <v>1967.1</v>
      </c>
      <c r="AM165" s="24">
        <f t="shared" si="226"/>
        <v>1967.1</v>
      </c>
      <c r="AN165" s="25">
        <f>AM165/AL165*100</f>
        <v>100</v>
      </c>
      <c r="AO165" s="24">
        <f t="shared" si="226"/>
        <v>1787.6</v>
      </c>
      <c r="AP165" s="24">
        <f t="shared" si="226"/>
        <v>1787.6</v>
      </c>
      <c r="AQ165" s="25">
        <f>AP165/AO165*100</f>
        <v>100</v>
      </c>
      <c r="AR165" s="36"/>
      <c r="AS165" s="36"/>
      <c r="AT165" s="80">
        <f t="shared" si="180"/>
        <v>1</v>
      </c>
      <c r="AU165" s="84">
        <f t="shared" si="219"/>
        <v>4421</v>
      </c>
      <c r="AV165" s="84">
        <f t="shared" si="220"/>
        <v>4931.8</v>
      </c>
      <c r="AW165" s="84">
        <f t="shared" si="221"/>
        <v>4575.2</v>
      </c>
      <c r="AX165" s="84">
        <f t="shared" si="222"/>
        <v>5680.9</v>
      </c>
    </row>
    <row r="166" spans="1:50" ht="15.6" x14ac:dyDescent="0.3">
      <c r="A166" s="127"/>
      <c r="B166" s="127"/>
      <c r="C166" s="127"/>
      <c r="D166" s="38" t="s">
        <v>22</v>
      </c>
      <c r="E166" s="24">
        <f t="shared" ref="E166:F184" si="229">H166+K166+N166+Q166+T166+W166+Z166+AC166+AF166+AI166+AL166+AO166</f>
        <v>0</v>
      </c>
      <c r="F166" s="24">
        <f t="shared" si="229"/>
        <v>0</v>
      </c>
      <c r="G166" s="25"/>
      <c r="H166" s="24"/>
      <c r="I166" s="24"/>
      <c r="J166" s="25"/>
      <c r="K166" s="24"/>
      <c r="L166" s="24"/>
      <c r="M166" s="25"/>
      <c r="N166" s="24"/>
      <c r="O166" s="24"/>
      <c r="P166" s="25"/>
      <c r="Q166" s="24"/>
      <c r="R166" s="24"/>
      <c r="S166" s="25"/>
      <c r="T166" s="24"/>
      <c r="U166" s="24"/>
      <c r="V166" s="25"/>
      <c r="W166" s="24"/>
      <c r="X166" s="24"/>
      <c r="Y166" s="25"/>
      <c r="Z166" s="24"/>
      <c r="AA166" s="24"/>
      <c r="AB166" s="25"/>
      <c r="AC166" s="24"/>
      <c r="AD166" s="24"/>
      <c r="AE166" s="25"/>
      <c r="AF166" s="24"/>
      <c r="AG166" s="24"/>
      <c r="AH166" s="25"/>
      <c r="AI166" s="24"/>
      <c r="AJ166" s="24"/>
      <c r="AK166" s="25"/>
      <c r="AL166" s="24"/>
      <c r="AM166" s="24"/>
      <c r="AN166" s="25"/>
      <c r="AO166" s="24"/>
      <c r="AP166" s="24"/>
      <c r="AQ166" s="25"/>
      <c r="AR166" s="36"/>
      <c r="AS166" s="36"/>
      <c r="AT166" s="80"/>
      <c r="AU166" s="84">
        <f t="shared" si="219"/>
        <v>0</v>
      </c>
      <c r="AV166" s="84">
        <f t="shared" si="220"/>
        <v>0</v>
      </c>
      <c r="AW166" s="84">
        <f t="shared" si="221"/>
        <v>0</v>
      </c>
      <c r="AX166" s="84">
        <f t="shared" si="222"/>
        <v>0</v>
      </c>
    </row>
    <row r="167" spans="1:50" ht="24" x14ac:dyDescent="0.3">
      <c r="A167" s="127"/>
      <c r="B167" s="127"/>
      <c r="C167" s="127"/>
      <c r="D167" s="38" t="s">
        <v>4</v>
      </c>
      <c r="E167" s="24">
        <f t="shared" si="229"/>
        <v>0</v>
      </c>
      <c r="F167" s="24">
        <f t="shared" si="229"/>
        <v>0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36"/>
      <c r="AS167" s="36"/>
      <c r="AT167" s="80"/>
      <c r="AU167" s="84">
        <f t="shared" si="219"/>
        <v>0</v>
      </c>
      <c r="AV167" s="84">
        <f t="shared" si="220"/>
        <v>0</v>
      </c>
      <c r="AW167" s="84">
        <f t="shared" si="221"/>
        <v>0</v>
      </c>
      <c r="AX167" s="84">
        <f t="shared" si="222"/>
        <v>0</v>
      </c>
    </row>
    <row r="168" spans="1:50" ht="51" customHeight="1" x14ac:dyDescent="0.3">
      <c r="A168" s="127"/>
      <c r="B168" s="127"/>
      <c r="C168" s="127"/>
      <c r="D168" s="38" t="s">
        <v>44</v>
      </c>
      <c r="E168" s="24">
        <f t="shared" si="229"/>
        <v>19608.899999999998</v>
      </c>
      <c r="F168" s="24">
        <f t="shared" si="229"/>
        <v>19608.899999999998</v>
      </c>
      <c r="G168" s="25">
        <f t="shared" ref="G168" si="230">F168/E168*100</f>
        <v>100</v>
      </c>
      <c r="H168" s="25">
        <v>712</v>
      </c>
      <c r="I168" s="25">
        <v>712</v>
      </c>
      <c r="J168" s="25">
        <f t="shared" ref="J168" si="231">I168/H168*100</f>
        <v>100</v>
      </c>
      <c r="K168" s="25">
        <v>1853</v>
      </c>
      <c r="L168" s="25">
        <v>1853</v>
      </c>
      <c r="M168" s="25">
        <f t="shared" si="227"/>
        <v>100</v>
      </c>
      <c r="N168" s="25">
        <v>1856</v>
      </c>
      <c r="O168" s="25">
        <v>1856</v>
      </c>
      <c r="P168" s="25">
        <f t="shared" si="228"/>
        <v>100</v>
      </c>
      <c r="Q168" s="25">
        <v>2624</v>
      </c>
      <c r="R168" s="25">
        <v>2624</v>
      </c>
      <c r="S168" s="25">
        <f t="shared" ref="S168" si="232">R168/Q168*100</f>
        <v>100</v>
      </c>
      <c r="T168" s="25">
        <v>904</v>
      </c>
      <c r="U168" s="25">
        <v>904</v>
      </c>
      <c r="V168" s="25">
        <f t="shared" ref="V168" si="233">U168/T168*100</f>
        <v>100</v>
      </c>
      <c r="W168" s="25">
        <f>1803.8-400</f>
        <v>1403.8</v>
      </c>
      <c r="X168" s="25">
        <v>1403.8</v>
      </c>
      <c r="Y168" s="25">
        <f t="shared" ref="Y168" si="234">X168/W168*100</f>
        <v>100</v>
      </c>
      <c r="Z168" s="25">
        <v>2059</v>
      </c>
      <c r="AA168" s="25">
        <v>2259</v>
      </c>
      <c r="AB168" s="25">
        <f t="shared" ref="AB168" si="235">AA168/Z168*100</f>
        <v>109.71345313258864</v>
      </c>
      <c r="AC168" s="25">
        <v>1597</v>
      </c>
      <c r="AD168" s="25">
        <v>1397</v>
      </c>
      <c r="AE168" s="25">
        <f t="shared" ref="AE168" si="236">AD168/AC168*100</f>
        <v>87.476518472135254</v>
      </c>
      <c r="AF168" s="25">
        <v>919.2</v>
      </c>
      <c r="AG168" s="25">
        <v>919.2</v>
      </c>
      <c r="AH168" s="25">
        <f t="shared" ref="AH168" si="237">AG168/AF168*100</f>
        <v>100</v>
      </c>
      <c r="AI168" s="25">
        <f>1526.2+400</f>
        <v>1926.2</v>
      </c>
      <c r="AJ168" s="25">
        <v>1926.2</v>
      </c>
      <c r="AK168" s="25">
        <f t="shared" ref="AK168" si="238">AJ168/AI168*100</f>
        <v>100</v>
      </c>
      <c r="AL168" s="25">
        <v>1967.1</v>
      </c>
      <c r="AM168" s="25">
        <v>1967.1</v>
      </c>
      <c r="AN168" s="25">
        <f t="shared" ref="AN168" si="239">AM168/AL168*100</f>
        <v>100</v>
      </c>
      <c r="AO168" s="25">
        <f>1787.6</f>
        <v>1787.6</v>
      </c>
      <c r="AP168" s="25">
        <f>1787.6</f>
        <v>1787.6</v>
      </c>
      <c r="AQ168" s="25">
        <f t="shared" ref="AQ168" si="240">AP168/AO168*100</f>
        <v>100</v>
      </c>
      <c r="AR168" s="119" t="s">
        <v>172</v>
      </c>
      <c r="AS168" s="43"/>
      <c r="AT168" s="80">
        <f t="shared" si="180"/>
        <v>1</v>
      </c>
      <c r="AU168" s="84">
        <f t="shared" si="219"/>
        <v>4421</v>
      </c>
      <c r="AV168" s="84">
        <f t="shared" si="220"/>
        <v>4931.8</v>
      </c>
      <c r="AW168" s="84">
        <f t="shared" si="221"/>
        <v>4575.2</v>
      </c>
      <c r="AX168" s="84">
        <f t="shared" si="222"/>
        <v>5680.9</v>
      </c>
    </row>
    <row r="169" spans="1:50" ht="15.75" customHeight="1" x14ac:dyDescent="0.3">
      <c r="A169" s="127"/>
      <c r="B169" s="127"/>
      <c r="C169" s="127"/>
      <c r="D169" s="38" t="s">
        <v>23</v>
      </c>
      <c r="E169" s="24">
        <f t="shared" si="229"/>
        <v>0</v>
      </c>
      <c r="F169" s="24">
        <f t="shared" si="229"/>
        <v>0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36"/>
      <c r="AS169" s="36"/>
      <c r="AT169" s="80"/>
      <c r="AU169" s="84">
        <f t="shared" si="219"/>
        <v>0</v>
      </c>
      <c r="AV169" s="84">
        <f t="shared" si="220"/>
        <v>0</v>
      </c>
      <c r="AW169" s="84">
        <f t="shared" si="221"/>
        <v>0</v>
      </c>
      <c r="AX169" s="84">
        <f t="shared" si="222"/>
        <v>0</v>
      </c>
    </row>
    <row r="170" spans="1:50" ht="15.75" customHeight="1" x14ac:dyDescent="0.3">
      <c r="A170" s="127" t="s">
        <v>68</v>
      </c>
      <c r="B170" s="127" t="s">
        <v>102</v>
      </c>
      <c r="C170" s="127" t="s">
        <v>6</v>
      </c>
      <c r="D170" s="38" t="s">
        <v>3</v>
      </c>
      <c r="E170" s="24">
        <f t="shared" si="229"/>
        <v>30765.399999999998</v>
      </c>
      <c r="F170" s="24">
        <f t="shared" si="229"/>
        <v>29622.9</v>
      </c>
      <c r="G170" s="25">
        <f>F170/E170*100</f>
        <v>96.28641265837598</v>
      </c>
      <c r="H170" s="24">
        <f>H171+H172+H173+H174</f>
        <v>841</v>
      </c>
      <c r="I170" s="24">
        <f>I171+I172+I173+I174</f>
        <v>570.70000000000005</v>
      </c>
      <c r="J170" s="25">
        <f>I170/H170*100</f>
        <v>67.859690844233057</v>
      </c>
      <c r="K170" s="24">
        <f t="shared" ref="K170:AP170" si="241">K171+K172+K173+K174</f>
        <v>3853.9</v>
      </c>
      <c r="L170" s="24">
        <f t="shared" si="241"/>
        <v>3445.9</v>
      </c>
      <c r="M170" s="25">
        <f t="shared" ref="M170:M173" si="242">L170/K170*100</f>
        <v>89.413321570357297</v>
      </c>
      <c r="N170" s="24">
        <f t="shared" si="241"/>
        <v>3449</v>
      </c>
      <c r="O170" s="24">
        <f t="shared" si="241"/>
        <v>3647.2999999999997</v>
      </c>
      <c r="P170" s="25">
        <f t="shared" ref="P170:P173" si="243">O170/N170*100</f>
        <v>105.74949260655262</v>
      </c>
      <c r="Q170" s="24">
        <f t="shared" si="241"/>
        <v>2431.8000000000002</v>
      </c>
      <c r="R170" s="24">
        <f t="shared" si="241"/>
        <v>2228.1</v>
      </c>
      <c r="S170" s="25">
        <f>R170/Q170*100</f>
        <v>91.623488773747823</v>
      </c>
      <c r="T170" s="24">
        <f t="shared" si="241"/>
        <v>2126.5</v>
      </c>
      <c r="U170" s="24">
        <f t="shared" si="241"/>
        <v>2244.2999999999997</v>
      </c>
      <c r="V170" s="25">
        <f>U170/T170*100</f>
        <v>105.53961909240535</v>
      </c>
      <c r="W170" s="24">
        <f t="shared" si="241"/>
        <v>3571.6</v>
      </c>
      <c r="X170" s="24">
        <f t="shared" si="241"/>
        <v>2774.2</v>
      </c>
      <c r="Y170" s="25">
        <f>X170/W170*100</f>
        <v>77.673871654160592</v>
      </c>
      <c r="Z170" s="24">
        <f t="shared" si="241"/>
        <v>2956.2</v>
      </c>
      <c r="AA170" s="24">
        <f t="shared" si="241"/>
        <v>2844.5</v>
      </c>
      <c r="AB170" s="25">
        <f>AA170/Z170*100</f>
        <v>96.221500575062592</v>
      </c>
      <c r="AC170" s="24">
        <f t="shared" si="241"/>
        <v>2892.5</v>
      </c>
      <c r="AD170" s="24">
        <f t="shared" si="241"/>
        <v>2029.4</v>
      </c>
      <c r="AE170" s="25">
        <f>AD170/AC170*100</f>
        <v>70.160760587726884</v>
      </c>
      <c r="AF170" s="24">
        <f t="shared" si="241"/>
        <v>2080.6</v>
      </c>
      <c r="AG170" s="24">
        <f t="shared" si="241"/>
        <v>1534.5</v>
      </c>
      <c r="AH170" s="25">
        <f>AG170/AF170*100</f>
        <v>73.752763625877151</v>
      </c>
      <c r="AI170" s="24">
        <f t="shared" si="241"/>
        <v>1993.4999999999998</v>
      </c>
      <c r="AJ170" s="24">
        <f t="shared" si="241"/>
        <v>1939.3</v>
      </c>
      <c r="AK170" s="25">
        <f>AJ170/AI170*100</f>
        <v>97.281163782292452</v>
      </c>
      <c r="AL170" s="24">
        <f t="shared" si="241"/>
        <v>1924.5</v>
      </c>
      <c r="AM170" s="24">
        <f t="shared" si="241"/>
        <v>2082.5</v>
      </c>
      <c r="AN170" s="25">
        <f>AM170/AL170*100</f>
        <v>108.20992465575475</v>
      </c>
      <c r="AO170" s="24">
        <f t="shared" si="241"/>
        <v>2644.2999999999997</v>
      </c>
      <c r="AP170" s="24">
        <f t="shared" si="241"/>
        <v>4282.2</v>
      </c>
      <c r="AQ170" s="25">
        <f>AP170/AO170*100</f>
        <v>161.94077827780512</v>
      </c>
      <c r="AR170" s="36"/>
      <c r="AS170" s="36"/>
      <c r="AT170" s="80">
        <f t="shared" si="180"/>
        <v>0.96286412658375975</v>
      </c>
      <c r="AU170" s="84">
        <f t="shared" si="219"/>
        <v>8143.9</v>
      </c>
      <c r="AV170" s="84">
        <f t="shared" si="220"/>
        <v>8129.9</v>
      </c>
      <c r="AW170" s="84">
        <f t="shared" si="221"/>
        <v>7929.2999999999993</v>
      </c>
      <c r="AX170" s="84">
        <f t="shared" si="222"/>
        <v>6562.2999999999993</v>
      </c>
    </row>
    <row r="171" spans="1:50" ht="15.6" x14ac:dyDescent="0.3">
      <c r="A171" s="127"/>
      <c r="B171" s="127"/>
      <c r="C171" s="127"/>
      <c r="D171" s="38" t="s">
        <v>22</v>
      </c>
      <c r="E171" s="24">
        <f t="shared" si="229"/>
        <v>0</v>
      </c>
      <c r="F171" s="24">
        <f t="shared" si="229"/>
        <v>0</v>
      </c>
      <c r="G171" s="25"/>
      <c r="H171" s="24"/>
      <c r="I171" s="24"/>
      <c r="J171" s="25"/>
      <c r="K171" s="24"/>
      <c r="L171" s="24"/>
      <c r="M171" s="25"/>
      <c r="N171" s="24"/>
      <c r="O171" s="24"/>
      <c r="P171" s="25"/>
      <c r="Q171" s="24"/>
      <c r="R171" s="24"/>
      <c r="S171" s="25"/>
      <c r="T171" s="24"/>
      <c r="U171" s="24"/>
      <c r="V171" s="25"/>
      <c r="W171" s="24"/>
      <c r="X171" s="24"/>
      <c r="Y171" s="25"/>
      <c r="Z171" s="24"/>
      <c r="AA171" s="24"/>
      <c r="AB171" s="22"/>
      <c r="AC171" s="24"/>
      <c r="AD171" s="24"/>
      <c r="AE171" s="25"/>
      <c r="AF171" s="24"/>
      <c r="AG171" s="24"/>
      <c r="AH171" s="25"/>
      <c r="AI171" s="24"/>
      <c r="AJ171" s="24"/>
      <c r="AK171" s="25"/>
      <c r="AL171" s="24"/>
      <c r="AM171" s="24"/>
      <c r="AN171" s="25"/>
      <c r="AO171" s="24"/>
      <c r="AP171" s="24"/>
      <c r="AQ171" s="25"/>
      <c r="AR171" s="36"/>
      <c r="AS171" s="36"/>
      <c r="AT171" s="80"/>
      <c r="AU171" s="84">
        <f t="shared" si="219"/>
        <v>0</v>
      </c>
      <c r="AV171" s="84">
        <f t="shared" si="220"/>
        <v>0</v>
      </c>
      <c r="AW171" s="84">
        <f t="shared" si="221"/>
        <v>0</v>
      </c>
      <c r="AX171" s="84">
        <f t="shared" si="222"/>
        <v>0</v>
      </c>
    </row>
    <row r="172" spans="1:50" ht="48" x14ac:dyDescent="0.3">
      <c r="A172" s="127"/>
      <c r="B172" s="127"/>
      <c r="C172" s="127"/>
      <c r="D172" s="38" t="s">
        <v>4</v>
      </c>
      <c r="E172" s="24">
        <f t="shared" si="229"/>
        <v>1704</v>
      </c>
      <c r="F172" s="24">
        <f t="shared" si="229"/>
        <v>1463.4999999999998</v>
      </c>
      <c r="G172" s="25">
        <f t="shared" ref="G172:G173" si="244">F172/E172*100</f>
        <v>85.886150234741777</v>
      </c>
      <c r="H172" s="25">
        <v>38</v>
      </c>
      <c r="I172" s="25">
        <v>10.1</v>
      </c>
      <c r="J172" s="25">
        <f>I172/H172*100</f>
        <v>26.578947368421051</v>
      </c>
      <c r="K172" s="25">
        <v>229</v>
      </c>
      <c r="L172" s="25">
        <v>203.8</v>
      </c>
      <c r="M172" s="25">
        <f t="shared" si="242"/>
        <v>88.995633187772924</v>
      </c>
      <c r="N172" s="25">
        <v>118</v>
      </c>
      <c r="O172" s="25">
        <v>107.2</v>
      </c>
      <c r="P172" s="25">
        <f t="shared" si="243"/>
        <v>90.847457627118644</v>
      </c>
      <c r="Q172" s="25">
        <v>146.30000000000001</v>
      </c>
      <c r="R172" s="25">
        <v>69.7</v>
      </c>
      <c r="S172" s="25">
        <f t="shared" ref="S172:S173" si="245">R172/Q172*100</f>
        <v>47.641831852358166</v>
      </c>
      <c r="T172" s="25">
        <v>177</v>
      </c>
      <c r="U172" s="25">
        <v>166.7</v>
      </c>
      <c r="V172" s="25">
        <f t="shared" ref="V172:V173" si="246">U172/T172*100</f>
        <v>94.180790960451972</v>
      </c>
      <c r="W172" s="25">
        <f>184</f>
        <v>184</v>
      </c>
      <c r="X172" s="25">
        <v>153.5</v>
      </c>
      <c r="Y172" s="25">
        <f t="shared" ref="Y172:Y173" si="247">X172/W172*100</f>
        <v>83.423913043478265</v>
      </c>
      <c r="Z172" s="25">
        <v>122.7</v>
      </c>
      <c r="AA172" s="25">
        <v>83.8</v>
      </c>
      <c r="AB172" s="25">
        <f>AA172/Z172*100</f>
        <v>68.29665851670741</v>
      </c>
      <c r="AC172" s="25">
        <v>123</v>
      </c>
      <c r="AD172" s="25">
        <v>74.900000000000006</v>
      </c>
      <c r="AE172" s="25">
        <f t="shared" ref="AE172:AE173" si="248">AD172/AC172*100</f>
        <v>60.894308943089435</v>
      </c>
      <c r="AF172" s="25">
        <v>93</v>
      </c>
      <c r="AG172" s="25">
        <v>88.3</v>
      </c>
      <c r="AH172" s="25">
        <f t="shared" ref="AH172:AH173" si="249">AG172/AF172*100</f>
        <v>94.946236559139791</v>
      </c>
      <c r="AI172" s="25">
        <v>152.80000000000001</v>
      </c>
      <c r="AJ172" s="25">
        <v>99.2</v>
      </c>
      <c r="AK172" s="25">
        <f t="shared" ref="AK172:AK173" si="250">AJ172/AI172*100</f>
        <v>64.921465968586389</v>
      </c>
      <c r="AL172" s="25">
        <v>93</v>
      </c>
      <c r="AM172" s="25">
        <v>74.099999999999994</v>
      </c>
      <c r="AN172" s="25">
        <f t="shared" ref="AN172:AN173" si="251">AM172/AL172*100</f>
        <v>79.677419354838705</v>
      </c>
      <c r="AO172" s="25">
        <v>227.2</v>
      </c>
      <c r="AP172" s="25">
        <v>332.2</v>
      </c>
      <c r="AQ172" s="25">
        <f t="shared" ref="AQ172:AQ173" si="252">AP172/AO172*100</f>
        <v>146.21478873239437</v>
      </c>
      <c r="AR172" s="119" t="s">
        <v>173</v>
      </c>
      <c r="AS172" s="65" t="s">
        <v>136</v>
      </c>
      <c r="AT172" s="80">
        <f t="shared" si="180"/>
        <v>0.85886150234741776</v>
      </c>
      <c r="AU172" s="86">
        <f t="shared" si="219"/>
        <v>385</v>
      </c>
      <c r="AV172" s="86">
        <f t="shared" si="220"/>
        <v>507.3</v>
      </c>
      <c r="AW172" s="86">
        <f t="shared" si="221"/>
        <v>338.7</v>
      </c>
      <c r="AX172" s="86">
        <f t="shared" si="222"/>
        <v>473</v>
      </c>
    </row>
    <row r="173" spans="1:50" ht="49.2" customHeight="1" x14ac:dyDescent="0.3">
      <c r="A173" s="127"/>
      <c r="B173" s="127"/>
      <c r="C173" s="127"/>
      <c r="D173" s="38" t="s">
        <v>44</v>
      </c>
      <c r="E173" s="24">
        <f t="shared" si="229"/>
        <v>29061.399999999998</v>
      </c>
      <c r="F173" s="24">
        <f t="shared" si="229"/>
        <v>28159.4</v>
      </c>
      <c r="G173" s="25">
        <f t="shared" si="244"/>
        <v>96.896226609867398</v>
      </c>
      <c r="H173" s="25">
        <v>803</v>
      </c>
      <c r="I173" s="25">
        <v>560.6</v>
      </c>
      <c r="J173" s="25">
        <f t="shared" ref="J173" si="253">I173/H173*100</f>
        <v>69.813200498132005</v>
      </c>
      <c r="K173" s="25">
        <f>3722.6-13.7-84</f>
        <v>3624.9</v>
      </c>
      <c r="L173" s="25">
        <f>3242.2-0.1</f>
        <v>3242.1</v>
      </c>
      <c r="M173" s="25">
        <f t="shared" si="242"/>
        <v>89.439708681618797</v>
      </c>
      <c r="N173" s="25">
        <v>3331</v>
      </c>
      <c r="O173" s="25">
        <v>3540.1</v>
      </c>
      <c r="P173" s="25">
        <f t="shared" si="243"/>
        <v>106.27739417592315</v>
      </c>
      <c r="Q173" s="25">
        <f>2306.4-20.9</f>
        <v>2285.5</v>
      </c>
      <c r="R173" s="25">
        <v>2158.4</v>
      </c>
      <c r="S173" s="25">
        <f t="shared" si="245"/>
        <v>94.438853642528983</v>
      </c>
      <c r="T173" s="25">
        <v>1949.5</v>
      </c>
      <c r="U173" s="25">
        <v>2077.6</v>
      </c>
      <c r="V173" s="25">
        <f t="shared" si="246"/>
        <v>106.57091561938958</v>
      </c>
      <c r="W173" s="25">
        <f>3058.6+360-31</f>
        <v>3387.6</v>
      </c>
      <c r="X173" s="25">
        <v>2620.6999999999998</v>
      </c>
      <c r="Y173" s="25">
        <f t="shared" si="247"/>
        <v>77.361553902467818</v>
      </c>
      <c r="Z173" s="25">
        <f>3535.6-702.1</f>
        <v>2833.5</v>
      </c>
      <c r="AA173" s="25">
        <v>2760.7</v>
      </c>
      <c r="AB173" s="25">
        <f>AA173/Z173*100</f>
        <v>97.430739368272441</v>
      </c>
      <c r="AC173" s="25">
        <v>2769.5</v>
      </c>
      <c r="AD173" s="25">
        <v>1954.5</v>
      </c>
      <c r="AE173" s="25">
        <f t="shared" si="248"/>
        <v>70.572305470301501</v>
      </c>
      <c r="AF173" s="25">
        <f>2248.6-261</f>
        <v>1987.6</v>
      </c>
      <c r="AG173" s="25">
        <v>1446.2</v>
      </c>
      <c r="AH173" s="25">
        <f t="shared" si="249"/>
        <v>72.761118937411965</v>
      </c>
      <c r="AI173" s="25">
        <f>2155.7-315</f>
        <v>1840.6999999999998</v>
      </c>
      <c r="AJ173" s="25">
        <v>1840.1</v>
      </c>
      <c r="AK173" s="25">
        <f t="shared" si="250"/>
        <v>99.96740370511219</v>
      </c>
      <c r="AL173" s="25">
        <f>1783.5-328+376</f>
        <v>1831.5</v>
      </c>
      <c r="AM173" s="25">
        <v>2008.4</v>
      </c>
      <c r="AN173" s="25">
        <f t="shared" si="251"/>
        <v>109.65874965874967</v>
      </c>
      <c r="AO173" s="25">
        <f>3197-360-299.9-300+180</f>
        <v>2417.1</v>
      </c>
      <c r="AP173" s="25">
        <v>3950</v>
      </c>
      <c r="AQ173" s="25">
        <f t="shared" si="252"/>
        <v>163.41897314964214</v>
      </c>
      <c r="AR173" s="119" t="s">
        <v>174</v>
      </c>
      <c r="AS173" s="91" t="s">
        <v>185</v>
      </c>
      <c r="AT173" s="80">
        <f t="shared" si="180"/>
        <v>0.96896226609867397</v>
      </c>
      <c r="AU173" s="86">
        <f t="shared" si="219"/>
        <v>7758.9</v>
      </c>
      <c r="AV173" s="86">
        <f t="shared" si="220"/>
        <v>7622.6</v>
      </c>
      <c r="AW173" s="86">
        <f t="shared" si="221"/>
        <v>7590.6</v>
      </c>
      <c r="AX173" s="86">
        <f t="shared" si="222"/>
        <v>6089.2999999999993</v>
      </c>
    </row>
    <row r="174" spans="1:50" ht="15.75" customHeight="1" x14ac:dyDescent="0.3">
      <c r="A174" s="127"/>
      <c r="B174" s="127"/>
      <c r="C174" s="127"/>
      <c r="D174" s="38" t="s">
        <v>23</v>
      </c>
      <c r="E174" s="24">
        <f t="shared" si="229"/>
        <v>0</v>
      </c>
      <c r="F174" s="24">
        <f t="shared" si="229"/>
        <v>0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36"/>
      <c r="AS174" s="36"/>
      <c r="AT174" s="80"/>
      <c r="AU174" s="84">
        <f t="shared" si="219"/>
        <v>0</v>
      </c>
      <c r="AV174" s="84">
        <f t="shared" si="220"/>
        <v>0</v>
      </c>
      <c r="AW174" s="84">
        <f t="shared" si="221"/>
        <v>0</v>
      </c>
      <c r="AX174" s="84">
        <f t="shared" si="222"/>
        <v>0</v>
      </c>
    </row>
    <row r="175" spans="1:50" ht="15.75" customHeight="1" x14ac:dyDescent="0.3">
      <c r="A175" s="127" t="s">
        <v>69</v>
      </c>
      <c r="B175" s="127" t="s">
        <v>103</v>
      </c>
      <c r="C175" s="127" t="s">
        <v>6</v>
      </c>
      <c r="D175" s="38" t="s">
        <v>3</v>
      </c>
      <c r="E175" s="24">
        <f t="shared" si="229"/>
        <v>0</v>
      </c>
      <c r="F175" s="24">
        <f t="shared" si="229"/>
        <v>0</v>
      </c>
      <c r="G175" s="25"/>
      <c r="H175" s="24">
        <f>H176+H177+H178+H179</f>
        <v>0</v>
      </c>
      <c r="I175" s="24"/>
      <c r="J175" s="25"/>
      <c r="K175" s="24">
        <f t="shared" ref="K175:AO175" si="254">K176+K177+K178+K179</f>
        <v>0</v>
      </c>
      <c r="L175" s="24"/>
      <c r="M175" s="25"/>
      <c r="N175" s="24">
        <f t="shared" si="254"/>
        <v>0</v>
      </c>
      <c r="O175" s="24"/>
      <c r="P175" s="25"/>
      <c r="Q175" s="24">
        <f t="shared" si="254"/>
        <v>0</v>
      </c>
      <c r="R175" s="24"/>
      <c r="S175" s="25"/>
      <c r="T175" s="24">
        <f t="shared" si="254"/>
        <v>0</v>
      </c>
      <c r="U175" s="24"/>
      <c r="V175" s="25"/>
      <c r="W175" s="24">
        <f t="shared" si="254"/>
        <v>0</v>
      </c>
      <c r="X175" s="24"/>
      <c r="Y175" s="25"/>
      <c r="Z175" s="24">
        <f t="shared" si="254"/>
        <v>0</v>
      </c>
      <c r="AA175" s="24"/>
      <c r="AB175" s="25"/>
      <c r="AC175" s="24">
        <f t="shared" si="254"/>
        <v>0</v>
      </c>
      <c r="AD175" s="24"/>
      <c r="AE175" s="25"/>
      <c r="AF175" s="24">
        <f t="shared" si="254"/>
        <v>0</v>
      </c>
      <c r="AG175" s="24"/>
      <c r="AH175" s="25"/>
      <c r="AI175" s="24">
        <f t="shared" si="254"/>
        <v>0</v>
      </c>
      <c r="AJ175" s="24"/>
      <c r="AK175" s="25"/>
      <c r="AL175" s="24">
        <f t="shared" si="254"/>
        <v>0</v>
      </c>
      <c r="AM175" s="24"/>
      <c r="AN175" s="25"/>
      <c r="AO175" s="24">
        <f t="shared" si="254"/>
        <v>0</v>
      </c>
      <c r="AP175" s="24"/>
      <c r="AQ175" s="25"/>
      <c r="AR175" s="36"/>
      <c r="AS175" s="36"/>
      <c r="AT175" s="80"/>
      <c r="AU175" s="84">
        <f t="shared" si="219"/>
        <v>0</v>
      </c>
      <c r="AV175" s="84">
        <f t="shared" si="220"/>
        <v>0</v>
      </c>
      <c r="AW175" s="84">
        <f t="shared" si="221"/>
        <v>0</v>
      </c>
      <c r="AX175" s="84">
        <f t="shared" si="222"/>
        <v>0</v>
      </c>
    </row>
    <row r="176" spans="1:50" ht="15.6" x14ac:dyDescent="0.3">
      <c r="A176" s="127"/>
      <c r="B176" s="127"/>
      <c r="C176" s="127"/>
      <c r="D176" s="38" t="s">
        <v>22</v>
      </c>
      <c r="E176" s="24">
        <f t="shared" si="229"/>
        <v>0</v>
      </c>
      <c r="F176" s="24">
        <f t="shared" si="229"/>
        <v>0</v>
      </c>
      <c r="G176" s="25"/>
      <c r="H176" s="24"/>
      <c r="I176" s="24"/>
      <c r="J176" s="25"/>
      <c r="K176" s="24"/>
      <c r="L176" s="24"/>
      <c r="M176" s="25"/>
      <c r="N176" s="24"/>
      <c r="O176" s="24"/>
      <c r="P176" s="25"/>
      <c r="Q176" s="24"/>
      <c r="R176" s="24"/>
      <c r="S176" s="25"/>
      <c r="T176" s="24"/>
      <c r="U176" s="24"/>
      <c r="V176" s="25"/>
      <c r="W176" s="24"/>
      <c r="X176" s="24"/>
      <c r="Y176" s="25"/>
      <c r="Z176" s="24"/>
      <c r="AA176" s="24"/>
      <c r="AB176" s="25"/>
      <c r="AC176" s="24"/>
      <c r="AD176" s="24"/>
      <c r="AE176" s="25"/>
      <c r="AF176" s="24"/>
      <c r="AG176" s="24"/>
      <c r="AH176" s="25"/>
      <c r="AI176" s="24"/>
      <c r="AJ176" s="24"/>
      <c r="AK176" s="25"/>
      <c r="AL176" s="24"/>
      <c r="AM176" s="24"/>
      <c r="AN176" s="25"/>
      <c r="AO176" s="24"/>
      <c r="AP176" s="24"/>
      <c r="AQ176" s="25"/>
      <c r="AR176" s="36"/>
      <c r="AS176" s="36"/>
      <c r="AT176" s="80"/>
      <c r="AU176" s="84">
        <f t="shared" si="219"/>
        <v>0</v>
      </c>
      <c r="AV176" s="84">
        <f t="shared" si="220"/>
        <v>0</v>
      </c>
      <c r="AW176" s="84">
        <f t="shared" si="221"/>
        <v>0</v>
      </c>
      <c r="AX176" s="84">
        <f t="shared" si="222"/>
        <v>0</v>
      </c>
    </row>
    <row r="177" spans="1:50" ht="26.25" customHeight="1" x14ac:dyDescent="0.3">
      <c r="A177" s="127"/>
      <c r="B177" s="127"/>
      <c r="C177" s="127"/>
      <c r="D177" s="38" t="s">
        <v>4</v>
      </c>
      <c r="E177" s="24">
        <f t="shared" si="229"/>
        <v>0</v>
      </c>
      <c r="F177" s="24">
        <f t="shared" si="229"/>
        <v>0</v>
      </c>
      <c r="G177" s="25"/>
      <c r="H177" s="24"/>
      <c r="I177" s="24"/>
      <c r="J177" s="25"/>
      <c r="K177" s="24"/>
      <c r="L177" s="24"/>
      <c r="M177" s="25"/>
      <c r="N177" s="24"/>
      <c r="O177" s="24"/>
      <c r="P177" s="25"/>
      <c r="Q177" s="24"/>
      <c r="R177" s="24"/>
      <c r="S177" s="25"/>
      <c r="T177" s="24"/>
      <c r="U177" s="24"/>
      <c r="V177" s="25"/>
      <c r="W177" s="24"/>
      <c r="X177" s="24"/>
      <c r="Y177" s="25"/>
      <c r="Z177" s="24"/>
      <c r="AA177" s="24"/>
      <c r="AB177" s="25"/>
      <c r="AC177" s="24"/>
      <c r="AD177" s="24"/>
      <c r="AE177" s="25"/>
      <c r="AF177" s="24"/>
      <c r="AG177" s="24"/>
      <c r="AH177" s="25"/>
      <c r="AI177" s="24"/>
      <c r="AJ177" s="24"/>
      <c r="AK177" s="25"/>
      <c r="AL177" s="24"/>
      <c r="AM177" s="24"/>
      <c r="AN177" s="25"/>
      <c r="AO177" s="24"/>
      <c r="AP177" s="24"/>
      <c r="AQ177" s="25"/>
      <c r="AR177" s="36"/>
      <c r="AS177" s="36"/>
      <c r="AT177" s="80"/>
      <c r="AU177" s="84">
        <f t="shared" si="219"/>
        <v>0</v>
      </c>
      <c r="AV177" s="84">
        <f t="shared" si="220"/>
        <v>0</v>
      </c>
      <c r="AW177" s="84">
        <f t="shared" si="221"/>
        <v>0</v>
      </c>
      <c r="AX177" s="84">
        <f t="shared" si="222"/>
        <v>0</v>
      </c>
    </row>
    <row r="178" spans="1:50" ht="15.6" x14ac:dyDescent="0.3">
      <c r="A178" s="127"/>
      <c r="B178" s="127"/>
      <c r="C178" s="127"/>
      <c r="D178" s="38" t="s">
        <v>44</v>
      </c>
      <c r="E178" s="24">
        <f t="shared" si="229"/>
        <v>0</v>
      </c>
      <c r="F178" s="24">
        <f t="shared" si="229"/>
        <v>0</v>
      </c>
      <c r="G178" s="25"/>
      <c r="H178" s="24"/>
      <c r="I178" s="24"/>
      <c r="J178" s="25"/>
      <c r="K178" s="24"/>
      <c r="L178" s="24"/>
      <c r="M178" s="25"/>
      <c r="N178" s="24"/>
      <c r="O178" s="24"/>
      <c r="P178" s="25"/>
      <c r="Q178" s="24"/>
      <c r="R178" s="24"/>
      <c r="S178" s="25"/>
      <c r="T178" s="24"/>
      <c r="U178" s="24"/>
      <c r="V178" s="25"/>
      <c r="W178" s="24"/>
      <c r="X178" s="24"/>
      <c r="Y178" s="25"/>
      <c r="Z178" s="24"/>
      <c r="AA178" s="24"/>
      <c r="AB178" s="25"/>
      <c r="AC178" s="24"/>
      <c r="AD178" s="24"/>
      <c r="AE178" s="25"/>
      <c r="AF178" s="24"/>
      <c r="AG178" s="24"/>
      <c r="AH178" s="25"/>
      <c r="AI178" s="24"/>
      <c r="AJ178" s="24"/>
      <c r="AK178" s="25"/>
      <c r="AL178" s="24"/>
      <c r="AM178" s="24"/>
      <c r="AN178" s="25"/>
      <c r="AO178" s="24"/>
      <c r="AP178" s="24"/>
      <c r="AQ178" s="25"/>
      <c r="AR178" s="36"/>
      <c r="AS178" s="36"/>
      <c r="AT178" s="80"/>
      <c r="AU178" s="84">
        <f t="shared" si="219"/>
        <v>0</v>
      </c>
      <c r="AV178" s="84">
        <f t="shared" si="220"/>
        <v>0</v>
      </c>
      <c r="AW178" s="84">
        <f t="shared" si="221"/>
        <v>0</v>
      </c>
      <c r="AX178" s="84">
        <f t="shared" si="222"/>
        <v>0</v>
      </c>
    </row>
    <row r="179" spans="1:50" ht="15.75" customHeight="1" x14ac:dyDescent="0.3">
      <c r="A179" s="127"/>
      <c r="B179" s="127"/>
      <c r="C179" s="127"/>
      <c r="D179" s="38" t="s">
        <v>23</v>
      </c>
      <c r="E179" s="24">
        <f t="shared" si="229"/>
        <v>0</v>
      </c>
      <c r="F179" s="24">
        <f t="shared" si="229"/>
        <v>0</v>
      </c>
      <c r="G179" s="25"/>
      <c r="H179" s="24"/>
      <c r="I179" s="24"/>
      <c r="J179" s="25"/>
      <c r="K179" s="24"/>
      <c r="L179" s="24"/>
      <c r="M179" s="25"/>
      <c r="N179" s="24"/>
      <c r="O179" s="24"/>
      <c r="P179" s="25"/>
      <c r="Q179" s="24"/>
      <c r="R179" s="24"/>
      <c r="S179" s="25"/>
      <c r="T179" s="24"/>
      <c r="U179" s="24"/>
      <c r="V179" s="25"/>
      <c r="W179" s="24"/>
      <c r="X179" s="24"/>
      <c r="Y179" s="25"/>
      <c r="Z179" s="24"/>
      <c r="AA179" s="24"/>
      <c r="AB179" s="25"/>
      <c r="AC179" s="24"/>
      <c r="AD179" s="24"/>
      <c r="AE179" s="25"/>
      <c r="AF179" s="24"/>
      <c r="AG179" s="24"/>
      <c r="AH179" s="25"/>
      <c r="AI179" s="24"/>
      <c r="AJ179" s="24"/>
      <c r="AK179" s="25"/>
      <c r="AL179" s="24"/>
      <c r="AM179" s="24"/>
      <c r="AN179" s="25"/>
      <c r="AO179" s="24"/>
      <c r="AP179" s="24"/>
      <c r="AQ179" s="25"/>
      <c r="AR179" s="36"/>
      <c r="AS179" s="36"/>
      <c r="AT179" s="80"/>
      <c r="AU179" s="84">
        <f t="shared" si="219"/>
        <v>0</v>
      </c>
      <c r="AV179" s="84">
        <f t="shared" si="220"/>
        <v>0</v>
      </c>
      <c r="AW179" s="84">
        <f t="shared" si="221"/>
        <v>0</v>
      </c>
      <c r="AX179" s="84">
        <f t="shared" si="222"/>
        <v>0</v>
      </c>
    </row>
    <row r="180" spans="1:50" ht="12" customHeight="1" x14ac:dyDescent="0.3">
      <c r="A180" s="134" t="s">
        <v>13</v>
      </c>
      <c r="B180" s="134"/>
      <c r="C180" s="134"/>
      <c r="D180" s="39" t="s">
        <v>3</v>
      </c>
      <c r="E180" s="40">
        <f t="shared" si="229"/>
        <v>50537</v>
      </c>
      <c r="F180" s="40">
        <f t="shared" si="229"/>
        <v>49394.5</v>
      </c>
      <c r="G180" s="26">
        <f>F180/E180*100</f>
        <v>97.739280131388881</v>
      </c>
      <c r="H180" s="40">
        <f>H181+H182+H183+H184</f>
        <v>1583</v>
      </c>
      <c r="I180" s="40">
        <f>I181+I182+I183+I184</f>
        <v>1302.9000000000001</v>
      </c>
      <c r="J180" s="26">
        <f>I180/H180*100</f>
        <v>82.305748578648135</v>
      </c>
      <c r="K180" s="40">
        <f t="shared" ref="K180:AP180" si="255">K181+K182+K183+K184</f>
        <v>5706.9</v>
      </c>
      <c r="L180" s="40">
        <f t="shared" si="255"/>
        <v>5298.9000000000005</v>
      </c>
      <c r="M180" s="26">
        <f t="shared" ref="M180:M183" si="256">L180/K180*100</f>
        <v>92.850759606791783</v>
      </c>
      <c r="N180" s="40">
        <f t="shared" si="255"/>
        <v>5295.2</v>
      </c>
      <c r="O180" s="40">
        <f t="shared" si="255"/>
        <v>5503.3</v>
      </c>
      <c r="P180" s="26">
        <f t="shared" ref="P180:P183" si="257">O180/N180*100</f>
        <v>103.92997431636199</v>
      </c>
      <c r="Q180" s="40">
        <f t="shared" si="255"/>
        <v>5055.8</v>
      </c>
      <c r="R180" s="40">
        <f t="shared" si="255"/>
        <v>4852.0999999999995</v>
      </c>
      <c r="S180" s="26">
        <f>R180/Q180*100</f>
        <v>95.970964041299084</v>
      </c>
      <c r="T180" s="40">
        <f t="shared" si="255"/>
        <v>3030.5</v>
      </c>
      <c r="U180" s="40">
        <f t="shared" si="255"/>
        <v>3148.2999999999997</v>
      </c>
      <c r="V180" s="26">
        <f>U180/T180*100</f>
        <v>103.88714733542319</v>
      </c>
      <c r="W180" s="40">
        <f t="shared" si="255"/>
        <v>4975.3999999999996</v>
      </c>
      <c r="X180" s="40">
        <f t="shared" si="255"/>
        <v>4178</v>
      </c>
      <c r="Y180" s="26">
        <f>X180/W180*100</f>
        <v>83.973147887607041</v>
      </c>
      <c r="Z180" s="40">
        <f t="shared" si="255"/>
        <v>5015.2</v>
      </c>
      <c r="AA180" s="40">
        <f t="shared" si="255"/>
        <v>5103.5</v>
      </c>
      <c r="AB180" s="26">
        <f>AA180/Z180*100</f>
        <v>101.76064763120117</v>
      </c>
      <c r="AC180" s="40">
        <f t="shared" si="255"/>
        <v>4489.5</v>
      </c>
      <c r="AD180" s="40">
        <f t="shared" si="255"/>
        <v>3426.4</v>
      </c>
      <c r="AE180" s="26">
        <f>AD180/AC180*100</f>
        <v>76.320302929056695</v>
      </c>
      <c r="AF180" s="40">
        <f t="shared" si="255"/>
        <v>3020.4</v>
      </c>
      <c r="AG180" s="40">
        <f t="shared" si="255"/>
        <v>2474.3000000000002</v>
      </c>
      <c r="AH180" s="26">
        <f>AG180/AF180*100</f>
        <v>81.919613296252152</v>
      </c>
      <c r="AI180" s="40">
        <f t="shared" si="255"/>
        <v>3919.7</v>
      </c>
      <c r="AJ180" s="40">
        <f t="shared" si="255"/>
        <v>3865.5</v>
      </c>
      <c r="AK180" s="26">
        <f>AJ180/AI180*100</f>
        <v>98.617241115391479</v>
      </c>
      <c r="AL180" s="40">
        <f t="shared" si="255"/>
        <v>3891.6</v>
      </c>
      <c r="AM180" s="40">
        <f t="shared" si="255"/>
        <v>4049.6</v>
      </c>
      <c r="AN180" s="26">
        <f>AM180/AL180*100</f>
        <v>104.06002672422655</v>
      </c>
      <c r="AO180" s="40">
        <f t="shared" si="255"/>
        <v>4553.8</v>
      </c>
      <c r="AP180" s="40">
        <f t="shared" si="255"/>
        <v>6191.7</v>
      </c>
      <c r="AQ180" s="26">
        <f>AP180/AO180*100</f>
        <v>135.96776318678906</v>
      </c>
      <c r="AR180" s="36"/>
      <c r="AS180" s="36"/>
      <c r="AT180" s="80">
        <f t="shared" si="180"/>
        <v>0.97739280131388884</v>
      </c>
      <c r="AU180" s="85">
        <f t="shared" si="219"/>
        <v>12585.099999999999</v>
      </c>
      <c r="AV180" s="85">
        <f t="shared" si="220"/>
        <v>13061.7</v>
      </c>
      <c r="AW180" s="85">
        <f t="shared" si="221"/>
        <v>12525.1</v>
      </c>
      <c r="AX180" s="85">
        <f t="shared" si="222"/>
        <v>12365.099999999999</v>
      </c>
    </row>
    <row r="181" spans="1:50" ht="15.6" x14ac:dyDescent="0.3">
      <c r="A181" s="134"/>
      <c r="B181" s="134"/>
      <c r="C181" s="134"/>
      <c r="D181" s="39" t="s">
        <v>22</v>
      </c>
      <c r="E181" s="40">
        <f t="shared" si="229"/>
        <v>0</v>
      </c>
      <c r="F181" s="40">
        <f t="shared" si="229"/>
        <v>0</v>
      </c>
      <c r="G181" s="23"/>
      <c r="H181" s="26">
        <f t="shared" ref="H181:I184" si="258">H151+H156+H161+H166+H171+H176</f>
        <v>0</v>
      </c>
      <c r="I181" s="26">
        <f t="shared" si="258"/>
        <v>0</v>
      </c>
      <c r="J181" s="23"/>
      <c r="K181" s="26">
        <f t="shared" ref="K181:AP184" si="259">K151+K156+K161+K166+K171+K176</f>
        <v>0</v>
      </c>
      <c r="L181" s="26">
        <f t="shared" si="259"/>
        <v>0</v>
      </c>
      <c r="M181" s="26"/>
      <c r="N181" s="26">
        <f t="shared" si="259"/>
        <v>0</v>
      </c>
      <c r="O181" s="26">
        <f t="shared" si="259"/>
        <v>0</v>
      </c>
      <c r="P181" s="26"/>
      <c r="Q181" s="26">
        <f t="shared" si="259"/>
        <v>0</v>
      </c>
      <c r="R181" s="26">
        <f t="shared" si="259"/>
        <v>0</v>
      </c>
      <c r="S181" s="23"/>
      <c r="T181" s="26">
        <f t="shared" si="259"/>
        <v>0</v>
      </c>
      <c r="U181" s="26">
        <f t="shared" si="259"/>
        <v>0</v>
      </c>
      <c r="V181" s="23"/>
      <c r="W181" s="26">
        <f t="shared" si="259"/>
        <v>0</v>
      </c>
      <c r="X181" s="26">
        <f t="shared" si="259"/>
        <v>0</v>
      </c>
      <c r="Y181" s="23"/>
      <c r="Z181" s="26">
        <f t="shared" si="259"/>
        <v>0</v>
      </c>
      <c r="AA181" s="26">
        <f t="shared" si="259"/>
        <v>0</v>
      </c>
      <c r="AB181" s="23"/>
      <c r="AC181" s="26">
        <f t="shared" si="259"/>
        <v>0</v>
      </c>
      <c r="AD181" s="26">
        <f t="shared" si="259"/>
        <v>0</v>
      </c>
      <c r="AE181" s="23"/>
      <c r="AF181" s="26">
        <f t="shared" si="259"/>
        <v>0</v>
      </c>
      <c r="AG181" s="26">
        <f t="shared" si="259"/>
        <v>0</v>
      </c>
      <c r="AH181" s="23"/>
      <c r="AI181" s="26">
        <f t="shared" si="259"/>
        <v>0</v>
      </c>
      <c r="AJ181" s="40">
        <f t="shared" si="259"/>
        <v>0</v>
      </c>
      <c r="AK181" s="23"/>
      <c r="AL181" s="40">
        <f t="shared" si="259"/>
        <v>0</v>
      </c>
      <c r="AM181" s="26">
        <f t="shared" si="259"/>
        <v>0</v>
      </c>
      <c r="AN181" s="23"/>
      <c r="AO181" s="26">
        <f t="shared" si="259"/>
        <v>0</v>
      </c>
      <c r="AP181" s="26">
        <f t="shared" si="259"/>
        <v>0</v>
      </c>
      <c r="AQ181" s="23"/>
      <c r="AR181" s="36"/>
      <c r="AS181" s="36"/>
      <c r="AT181" s="80"/>
      <c r="AU181" s="85">
        <f t="shared" si="219"/>
        <v>0</v>
      </c>
      <c r="AV181" s="85">
        <f t="shared" si="220"/>
        <v>0</v>
      </c>
      <c r="AW181" s="85">
        <f t="shared" si="221"/>
        <v>0</v>
      </c>
      <c r="AX181" s="85">
        <f t="shared" si="222"/>
        <v>0</v>
      </c>
    </row>
    <row r="182" spans="1:50" ht="24" customHeight="1" x14ac:dyDescent="0.3">
      <c r="A182" s="134"/>
      <c r="B182" s="134"/>
      <c r="C182" s="134"/>
      <c r="D182" s="39" t="s">
        <v>4</v>
      </c>
      <c r="E182" s="40">
        <f t="shared" si="229"/>
        <v>1704</v>
      </c>
      <c r="F182" s="40">
        <f t="shared" si="229"/>
        <v>1463.4999999999998</v>
      </c>
      <c r="G182" s="26">
        <f>F182/E182*100</f>
        <v>85.886150234741777</v>
      </c>
      <c r="H182" s="26">
        <f t="shared" si="258"/>
        <v>38</v>
      </c>
      <c r="I182" s="26">
        <f t="shared" si="258"/>
        <v>10.1</v>
      </c>
      <c r="J182" s="26">
        <f>I182/H182*100</f>
        <v>26.578947368421051</v>
      </c>
      <c r="K182" s="26">
        <f t="shared" si="259"/>
        <v>229</v>
      </c>
      <c r="L182" s="26">
        <f t="shared" si="259"/>
        <v>203.8</v>
      </c>
      <c r="M182" s="26">
        <f t="shared" si="256"/>
        <v>88.995633187772924</v>
      </c>
      <c r="N182" s="26">
        <f t="shared" si="259"/>
        <v>118</v>
      </c>
      <c r="O182" s="26">
        <f t="shared" si="259"/>
        <v>107.2</v>
      </c>
      <c r="P182" s="26">
        <f t="shared" si="257"/>
        <v>90.847457627118644</v>
      </c>
      <c r="Q182" s="26">
        <f t="shared" si="259"/>
        <v>146.30000000000001</v>
      </c>
      <c r="R182" s="26">
        <f t="shared" si="259"/>
        <v>69.7</v>
      </c>
      <c r="S182" s="26">
        <f>R182/Q182*100</f>
        <v>47.641831852358166</v>
      </c>
      <c r="T182" s="26">
        <f t="shared" si="259"/>
        <v>177</v>
      </c>
      <c r="U182" s="26">
        <f t="shared" si="259"/>
        <v>166.7</v>
      </c>
      <c r="V182" s="26">
        <f>U182/T182*100</f>
        <v>94.180790960451972</v>
      </c>
      <c r="W182" s="26">
        <f t="shared" si="259"/>
        <v>184</v>
      </c>
      <c r="X182" s="26">
        <f t="shared" si="259"/>
        <v>153.5</v>
      </c>
      <c r="Y182" s="26">
        <f>X182/W182*100</f>
        <v>83.423913043478265</v>
      </c>
      <c r="Z182" s="26">
        <f t="shared" si="259"/>
        <v>122.7</v>
      </c>
      <c r="AA182" s="26">
        <f t="shared" si="259"/>
        <v>83.8</v>
      </c>
      <c r="AB182" s="26">
        <f>AA182/Z182*100</f>
        <v>68.29665851670741</v>
      </c>
      <c r="AC182" s="26">
        <f t="shared" si="259"/>
        <v>123</v>
      </c>
      <c r="AD182" s="26">
        <f t="shared" si="259"/>
        <v>74.900000000000006</v>
      </c>
      <c r="AE182" s="26">
        <f>AD182/AC182*100</f>
        <v>60.894308943089435</v>
      </c>
      <c r="AF182" s="26">
        <f t="shared" si="259"/>
        <v>93</v>
      </c>
      <c r="AG182" s="26">
        <f t="shared" si="259"/>
        <v>88.3</v>
      </c>
      <c r="AH182" s="26">
        <f>AG182/AF182*100</f>
        <v>94.946236559139791</v>
      </c>
      <c r="AI182" s="26">
        <f t="shared" si="259"/>
        <v>152.80000000000001</v>
      </c>
      <c r="AJ182" s="40">
        <f t="shared" si="259"/>
        <v>99.2</v>
      </c>
      <c r="AK182" s="26">
        <f>AJ182/AI182*100</f>
        <v>64.921465968586389</v>
      </c>
      <c r="AL182" s="40">
        <f t="shared" si="259"/>
        <v>93</v>
      </c>
      <c r="AM182" s="26">
        <f t="shared" si="259"/>
        <v>74.099999999999994</v>
      </c>
      <c r="AN182" s="26">
        <f>AM182/AL182*100</f>
        <v>79.677419354838705</v>
      </c>
      <c r="AO182" s="26">
        <f t="shared" si="259"/>
        <v>227.2</v>
      </c>
      <c r="AP182" s="26">
        <f t="shared" si="259"/>
        <v>332.2</v>
      </c>
      <c r="AQ182" s="26">
        <f>AP182/AO182*100</f>
        <v>146.21478873239437</v>
      </c>
      <c r="AR182" s="36"/>
      <c r="AS182" s="36"/>
      <c r="AT182" s="80">
        <f t="shared" si="180"/>
        <v>0.85886150234741776</v>
      </c>
      <c r="AU182" s="85">
        <f t="shared" si="219"/>
        <v>385</v>
      </c>
      <c r="AV182" s="85">
        <f t="shared" si="220"/>
        <v>507.3</v>
      </c>
      <c r="AW182" s="85">
        <f t="shared" si="221"/>
        <v>338.7</v>
      </c>
      <c r="AX182" s="85">
        <f t="shared" si="222"/>
        <v>473</v>
      </c>
    </row>
    <row r="183" spans="1:50" ht="15.6" x14ac:dyDescent="0.3">
      <c r="A183" s="134"/>
      <c r="B183" s="134"/>
      <c r="C183" s="134"/>
      <c r="D183" s="39" t="s">
        <v>44</v>
      </c>
      <c r="E183" s="40">
        <f t="shared" si="229"/>
        <v>48833</v>
      </c>
      <c r="F183" s="40">
        <f t="shared" si="229"/>
        <v>47931</v>
      </c>
      <c r="G183" s="26">
        <f>F183/E183*100</f>
        <v>98.152888415620581</v>
      </c>
      <c r="H183" s="26">
        <f t="shared" si="258"/>
        <v>1545</v>
      </c>
      <c r="I183" s="26">
        <f t="shared" si="258"/>
        <v>1292.8000000000002</v>
      </c>
      <c r="J183" s="26">
        <f>I183/H183*100</f>
        <v>83.676375404530759</v>
      </c>
      <c r="K183" s="26">
        <f t="shared" si="259"/>
        <v>5477.9</v>
      </c>
      <c r="L183" s="26">
        <f t="shared" si="259"/>
        <v>5095.1000000000004</v>
      </c>
      <c r="M183" s="26">
        <f t="shared" si="256"/>
        <v>93.01192062651748</v>
      </c>
      <c r="N183" s="26">
        <f t="shared" si="259"/>
        <v>5177.2</v>
      </c>
      <c r="O183" s="26">
        <f t="shared" si="259"/>
        <v>5396.1</v>
      </c>
      <c r="P183" s="26">
        <f t="shared" si="257"/>
        <v>104.22815421463341</v>
      </c>
      <c r="Q183" s="26">
        <f t="shared" si="259"/>
        <v>4909.5</v>
      </c>
      <c r="R183" s="26">
        <f t="shared" si="259"/>
        <v>4782.3999999999996</v>
      </c>
      <c r="S183" s="26">
        <f>R183/Q183*100</f>
        <v>97.411141664120578</v>
      </c>
      <c r="T183" s="26">
        <f t="shared" si="259"/>
        <v>2853.5</v>
      </c>
      <c r="U183" s="26">
        <f t="shared" si="259"/>
        <v>2981.6</v>
      </c>
      <c r="V183" s="26">
        <f>U183/T183*100</f>
        <v>104.48922376029437</v>
      </c>
      <c r="W183" s="26">
        <f t="shared" si="259"/>
        <v>4791.3999999999996</v>
      </c>
      <c r="X183" s="26">
        <f t="shared" si="259"/>
        <v>4024.5</v>
      </c>
      <c r="Y183" s="26">
        <f>X183/W183*100</f>
        <v>83.994239679425647</v>
      </c>
      <c r="Z183" s="26">
        <f t="shared" si="259"/>
        <v>4892.5</v>
      </c>
      <c r="AA183" s="26">
        <f t="shared" si="259"/>
        <v>5019.7</v>
      </c>
      <c r="AB183" s="26">
        <f>AA183/Z183*100</f>
        <v>102.59989780275933</v>
      </c>
      <c r="AC183" s="26">
        <f t="shared" si="259"/>
        <v>4366.5</v>
      </c>
      <c r="AD183" s="26">
        <f t="shared" si="259"/>
        <v>3351.5</v>
      </c>
      <c r="AE183" s="26">
        <f>AD183/AC183*100</f>
        <v>76.75483797091492</v>
      </c>
      <c r="AF183" s="26">
        <f t="shared" si="259"/>
        <v>2927.4</v>
      </c>
      <c r="AG183" s="26">
        <f t="shared" si="259"/>
        <v>2386</v>
      </c>
      <c r="AH183" s="26">
        <f>AG183/AF183*100</f>
        <v>81.505773040923685</v>
      </c>
      <c r="AI183" s="26">
        <f t="shared" si="259"/>
        <v>3766.8999999999996</v>
      </c>
      <c r="AJ183" s="40">
        <f t="shared" si="259"/>
        <v>3766.3</v>
      </c>
      <c r="AK183" s="26">
        <f>AJ183/AI183*100</f>
        <v>99.984071783163884</v>
      </c>
      <c r="AL183" s="40">
        <f t="shared" si="259"/>
        <v>3798.6</v>
      </c>
      <c r="AM183" s="26">
        <f t="shared" si="259"/>
        <v>3975.5</v>
      </c>
      <c r="AN183" s="26">
        <f>AM183/AL183*100</f>
        <v>104.65697888695836</v>
      </c>
      <c r="AO183" s="26">
        <f t="shared" si="259"/>
        <v>4326.6000000000004</v>
      </c>
      <c r="AP183" s="26">
        <f t="shared" si="259"/>
        <v>5859.5</v>
      </c>
      <c r="AQ183" s="26">
        <f>AP183/AO183*100</f>
        <v>135.4296676374058</v>
      </c>
      <c r="AR183" s="36"/>
      <c r="AS183" s="36"/>
      <c r="AT183" s="80">
        <f t="shared" si="180"/>
        <v>0.98152888415620587</v>
      </c>
      <c r="AU183" s="85">
        <f t="shared" si="219"/>
        <v>12200.099999999999</v>
      </c>
      <c r="AV183" s="85">
        <f t="shared" si="220"/>
        <v>12554.4</v>
      </c>
      <c r="AW183" s="85">
        <f t="shared" si="221"/>
        <v>12186.4</v>
      </c>
      <c r="AX183" s="85">
        <f t="shared" si="222"/>
        <v>11892.1</v>
      </c>
    </row>
    <row r="184" spans="1:50" ht="13.5" customHeight="1" x14ac:dyDescent="0.3">
      <c r="A184" s="134"/>
      <c r="B184" s="134"/>
      <c r="C184" s="134"/>
      <c r="D184" s="39" t="s">
        <v>23</v>
      </c>
      <c r="E184" s="40">
        <f t="shared" si="229"/>
        <v>0</v>
      </c>
      <c r="F184" s="40">
        <f t="shared" si="229"/>
        <v>0</v>
      </c>
      <c r="G184" s="26"/>
      <c r="H184" s="26">
        <f t="shared" si="258"/>
        <v>0</v>
      </c>
      <c r="I184" s="26">
        <f t="shared" si="258"/>
        <v>0</v>
      </c>
      <c r="J184" s="26"/>
      <c r="K184" s="26">
        <f t="shared" si="259"/>
        <v>0</v>
      </c>
      <c r="L184" s="26">
        <f t="shared" si="259"/>
        <v>0</v>
      </c>
      <c r="M184" s="26"/>
      <c r="N184" s="26">
        <f t="shared" si="259"/>
        <v>0</v>
      </c>
      <c r="O184" s="26">
        <f t="shared" si="259"/>
        <v>0</v>
      </c>
      <c r="P184" s="26"/>
      <c r="Q184" s="26">
        <f t="shared" si="259"/>
        <v>0</v>
      </c>
      <c r="R184" s="26">
        <f t="shared" si="259"/>
        <v>0</v>
      </c>
      <c r="S184" s="26"/>
      <c r="T184" s="26">
        <f t="shared" si="259"/>
        <v>0</v>
      </c>
      <c r="U184" s="26">
        <f t="shared" si="259"/>
        <v>0</v>
      </c>
      <c r="V184" s="26"/>
      <c r="W184" s="26">
        <f t="shared" si="259"/>
        <v>0</v>
      </c>
      <c r="X184" s="26">
        <f t="shared" si="259"/>
        <v>0</v>
      </c>
      <c r="Y184" s="26"/>
      <c r="Z184" s="26">
        <f t="shared" si="259"/>
        <v>0</v>
      </c>
      <c r="AA184" s="26"/>
      <c r="AB184" s="26"/>
      <c r="AC184" s="26">
        <f t="shared" si="259"/>
        <v>0</v>
      </c>
      <c r="AD184" s="26">
        <f t="shared" si="259"/>
        <v>0</v>
      </c>
      <c r="AE184" s="26"/>
      <c r="AF184" s="26">
        <f t="shared" si="259"/>
        <v>0</v>
      </c>
      <c r="AG184" s="26"/>
      <c r="AH184" s="26"/>
      <c r="AI184" s="26">
        <f t="shared" si="259"/>
        <v>0</v>
      </c>
      <c r="AJ184" s="26"/>
      <c r="AK184" s="26"/>
      <c r="AL184" s="26">
        <f t="shared" si="259"/>
        <v>0</v>
      </c>
      <c r="AM184" s="26">
        <f t="shared" si="259"/>
        <v>0</v>
      </c>
      <c r="AN184" s="26"/>
      <c r="AO184" s="26">
        <f t="shared" si="259"/>
        <v>0</v>
      </c>
      <c r="AP184" s="25"/>
      <c r="AQ184" s="26"/>
      <c r="AR184" s="36"/>
      <c r="AS184" s="36"/>
      <c r="AT184" s="80"/>
      <c r="AU184" s="84">
        <f t="shared" si="219"/>
        <v>0</v>
      </c>
      <c r="AV184" s="84">
        <f t="shared" si="220"/>
        <v>0</v>
      </c>
      <c r="AW184" s="84">
        <f t="shared" si="221"/>
        <v>0</v>
      </c>
      <c r="AX184" s="84">
        <f t="shared" si="222"/>
        <v>0</v>
      </c>
    </row>
    <row r="185" spans="1:50" ht="15" customHeight="1" x14ac:dyDescent="0.3">
      <c r="A185" s="46" t="s">
        <v>70</v>
      </c>
      <c r="B185" s="37" t="s">
        <v>14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6"/>
      <c r="AS185" s="36"/>
      <c r="AT185" s="80"/>
      <c r="AU185" s="84">
        <f t="shared" si="219"/>
        <v>0</v>
      </c>
      <c r="AV185" s="84">
        <f t="shared" si="220"/>
        <v>0</v>
      </c>
      <c r="AW185" s="84">
        <f t="shared" si="221"/>
        <v>0</v>
      </c>
      <c r="AX185" s="84">
        <f t="shared" si="222"/>
        <v>0</v>
      </c>
    </row>
    <row r="186" spans="1:50" ht="22.5" customHeight="1" x14ac:dyDescent="0.3">
      <c r="A186" s="132" t="s">
        <v>71</v>
      </c>
      <c r="B186" s="127" t="s">
        <v>104</v>
      </c>
      <c r="C186" s="127" t="s">
        <v>6</v>
      </c>
      <c r="D186" s="38" t="s">
        <v>3</v>
      </c>
      <c r="E186" s="24">
        <f t="shared" ref="E186:F201" si="260">H186+K186+N186+Q186+T186+W186+Z186+AC186+AF186+AI186+AL186+AO186</f>
        <v>40</v>
      </c>
      <c r="F186" s="24">
        <f t="shared" si="260"/>
        <v>40</v>
      </c>
      <c r="G186" s="25">
        <f>F186/E186*100</f>
        <v>100</v>
      </c>
      <c r="H186" s="24">
        <f>H187+H188+H189+H190</f>
        <v>0</v>
      </c>
      <c r="I186" s="24"/>
      <c r="J186" s="22"/>
      <c r="K186" s="24">
        <f t="shared" ref="K186:AO186" si="261">K187+K188+K189+K190</f>
        <v>0</v>
      </c>
      <c r="L186" s="24"/>
      <c r="M186" s="22"/>
      <c r="N186" s="24">
        <f t="shared" si="261"/>
        <v>40</v>
      </c>
      <c r="O186" s="24">
        <f t="shared" si="261"/>
        <v>40</v>
      </c>
      <c r="P186" s="25">
        <f t="shared" ref="P186:P189" si="262">O186/N186*100</f>
        <v>100</v>
      </c>
      <c r="Q186" s="24">
        <f t="shared" si="261"/>
        <v>0</v>
      </c>
      <c r="R186" s="24"/>
      <c r="S186" s="22"/>
      <c r="T186" s="24">
        <f t="shared" si="261"/>
        <v>0</v>
      </c>
      <c r="U186" s="24"/>
      <c r="V186" s="22"/>
      <c r="W186" s="24">
        <f t="shared" si="261"/>
        <v>0</v>
      </c>
      <c r="X186" s="24"/>
      <c r="Y186" s="22"/>
      <c r="Z186" s="24">
        <f t="shared" si="261"/>
        <v>0</v>
      </c>
      <c r="AA186" s="24"/>
      <c r="AB186" s="22"/>
      <c r="AC186" s="24">
        <f t="shared" si="261"/>
        <v>0</v>
      </c>
      <c r="AD186" s="24"/>
      <c r="AE186" s="22"/>
      <c r="AF186" s="24">
        <f t="shared" si="261"/>
        <v>0</v>
      </c>
      <c r="AG186" s="24"/>
      <c r="AH186" s="22"/>
      <c r="AI186" s="24">
        <f t="shared" si="261"/>
        <v>0</v>
      </c>
      <c r="AJ186" s="24">
        <f t="shared" si="261"/>
        <v>0</v>
      </c>
      <c r="AK186" s="22"/>
      <c r="AL186" s="24">
        <f t="shared" si="261"/>
        <v>0</v>
      </c>
      <c r="AM186" s="24"/>
      <c r="AN186" s="22"/>
      <c r="AO186" s="24">
        <f t="shared" si="261"/>
        <v>0</v>
      </c>
      <c r="AP186" s="24"/>
      <c r="AQ186" s="22"/>
      <c r="AR186" s="36"/>
      <c r="AS186" s="36"/>
      <c r="AT186" s="80">
        <f t="shared" si="180"/>
        <v>1</v>
      </c>
      <c r="AU186" s="84">
        <f t="shared" si="219"/>
        <v>40</v>
      </c>
      <c r="AV186" s="84">
        <f t="shared" si="220"/>
        <v>0</v>
      </c>
      <c r="AW186" s="84">
        <f t="shared" si="221"/>
        <v>0</v>
      </c>
      <c r="AX186" s="84">
        <f t="shared" si="222"/>
        <v>0</v>
      </c>
    </row>
    <row r="187" spans="1:50" ht="15" customHeight="1" x14ac:dyDescent="0.3">
      <c r="A187" s="132"/>
      <c r="B187" s="127"/>
      <c r="C187" s="127"/>
      <c r="D187" s="38" t="s">
        <v>22</v>
      </c>
      <c r="E187" s="24">
        <f t="shared" si="260"/>
        <v>0</v>
      </c>
      <c r="F187" s="24">
        <f t="shared" si="260"/>
        <v>0</v>
      </c>
      <c r="G187" s="25"/>
      <c r="H187" s="24"/>
      <c r="I187" s="24"/>
      <c r="J187" s="22"/>
      <c r="K187" s="24"/>
      <c r="L187" s="24"/>
      <c r="M187" s="22"/>
      <c r="N187" s="24"/>
      <c r="O187" s="24"/>
      <c r="P187" s="25"/>
      <c r="Q187" s="24"/>
      <c r="R187" s="24"/>
      <c r="S187" s="22"/>
      <c r="T187" s="24"/>
      <c r="U187" s="24"/>
      <c r="V187" s="22"/>
      <c r="W187" s="24"/>
      <c r="X187" s="24"/>
      <c r="Y187" s="22"/>
      <c r="Z187" s="24"/>
      <c r="AA187" s="24"/>
      <c r="AB187" s="22"/>
      <c r="AC187" s="24"/>
      <c r="AD187" s="24"/>
      <c r="AE187" s="22"/>
      <c r="AF187" s="24"/>
      <c r="AG187" s="24"/>
      <c r="AH187" s="22"/>
      <c r="AI187" s="24"/>
      <c r="AJ187" s="24"/>
      <c r="AK187" s="22"/>
      <c r="AL187" s="24"/>
      <c r="AM187" s="24"/>
      <c r="AN187" s="22"/>
      <c r="AO187" s="24"/>
      <c r="AP187" s="24"/>
      <c r="AQ187" s="22"/>
      <c r="AR187" s="36"/>
      <c r="AS187" s="36"/>
      <c r="AT187" s="80"/>
      <c r="AU187" s="84">
        <f t="shared" si="219"/>
        <v>0</v>
      </c>
      <c r="AV187" s="84">
        <f t="shared" si="220"/>
        <v>0</v>
      </c>
      <c r="AW187" s="84">
        <f t="shared" si="221"/>
        <v>0</v>
      </c>
      <c r="AX187" s="84">
        <f t="shared" si="222"/>
        <v>0</v>
      </c>
    </row>
    <row r="188" spans="1:50" ht="15" customHeight="1" x14ac:dyDescent="0.3">
      <c r="A188" s="132"/>
      <c r="B188" s="127"/>
      <c r="C188" s="127"/>
      <c r="D188" s="38" t="s">
        <v>4</v>
      </c>
      <c r="E188" s="24">
        <f t="shared" si="260"/>
        <v>0</v>
      </c>
      <c r="F188" s="24">
        <f t="shared" si="260"/>
        <v>0</v>
      </c>
      <c r="G188" s="25"/>
      <c r="H188" s="25"/>
      <c r="I188" s="25"/>
      <c r="J188" s="22"/>
      <c r="K188" s="25"/>
      <c r="L188" s="25"/>
      <c r="M188" s="22"/>
      <c r="N188" s="25"/>
      <c r="O188" s="25"/>
      <c r="P188" s="25"/>
      <c r="Q188" s="25"/>
      <c r="R188" s="25"/>
      <c r="S188" s="22"/>
      <c r="T188" s="25"/>
      <c r="U188" s="25"/>
      <c r="V188" s="22"/>
      <c r="W188" s="25"/>
      <c r="X188" s="25"/>
      <c r="Y188" s="22"/>
      <c r="Z188" s="25"/>
      <c r="AA188" s="25"/>
      <c r="AB188" s="22"/>
      <c r="AC188" s="25"/>
      <c r="AD188" s="25"/>
      <c r="AE188" s="22"/>
      <c r="AF188" s="25"/>
      <c r="AG188" s="25"/>
      <c r="AH188" s="22"/>
      <c r="AI188" s="25"/>
      <c r="AJ188" s="25"/>
      <c r="AK188" s="22"/>
      <c r="AL188" s="25"/>
      <c r="AM188" s="25"/>
      <c r="AN188" s="22"/>
      <c r="AO188" s="25"/>
      <c r="AP188" s="25"/>
      <c r="AQ188" s="22"/>
      <c r="AR188" s="36"/>
      <c r="AS188" s="36"/>
      <c r="AT188" s="80"/>
      <c r="AU188" s="84">
        <f t="shared" si="219"/>
        <v>0</v>
      </c>
      <c r="AV188" s="84">
        <f t="shared" si="220"/>
        <v>0</v>
      </c>
      <c r="AW188" s="84">
        <f t="shared" si="221"/>
        <v>0</v>
      </c>
      <c r="AX188" s="84">
        <f t="shared" si="222"/>
        <v>0</v>
      </c>
    </row>
    <row r="189" spans="1:50" ht="37.950000000000003" customHeight="1" x14ac:dyDescent="0.3">
      <c r="A189" s="132"/>
      <c r="B189" s="127"/>
      <c r="C189" s="127"/>
      <c r="D189" s="38" t="s">
        <v>44</v>
      </c>
      <c r="E189" s="24">
        <f t="shared" si="260"/>
        <v>40</v>
      </c>
      <c r="F189" s="24">
        <f t="shared" si="260"/>
        <v>40</v>
      </c>
      <c r="G189" s="25">
        <f t="shared" ref="G189" si="263">F189/E189*100</f>
        <v>100</v>
      </c>
      <c r="H189" s="25"/>
      <c r="I189" s="25"/>
      <c r="J189" s="22"/>
      <c r="K189" s="25"/>
      <c r="L189" s="25"/>
      <c r="M189" s="22"/>
      <c r="N189" s="25">
        <v>40</v>
      </c>
      <c r="O189" s="25">
        <v>40</v>
      </c>
      <c r="P189" s="25">
        <f t="shared" si="262"/>
        <v>100</v>
      </c>
      <c r="Q189" s="25"/>
      <c r="R189" s="25"/>
      <c r="S189" s="22"/>
      <c r="T189" s="25"/>
      <c r="U189" s="25"/>
      <c r="V189" s="22"/>
      <c r="W189" s="25"/>
      <c r="X189" s="25"/>
      <c r="Y189" s="22"/>
      <c r="Z189" s="25"/>
      <c r="AA189" s="25"/>
      <c r="AB189" s="22"/>
      <c r="AC189" s="25"/>
      <c r="AD189" s="25"/>
      <c r="AE189" s="22"/>
      <c r="AF189" s="25"/>
      <c r="AG189" s="25"/>
      <c r="AH189" s="22"/>
      <c r="AI189" s="25"/>
      <c r="AJ189" s="25"/>
      <c r="AK189" s="22"/>
      <c r="AL189" s="25"/>
      <c r="AM189" s="25"/>
      <c r="AN189" s="22"/>
      <c r="AO189" s="25"/>
      <c r="AP189" s="25"/>
      <c r="AQ189" s="22"/>
      <c r="AR189" s="119" t="s">
        <v>133</v>
      </c>
      <c r="AS189" s="36"/>
      <c r="AT189" s="80">
        <f t="shared" si="180"/>
        <v>1</v>
      </c>
      <c r="AU189" s="84">
        <f t="shared" si="219"/>
        <v>40</v>
      </c>
      <c r="AV189" s="84">
        <f t="shared" si="220"/>
        <v>0</v>
      </c>
      <c r="AW189" s="84">
        <f t="shared" si="221"/>
        <v>0</v>
      </c>
      <c r="AX189" s="84">
        <f t="shared" si="222"/>
        <v>0</v>
      </c>
    </row>
    <row r="190" spans="1:50" ht="15.75" customHeight="1" x14ac:dyDescent="0.3">
      <c r="A190" s="132"/>
      <c r="B190" s="127"/>
      <c r="C190" s="127"/>
      <c r="D190" s="38" t="s">
        <v>23</v>
      </c>
      <c r="E190" s="24">
        <f t="shared" si="260"/>
        <v>0</v>
      </c>
      <c r="F190" s="24">
        <f t="shared" si="260"/>
        <v>0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36"/>
      <c r="AS190" s="36"/>
      <c r="AT190" s="80"/>
      <c r="AU190" s="84">
        <f t="shared" si="219"/>
        <v>0</v>
      </c>
      <c r="AV190" s="84">
        <f t="shared" si="220"/>
        <v>0</v>
      </c>
      <c r="AW190" s="84">
        <f t="shared" si="221"/>
        <v>0</v>
      </c>
      <c r="AX190" s="84">
        <f t="shared" si="222"/>
        <v>0</v>
      </c>
    </row>
    <row r="191" spans="1:50" ht="15.75" customHeight="1" x14ac:dyDescent="0.3">
      <c r="A191" s="132" t="s">
        <v>72</v>
      </c>
      <c r="B191" s="127" t="s">
        <v>105</v>
      </c>
      <c r="C191" s="127" t="s">
        <v>6</v>
      </c>
      <c r="D191" s="38" t="s">
        <v>3</v>
      </c>
      <c r="E191" s="24">
        <f t="shared" si="260"/>
        <v>0</v>
      </c>
      <c r="F191" s="24">
        <f t="shared" si="260"/>
        <v>0</v>
      </c>
      <c r="G191" s="25"/>
      <c r="H191" s="24">
        <f>H192+H193+H194+H195</f>
        <v>0</v>
      </c>
      <c r="I191" s="24"/>
      <c r="J191" s="25"/>
      <c r="K191" s="24">
        <f t="shared" ref="K191:AO191" si="264">K192+K193+K194+K195</f>
        <v>0</v>
      </c>
      <c r="L191" s="24"/>
      <c r="M191" s="25"/>
      <c r="N191" s="24">
        <f t="shared" si="264"/>
        <v>0</v>
      </c>
      <c r="O191" s="24"/>
      <c r="P191" s="25"/>
      <c r="Q191" s="24">
        <f t="shared" si="264"/>
        <v>0</v>
      </c>
      <c r="R191" s="24"/>
      <c r="S191" s="25"/>
      <c r="T191" s="24">
        <f t="shared" si="264"/>
        <v>0</v>
      </c>
      <c r="U191" s="24"/>
      <c r="V191" s="25"/>
      <c r="W191" s="24">
        <f t="shared" si="264"/>
        <v>0</v>
      </c>
      <c r="X191" s="24"/>
      <c r="Y191" s="25"/>
      <c r="Z191" s="24">
        <f t="shared" si="264"/>
        <v>0</v>
      </c>
      <c r="AA191" s="24"/>
      <c r="AB191" s="25"/>
      <c r="AC191" s="24">
        <f t="shared" si="264"/>
        <v>0</v>
      </c>
      <c r="AD191" s="24"/>
      <c r="AE191" s="25"/>
      <c r="AF191" s="24">
        <f t="shared" si="264"/>
        <v>0</v>
      </c>
      <c r="AG191" s="24"/>
      <c r="AH191" s="25"/>
      <c r="AI191" s="24">
        <f t="shared" si="264"/>
        <v>0</v>
      </c>
      <c r="AJ191" s="24"/>
      <c r="AK191" s="25"/>
      <c r="AL191" s="24">
        <f t="shared" si="264"/>
        <v>0</v>
      </c>
      <c r="AM191" s="24"/>
      <c r="AN191" s="25"/>
      <c r="AO191" s="24">
        <f t="shared" si="264"/>
        <v>0</v>
      </c>
      <c r="AP191" s="24"/>
      <c r="AQ191" s="25"/>
      <c r="AR191" s="36"/>
      <c r="AS191" s="36"/>
      <c r="AT191" s="80"/>
      <c r="AU191" s="84">
        <f t="shared" si="219"/>
        <v>0</v>
      </c>
      <c r="AV191" s="84">
        <f t="shared" si="220"/>
        <v>0</v>
      </c>
      <c r="AW191" s="84">
        <f t="shared" si="221"/>
        <v>0</v>
      </c>
      <c r="AX191" s="84">
        <f t="shared" si="222"/>
        <v>0</v>
      </c>
    </row>
    <row r="192" spans="1:50" ht="15.6" x14ac:dyDescent="0.3">
      <c r="A192" s="132"/>
      <c r="B192" s="127"/>
      <c r="C192" s="127"/>
      <c r="D192" s="38" t="s">
        <v>22</v>
      </c>
      <c r="E192" s="24">
        <f t="shared" si="260"/>
        <v>0</v>
      </c>
      <c r="F192" s="24">
        <f t="shared" si="260"/>
        <v>0</v>
      </c>
      <c r="G192" s="25"/>
      <c r="H192" s="24"/>
      <c r="I192" s="24"/>
      <c r="J192" s="25"/>
      <c r="K192" s="24"/>
      <c r="L192" s="24"/>
      <c r="M192" s="25"/>
      <c r="N192" s="24"/>
      <c r="O192" s="24"/>
      <c r="P192" s="25"/>
      <c r="Q192" s="24"/>
      <c r="R192" s="24"/>
      <c r="S192" s="25"/>
      <c r="T192" s="24"/>
      <c r="U192" s="24"/>
      <c r="V192" s="25"/>
      <c r="W192" s="24"/>
      <c r="X192" s="24"/>
      <c r="Y192" s="25"/>
      <c r="Z192" s="24"/>
      <c r="AA192" s="24"/>
      <c r="AB192" s="25"/>
      <c r="AC192" s="24"/>
      <c r="AD192" s="24"/>
      <c r="AE192" s="25"/>
      <c r="AF192" s="24"/>
      <c r="AG192" s="24"/>
      <c r="AH192" s="25"/>
      <c r="AI192" s="24"/>
      <c r="AJ192" s="24"/>
      <c r="AK192" s="25"/>
      <c r="AL192" s="24"/>
      <c r="AM192" s="24"/>
      <c r="AN192" s="25"/>
      <c r="AO192" s="24"/>
      <c r="AP192" s="24"/>
      <c r="AQ192" s="25"/>
      <c r="AR192" s="36"/>
      <c r="AS192" s="36"/>
      <c r="AT192" s="80"/>
      <c r="AU192" s="84">
        <f t="shared" si="219"/>
        <v>0</v>
      </c>
      <c r="AV192" s="84">
        <f t="shared" si="220"/>
        <v>0</v>
      </c>
      <c r="AW192" s="84">
        <f t="shared" si="221"/>
        <v>0</v>
      </c>
      <c r="AX192" s="84">
        <f t="shared" si="222"/>
        <v>0</v>
      </c>
    </row>
    <row r="193" spans="1:50" ht="24" x14ac:dyDescent="0.3">
      <c r="A193" s="132"/>
      <c r="B193" s="127"/>
      <c r="C193" s="127"/>
      <c r="D193" s="38" t="s">
        <v>4</v>
      </c>
      <c r="E193" s="24">
        <f t="shared" si="260"/>
        <v>0</v>
      </c>
      <c r="F193" s="24">
        <f t="shared" si="260"/>
        <v>0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36"/>
      <c r="AS193" s="36"/>
      <c r="AT193" s="80"/>
      <c r="AU193" s="84">
        <f t="shared" si="219"/>
        <v>0</v>
      </c>
      <c r="AV193" s="84">
        <f t="shared" si="220"/>
        <v>0</v>
      </c>
      <c r="AW193" s="84">
        <f t="shared" si="221"/>
        <v>0</v>
      </c>
      <c r="AX193" s="84">
        <f t="shared" si="222"/>
        <v>0</v>
      </c>
    </row>
    <row r="194" spans="1:50" ht="15.6" x14ac:dyDescent="0.3">
      <c r="A194" s="132"/>
      <c r="B194" s="127"/>
      <c r="C194" s="127"/>
      <c r="D194" s="38" t="s">
        <v>44</v>
      </c>
      <c r="E194" s="24">
        <f t="shared" si="260"/>
        <v>0</v>
      </c>
      <c r="F194" s="24">
        <f t="shared" si="260"/>
        <v>0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36"/>
      <c r="AS194" s="36"/>
      <c r="AT194" s="80"/>
      <c r="AU194" s="84">
        <f t="shared" si="219"/>
        <v>0</v>
      </c>
      <c r="AV194" s="84">
        <f t="shared" si="220"/>
        <v>0</v>
      </c>
      <c r="AW194" s="84">
        <f t="shared" si="221"/>
        <v>0</v>
      </c>
      <c r="AX194" s="84">
        <f t="shared" si="222"/>
        <v>0</v>
      </c>
    </row>
    <row r="195" spans="1:50" ht="15.75" customHeight="1" x14ac:dyDescent="0.3">
      <c r="A195" s="132"/>
      <c r="B195" s="127"/>
      <c r="C195" s="127"/>
      <c r="D195" s="38" t="s">
        <v>23</v>
      </c>
      <c r="E195" s="24">
        <f t="shared" si="260"/>
        <v>0</v>
      </c>
      <c r="F195" s="24">
        <f t="shared" si="260"/>
        <v>0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36"/>
      <c r="AS195" s="36"/>
      <c r="AT195" s="80"/>
      <c r="AU195" s="84">
        <f t="shared" si="219"/>
        <v>0</v>
      </c>
      <c r="AV195" s="84">
        <f t="shared" si="220"/>
        <v>0</v>
      </c>
      <c r="AW195" s="84">
        <f t="shared" si="221"/>
        <v>0</v>
      </c>
      <c r="AX195" s="84">
        <f t="shared" si="222"/>
        <v>0</v>
      </c>
    </row>
    <row r="196" spans="1:50" ht="15.75" customHeight="1" x14ac:dyDescent="0.3">
      <c r="A196" s="132" t="s">
        <v>73</v>
      </c>
      <c r="B196" s="127" t="s">
        <v>106</v>
      </c>
      <c r="C196" s="127" t="s">
        <v>6</v>
      </c>
      <c r="D196" s="38" t="s">
        <v>3</v>
      </c>
      <c r="E196" s="24">
        <f t="shared" si="260"/>
        <v>104.6</v>
      </c>
      <c r="F196" s="24">
        <f t="shared" si="260"/>
        <v>104.6</v>
      </c>
      <c r="G196" s="25">
        <f>F196/E196*100</f>
        <v>100</v>
      </c>
      <c r="H196" s="24">
        <f>H197+H198+H199+H200</f>
        <v>0</v>
      </c>
      <c r="I196" s="24"/>
      <c r="J196" s="25"/>
      <c r="K196" s="24">
        <f t="shared" ref="K196:AO196" si="265">K197+K198+K199+K200</f>
        <v>0</v>
      </c>
      <c r="L196" s="24"/>
      <c r="M196" s="25"/>
      <c r="N196" s="24">
        <f t="shared" si="265"/>
        <v>0</v>
      </c>
      <c r="O196" s="24"/>
      <c r="P196" s="25"/>
      <c r="Q196" s="24">
        <f t="shared" si="265"/>
        <v>0</v>
      </c>
      <c r="R196" s="24"/>
      <c r="S196" s="25"/>
      <c r="T196" s="24">
        <f t="shared" si="265"/>
        <v>0</v>
      </c>
      <c r="U196" s="24"/>
      <c r="V196" s="25"/>
      <c r="W196" s="24">
        <f t="shared" si="265"/>
        <v>0</v>
      </c>
      <c r="X196" s="24"/>
      <c r="Y196" s="25"/>
      <c r="Z196" s="24">
        <f t="shared" si="265"/>
        <v>35</v>
      </c>
      <c r="AA196" s="24">
        <f t="shared" si="265"/>
        <v>35</v>
      </c>
      <c r="AB196" s="25">
        <f>AA196/Z196*100</f>
        <v>100</v>
      </c>
      <c r="AC196" s="24">
        <f t="shared" si="265"/>
        <v>35</v>
      </c>
      <c r="AD196" s="24">
        <f t="shared" si="265"/>
        <v>0</v>
      </c>
      <c r="AE196" s="25">
        <f>AD196/AC196*100</f>
        <v>0</v>
      </c>
      <c r="AF196" s="24">
        <f t="shared" si="265"/>
        <v>34.6</v>
      </c>
      <c r="AG196" s="24">
        <f t="shared" si="265"/>
        <v>69.599999999999994</v>
      </c>
      <c r="AH196" s="25">
        <f>AG196/AF196*100</f>
        <v>201.15606936416182</v>
      </c>
      <c r="AI196" s="24">
        <f t="shared" si="265"/>
        <v>0</v>
      </c>
      <c r="AJ196" s="24"/>
      <c r="AK196" s="25"/>
      <c r="AL196" s="24">
        <f t="shared" si="265"/>
        <v>0</v>
      </c>
      <c r="AM196" s="24"/>
      <c r="AN196" s="25"/>
      <c r="AO196" s="24">
        <f t="shared" si="265"/>
        <v>0</v>
      </c>
      <c r="AP196" s="24"/>
      <c r="AQ196" s="25"/>
      <c r="AR196" s="36"/>
      <c r="AS196" s="36"/>
      <c r="AT196" s="80">
        <f t="shared" si="180"/>
        <v>1</v>
      </c>
      <c r="AU196" s="84">
        <f t="shared" si="219"/>
        <v>0</v>
      </c>
      <c r="AV196" s="84">
        <f t="shared" si="220"/>
        <v>0</v>
      </c>
      <c r="AW196" s="84">
        <f t="shared" si="221"/>
        <v>104.6</v>
      </c>
      <c r="AX196" s="84">
        <f t="shared" si="222"/>
        <v>0</v>
      </c>
    </row>
    <row r="197" spans="1:50" ht="15.6" x14ac:dyDescent="0.3">
      <c r="A197" s="132"/>
      <c r="B197" s="127"/>
      <c r="C197" s="127"/>
      <c r="D197" s="38" t="s">
        <v>22</v>
      </c>
      <c r="E197" s="24">
        <f t="shared" si="260"/>
        <v>0</v>
      </c>
      <c r="F197" s="24">
        <f t="shared" si="260"/>
        <v>0</v>
      </c>
      <c r="G197" s="25"/>
      <c r="H197" s="24"/>
      <c r="I197" s="24"/>
      <c r="J197" s="25"/>
      <c r="K197" s="24"/>
      <c r="L197" s="24"/>
      <c r="M197" s="25"/>
      <c r="N197" s="24"/>
      <c r="O197" s="24"/>
      <c r="P197" s="25"/>
      <c r="Q197" s="24"/>
      <c r="R197" s="24"/>
      <c r="S197" s="25"/>
      <c r="T197" s="24"/>
      <c r="U197" s="24"/>
      <c r="V197" s="25"/>
      <c r="W197" s="24"/>
      <c r="X197" s="24"/>
      <c r="Y197" s="25"/>
      <c r="Z197" s="24"/>
      <c r="AA197" s="24"/>
      <c r="AB197" s="25"/>
      <c r="AC197" s="24"/>
      <c r="AD197" s="24"/>
      <c r="AE197" s="25"/>
      <c r="AF197" s="24"/>
      <c r="AG197" s="24"/>
      <c r="AH197" s="25"/>
      <c r="AI197" s="24"/>
      <c r="AJ197" s="24"/>
      <c r="AK197" s="25"/>
      <c r="AL197" s="24"/>
      <c r="AM197" s="24"/>
      <c r="AN197" s="25"/>
      <c r="AO197" s="24"/>
      <c r="AP197" s="24"/>
      <c r="AQ197" s="25"/>
      <c r="AR197" s="36"/>
      <c r="AS197" s="36"/>
      <c r="AT197" s="80"/>
      <c r="AU197" s="84">
        <f t="shared" si="219"/>
        <v>0</v>
      </c>
      <c r="AV197" s="84">
        <f t="shared" si="220"/>
        <v>0</v>
      </c>
      <c r="AW197" s="84">
        <f t="shared" si="221"/>
        <v>0</v>
      </c>
      <c r="AX197" s="84">
        <f t="shared" si="222"/>
        <v>0</v>
      </c>
    </row>
    <row r="198" spans="1:50" ht="24" x14ac:dyDescent="0.3">
      <c r="A198" s="132"/>
      <c r="B198" s="127"/>
      <c r="C198" s="127"/>
      <c r="D198" s="38" t="s">
        <v>4</v>
      </c>
      <c r="E198" s="24">
        <f t="shared" si="260"/>
        <v>0</v>
      </c>
      <c r="F198" s="24">
        <f t="shared" si="260"/>
        <v>0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36"/>
      <c r="AS198" s="36"/>
      <c r="AT198" s="80"/>
      <c r="AU198" s="84">
        <f t="shared" si="219"/>
        <v>0</v>
      </c>
      <c r="AV198" s="84">
        <f t="shared" si="220"/>
        <v>0</v>
      </c>
      <c r="AW198" s="84">
        <f t="shared" si="221"/>
        <v>0</v>
      </c>
      <c r="AX198" s="84">
        <f t="shared" si="222"/>
        <v>0</v>
      </c>
    </row>
    <row r="199" spans="1:50" ht="36.6" customHeight="1" x14ac:dyDescent="0.3">
      <c r="A199" s="132"/>
      <c r="B199" s="127"/>
      <c r="C199" s="127"/>
      <c r="D199" s="38" t="s">
        <v>44</v>
      </c>
      <c r="E199" s="24">
        <f t="shared" si="260"/>
        <v>104.6</v>
      </c>
      <c r="F199" s="24">
        <f t="shared" si="260"/>
        <v>104.6</v>
      </c>
      <c r="G199" s="25">
        <f t="shared" ref="G199" si="266">F199/E199*100</f>
        <v>100</v>
      </c>
      <c r="H199" s="24"/>
      <c r="I199" s="24"/>
      <c r="J199" s="25"/>
      <c r="K199" s="24"/>
      <c r="L199" s="24"/>
      <c r="M199" s="25"/>
      <c r="N199" s="24"/>
      <c r="O199" s="24"/>
      <c r="P199" s="25"/>
      <c r="Q199" s="24"/>
      <c r="R199" s="24"/>
      <c r="S199" s="25"/>
      <c r="T199" s="24"/>
      <c r="U199" s="24"/>
      <c r="V199" s="25"/>
      <c r="W199" s="24"/>
      <c r="X199" s="24"/>
      <c r="Y199" s="25"/>
      <c r="Z199" s="25">
        <v>35</v>
      </c>
      <c r="AA199" s="25">
        <v>35</v>
      </c>
      <c r="AB199" s="25">
        <f t="shared" ref="AB199" si="267">AA199/Z199*100</f>
        <v>100</v>
      </c>
      <c r="AC199" s="25">
        <v>35</v>
      </c>
      <c r="AD199" s="25">
        <v>0</v>
      </c>
      <c r="AE199" s="25">
        <f t="shared" ref="AE199" si="268">AD199/AC199*100</f>
        <v>0</v>
      </c>
      <c r="AF199" s="25">
        <f>35-0.4</f>
        <v>34.6</v>
      </c>
      <c r="AG199" s="24">
        <v>69.599999999999994</v>
      </c>
      <c r="AH199" s="25">
        <f t="shared" ref="AH199" si="269">AG199/AF199*100</f>
        <v>201.15606936416182</v>
      </c>
      <c r="AI199" s="24"/>
      <c r="AJ199" s="24"/>
      <c r="AK199" s="25"/>
      <c r="AL199" s="24"/>
      <c r="AM199" s="24"/>
      <c r="AN199" s="25"/>
      <c r="AO199" s="24"/>
      <c r="AP199" s="24"/>
      <c r="AQ199" s="25"/>
      <c r="AR199" s="119" t="s">
        <v>160</v>
      </c>
      <c r="AS199" s="119"/>
      <c r="AT199" s="80">
        <f t="shared" si="180"/>
        <v>1</v>
      </c>
      <c r="AU199" s="84">
        <f t="shared" si="219"/>
        <v>0</v>
      </c>
      <c r="AV199" s="84">
        <f t="shared" si="220"/>
        <v>0</v>
      </c>
      <c r="AW199" s="84">
        <f t="shared" si="221"/>
        <v>104.6</v>
      </c>
      <c r="AX199" s="84">
        <f t="shared" si="222"/>
        <v>0</v>
      </c>
    </row>
    <row r="200" spans="1:50" ht="15.75" customHeight="1" x14ac:dyDescent="0.3">
      <c r="A200" s="132"/>
      <c r="B200" s="127"/>
      <c r="C200" s="127"/>
      <c r="D200" s="38" t="s">
        <v>23</v>
      </c>
      <c r="E200" s="24">
        <f t="shared" si="260"/>
        <v>0</v>
      </c>
      <c r="F200" s="24">
        <f t="shared" si="260"/>
        <v>0</v>
      </c>
      <c r="G200" s="25"/>
      <c r="H200" s="24"/>
      <c r="I200" s="24"/>
      <c r="J200" s="25"/>
      <c r="K200" s="24"/>
      <c r="L200" s="24"/>
      <c r="M200" s="25"/>
      <c r="N200" s="24"/>
      <c r="O200" s="24"/>
      <c r="P200" s="25"/>
      <c r="Q200" s="24"/>
      <c r="R200" s="24"/>
      <c r="S200" s="25"/>
      <c r="T200" s="24"/>
      <c r="U200" s="24"/>
      <c r="V200" s="25"/>
      <c r="W200" s="24"/>
      <c r="X200" s="24"/>
      <c r="Y200" s="25"/>
      <c r="Z200" s="24"/>
      <c r="AA200" s="24"/>
      <c r="AB200" s="25"/>
      <c r="AC200" s="24"/>
      <c r="AD200" s="24"/>
      <c r="AE200" s="25"/>
      <c r="AF200" s="24"/>
      <c r="AG200" s="24"/>
      <c r="AH200" s="25"/>
      <c r="AI200" s="24"/>
      <c r="AJ200" s="24"/>
      <c r="AK200" s="25"/>
      <c r="AL200" s="24"/>
      <c r="AM200" s="24"/>
      <c r="AN200" s="25"/>
      <c r="AO200" s="24"/>
      <c r="AP200" s="24"/>
      <c r="AQ200" s="25"/>
      <c r="AR200" s="36"/>
      <c r="AS200" s="36"/>
      <c r="AT200" s="80"/>
      <c r="AU200" s="84">
        <f t="shared" si="219"/>
        <v>0</v>
      </c>
      <c r="AV200" s="84">
        <f t="shared" si="220"/>
        <v>0</v>
      </c>
      <c r="AW200" s="84">
        <f t="shared" si="221"/>
        <v>0</v>
      </c>
      <c r="AX200" s="84">
        <f t="shared" si="222"/>
        <v>0</v>
      </c>
    </row>
    <row r="201" spans="1:50" ht="15.75" customHeight="1" x14ac:dyDescent="0.3">
      <c r="A201" s="132" t="s">
        <v>74</v>
      </c>
      <c r="B201" s="127" t="s">
        <v>107</v>
      </c>
      <c r="C201" s="127" t="s">
        <v>6</v>
      </c>
      <c r="D201" s="38" t="s">
        <v>3</v>
      </c>
      <c r="E201" s="24">
        <f t="shared" si="260"/>
        <v>9.9999999999999929</v>
      </c>
      <c r="F201" s="24">
        <f t="shared" si="260"/>
        <v>2</v>
      </c>
      <c r="G201" s="25">
        <f>F201/E201*100</f>
        <v>20.000000000000014</v>
      </c>
      <c r="H201" s="24">
        <f>H202+H203+H204+H205</f>
        <v>0</v>
      </c>
      <c r="I201" s="24"/>
      <c r="J201" s="22"/>
      <c r="K201" s="24">
        <f t="shared" ref="K201:AP201" si="270">K202+K203+K204+K205</f>
        <v>20</v>
      </c>
      <c r="L201" s="24">
        <f t="shared" si="270"/>
        <v>0</v>
      </c>
      <c r="M201" s="22"/>
      <c r="N201" s="24">
        <f t="shared" si="270"/>
        <v>-19</v>
      </c>
      <c r="O201" s="24">
        <f t="shared" si="270"/>
        <v>1</v>
      </c>
      <c r="P201" s="25">
        <f t="shared" ref="P201:P204" si="271">O201/N201*100</f>
        <v>-5.2631578947368416</v>
      </c>
      <c r="Q201" s="24">
        <f t="shared" si="270"/>
        <v>0</v>
      </c>
      <c r="R201" s="24"/>
      <c r="S201" s="22"/>
      <c r="T201" s="24">
        <f t="shared" si="270"/>
        <v>0</v>
      </c>
      <c r="U201" s="24"/>
      <c r="V201" s="22"/>
      <c r="W201" s="24">
        <f t="shared" si="270"/>
        <v>0</v>
      </c>
      <c r="X201" s="24">
        <f t="shared" si="270"/>
        <v>0</v>
      </c>
      <c r="Y201" s="22"/>
      <c r="Z201" s="24">
        <f t="shared" si="270"/>
        <v>0</v>
      </c>
      <c r="AA201" s="24"/>
      <c r="AB201" s="22"/>
      <c r="AC201" s="24">
        <f t="shared" si="270"/>
        <v>0</v>
      </c>
      <c r="AD201" s="24">
        <f t="shared" si="270"/>
        <v>0</v>
      </c>
      <c r="AE201" s="25"/>
      <c r="AF201" s="24">
        <f t="shared" si="270"/>
        <v>0</v>
      </c>
      <c r="AG201" s="24"/>
      <c r="AH201" s="22"/>
      <c r="AI201" s="24">
        <f t="shared" si="270"/>
        <v>0</v>
      </c>
      <c r="AJ201" s="24"/>
      <c r="AK201" s="22"/>
      <c r="AL201" s="24">
        <f t="shared" si="270"/>
        <v>0</v>
      </c>
      <c r="AM201" s="24"/>
      <c r="AN201" s="22"/>
      <c r="AO201" s="24">
        <f t="shared" si="270"/>
        <v>8.9999999999999929</v>
      </c>
      <c r="AP201" s="24">
        <f t="shared" si="270"/>
        <v>1</v>
      </c>
      <c r="AQ201" s="25">
        <f>AP201/AO201*100</f>
        <v>11.11111111111112</v>
      </c>
      <c r="AR201" s="36"/>
      <c r="AS201" s="36"/>
      <c r="AT201" s="80">
        <f t="shared" si="180"/>
        <v>0.20000000000000015</v>
      </c>
      <c r="AU201" s="84">
        <f t="shared" si="219"/>
        <v>1</v>
      </c>
      <c r="AV201" s="84">
        <f t="shared" si="220"/>
        <v>0</v>
      </c>
      <c r="AW201" s="84">
        <f t="shared" si="221"/>
        <v>0</v>
      </c>
      <c r="AX201" s="84">
        <f t="shared" si="222"/>
        <v>8.9999999999999929</v>
      </c>
    </row>
    <row r="202" spans="1:50" ht="15.6" x14ac:dyDescent="0.3">
      <c r="A202" s="132"/>
      <c r="B202" s="127"/>
      <c r="C202" s="127"/>
      <c r="D202" s="38" t="s">
        <v>22</v>
      </c>
      <c r="E202" s="24">
        <f t="shared" ref="E202:F215" si="272">H202+K202+N202+Q202+T202+W202+Z202+AC202+AF202+AI202+AL202+AO202</f>
        <v>0</v>
      </c>
      <c r="F202" s="24">
        <f t="shared" si="272"/>
        <v>0</v>
      </c>
      <c r="G202" s="25"/>
      <c r="H202" s="24"/>
      <c r="I202" s="24"/>
      <c r="J202" s="22"/>
      <c r="K202" s="24"/>
      <c r="L202" s="24"/>
      <c r="M202" s="22"/>
      <c r="N202" s="24"/>
      <c r="O202" s="24"/>
      <c r="P202" s="25"/>
      <c r="Q202" s="24"/>
      <c r="R202" s="24"/>
      <c r="S202" s="22"/>
      <c r="T202" s="24"/>
      <c r="U202" s="24"/>
      <c r="V202" s="22"/>
      <c r="W202" s="24"/>
      <c r="X202" s="24"/>
      <c r="Y202" s="22"/>
      <c r="Z202" s="24"/>
      <c r="AA202" s="24"/>
      <c r="AB202" s="22"/>
      <c r="AC202" s="24"/>
      <c r="AD202" s="24"/>
      <c r="AE202" s="25"/>
      <c r="AF202" s="24"/>
      <c r="AG202" s="24"/>
      <c r="AH202" s="22"/>
      <c r="AI202" s="24"/>
      <c r="AJ202" s="24"/>
      <c r="AK202" s="22"/>
      <c r="AL202" s="24"/>
      <c r="AM202" s="24"/>
      <c r="AN202" s="22"/>
      <c r="AO202" s="24"/>
      <c r="AP202" s="24"/>
      <c r="AQ202" s="25"/>
      <c r="AR202" s="36"/>
      <c r="AS202" s="36"/>
      <c r="AT202" s="80"/>
      <c r="AU202" s="84">
        <f t="shared" si="219"/>
        <v>0</v>
      </c>
      <c r="AV202" s="84">
        <f t="shared" si="220"/>
        <v>0</v>
      </c>
      <c r="AW202" s="84">
        <f t="shared" si="221"/>
        <v>0</v>
      </c>
      <c r="AX202" s="84">
        <f t="shared" si="222"/>
        <v>0</v>
      </c>
    </row>
    <row r="203" spans="1:50" ht="24" x14ac:dyDescent="0.3">
      <c r="A203" s="132"/>
      <c r="B203" s="127"/>
      <c r="C203" s="127"/>
      <c r="D203" s="38" t="s">
        <v>4</v>
      </c>
      <c r="E203" s="24">
        <f t="shared" si="272"/>
        <v>0</v>
      </c>
      <c r="F203" s="24">
        <f t="shared" si="272"/>
        <v>0</v>
      </c>
      <c r="G203" s="25"/>
      <c r="H203" s="25"/>
      <c r="I203" s="25"/>
      <c r="J203" s="22"/>
      <c r="K203" s="25"/>
      <c r="L203" s="25"/>
      <c r="M203" s="22"/>
      <c r="N203" s="25"/>
      <c r="O203" s="25"/>
      <c r="P203" s="25"/>
      <c r="Q203" s="25"/>
      <c r="R203" s="25"/>
      <c r="S203" s="22"/>
      <c r="T203" s="25"/>
      <c r="U203" s="25"/>
      <c r="V203" s="22"/>
      <c r="W203" s="25"/>
      <c r="X203" s="25"/>
      <c r="Y203" s="22"/>
      <c r="Z203" s="25"/>
      <c r="AA203" s="25"/>
      <c r="AB203" s="22"/>
      <c r="AC203" s="25"/>
      <c r="AD203" s="25"/>
      <c r="AE203" s="25"/>
      <c r="AF203" s="25"/>
      <c r="AG203" s="25"/>
      <c r="AH203" s="22"/>
      <c r="AI203" s="25"/>
      <c r="AJ203" s="25"/>
      <c r="AK203" s="22"/>
      <c r="AL203" s="25"/>
      <c r="AM203" s="25"/>
      <c r="AN203" s="22"/>
      <c r="AO203" s="25"/>
      <c r="AP203" s="25"/>
      <c r="AQ203" s="25"/>
      <c r="AR203" s="36"/>
      <c r="AS203" s="36"/>
      <c r="AT203" s="80"/>
      <c r="AU203" s="84">
        <f t="shared" si="219"/>
        <v>0</v>
      </c>
      <c r="AV203" s="84">
        <f t="shared" si="220"/>
        <v>0</v>
      </c>
      <c r="AW203" s="84">
        <f t="shared" si="221"/>
        <v>0</v>
      </c>
      <c r="AX203" s="84">
        <f t="shared" si="222"/>
        <v>0</v>
      </c>
    </row>
    <row r="204" spans="1:50" ht="47.4" customHeight="1" x14ac:dyDescent="0.3">
      <c r="A204" s="132"/>
      <c r="B204" s="127"/>
      <c r="C204" s="127"/>
      <c r="D204" s="38" t="s">
        <v>44</v>
      </c>
      <c r="E204" s="24">
        <f t="shared" si="272"/>
        <v>9.9999999999999929</v>
      </c>
      <c r="F204" s="24">
        <f t="shared" si="272"/>
        <v>2</v>
      </c>
      <c r="G204" s="25">
        <f t="shared" ref="G204" si="273">F204/E204*100</f>
        <v>20.000000000000014</v>
      </c>
      <c r="H204" s="24"/>
      <c r="I204" s="24"/>
      <c r="J204" s="22"/>
      <c r="K204" s="24">
        <v>20</v>
      </c>
      <c r="L204" s="24">
        <v>0</v>
      </c>
      <c r="M204" s="22"/>
      <c r="N204" s="24">
        <f>30-49</f>
        <v>-19</v>
      </c>
      <c r="O204" s="24">
        <v>1</v>
      </c>
      <c r="P204" s="25">
        <f t="shared" si="271"/>
        <v>-5.2631578947368416</v>
      </c>
      <c r="Q204" s="24"/>
      <c r="R204" s="24"/>
      <c r="S204" s="22"/>
      <c r="T204" s="24"/>
      <c r="U204" s="24"/>
      <c r="V204" s="22"/>
      <c r="W204" s="24"/>
      <c r="X204" s="24"/>
      <c r="Y204" s="22"/>
      <c r="Z204" s="24"/>
      <c r="AA204" s="24"/>
      <c r="AB204" s="22"/>
      <c r="AC204" s="24"/>
      <c r="AD204" s="24"/>
      <c r="AE204" s="25"/>
      <c r="AF204" s="24"/>
      <c r="AG204" s="24"/>
      <c r="AH204" s="22"/>
      <c r="AI204" s="24"/>
      <c r="AJ204" s="24"/>
      <c r="AK204" s="22"/>
      <c r="AL204" s="24"/>
      <c r="AM204" s="24"/>
      <c r="AN204" s="22"/>
      <c r="AO204" s="24">
        <f>20.1+49-60.1</f>
        <v>8.9999999999999929</v>
      </c>
      <c r="AP204" s="24">
        <v>1</v>
      </c>
      <c r="AQ204" s="25">
        <f t="shared" ref="AQ204" si="274">AP204/AO204*100</f>
        <v>11.11111111111112</v>
      </c>
      <c r="AR204" s="119" t="s">
        <v>134</v>
      </c>
      <c r="AS204" s="119" t="s">
        <v>186</v>
      </c>
      <c r="AT204" s="80">
        <f t="shared" ref="AT204:AT263" si="275">(I204+L204+O204+R204+U204+X204+AA204+AD204+AG204+AJ204+AM204+AP204)/(H204+K204+N204+Q204+T204+W204+Z204+AC204+AF204+AI204+AL204+AO204)</f>
        <v>0.20000000000000015</v>
      </c>
      <c r="AU204" s="84">
        <f t="shared" si="219"/>
        <v>1</v>
      </c>
      <c r="AV204" s="84">
        <f t="shared" si="220"/>
        <v>0</v>
      </c>
      <c r="AW204" s="84">
        <f t="shared" si="221"/>
        <v>0</v>
      </c>
      <c r="AX204" s="84">
        <f t="shared" si="222"/>
        <v>8.9999999999999929</v>
      </c>
    </row>
    <row r="205" spans="1:50" ht="15.75" customHeight="1" x14ac:dyDescent="0.3">
      <c r="A205" s="132"/>
      <c r="B205" s="127"/>
      <c r="C205" s="127"/>
      <c r="D205" s="38" t="s">
        <v>23</v>
      </c>
      <c r="E205" s="24">
        <f t="shared" si="272"/>
        <v>0</v>
      </c>
      <c r="F205" s="24">
        <f t="shared" si="272"/>
        <v>0</v>
      </c>
      <c r="G205" s="25"/>
      <c r="H205" s="24"/>
      <c r="I205" s="24"/>
      <c r="J205" s="25"/>
      <c r="K205" s="24"/>
      <c r="L205" s="24"/>
      <c r="M205" s="25"/>
      <c r="N205" s="24"/>
      <c r="O205" s="24"/>
      <c r="P205" s="25"/>
      <c r="Q205" s="24"/>
      <c r="R205" s="24"/>
      <c r="S205" s="25"/>
      <c r="T205" s="24"/>
      <c r="U205" s="24"/>
      <c r="V205" s="25"/>
      <c r="W205" s="24"/>
      <c r="X205" s="24"/>
      <c r="Y205" s="25"/>
      <c r="Z205" s="24"/>
      <c r="AA205" s="24"/>
      <c r="AB205" s="25"/>
      <c r="AC205" s="24"/>
      <c r="AD205" s="24"/>
      <c r="AE205" s="25"/>
      <c r="AF205" s="24"/>
      <c r="AG205" s="24"/>
      <c r="AH205" s="25"/>
      <c r="AI205" s="24"/>
      <c r="AJ205" s="24"/>
      <c r="AK205" s="25"/>
      <c r="AL205" s="24"/>
      <c r="AM205" s="24"/>
      <c r="AN205" s="25"/>
      <c r="AO205" s="24"/>
      <c r="AP205" s="24"/>
      <c r="AQ205" s="25"/>
      <c r="AR205" s="36"/>
      <c r="AS205" s="36"/>
      <c r="AT205" s="80"/>
      <c r="AU205" s="84">
        <f t="shared" si="219"/>
        <v>0</v>
      </c>
      <c r="AV205" s="84">
        <f t="shared" si="220"/>
        <v>0</v>
      </c>
      <c r="AW205" s="84">
        <f t="shared" si="221"/>
        <v>0</v>
      </c>
      <c r="AX205" s="84">
        <f t="shared" si="222"/>
        <v>0</v>
      </c>
    </row>
    <row r="206" spans="1:50" ht="15.75" customHeight="1" x14ac:dyDescent="0.3">
      <c r="A206" s="156" t="s">
        <v>75</v>
      </c>
      <c r="B206" s="127" t="s">
        <v>108</v>
      </c>
      <c r="C206" s="127" t="s">
        <v>6</v>
      </c>
      <c r="D206" s="38" t="s">
        <v>3</v>
      </c>
      <c r="E206" s="24">
        <f t="shared" si="272"/>
        <v>73953.399999999994</v>
      </c>
      <c r="F206" s="24">
        <f t="shared" si="272"/>
        <v>61187.113200000007</v>
      </c>
      <c r="G206" s="25">
        <f>F206/E206*100</f>
        <v>82.737390302541897</v>
      </c>
      <c r="H206" s="24">
        <f>H207+H208+H209+H210</f>
        <v>0</v>
      </c>
      <c r="I206" s="24"/>
      <c r="J206" s="22"/>
      <c r="K206" s="24">
        <f t="shared" ref="K206:AP206" si="276">K207+K208+K209+K210</f>
        <v>6758</v>
      </c>
      <c r="L206" s="24">
        <f t="shared" si="276"/>
        <v>6357.2000000000007</v>
      </c>
      <c r="M206" s="25">
        <f t="shared" ref="M206:M209" si="277">L206/K206*100</f>
        <v>94.069251257768585</v>
      </c>
      <c r="N206" s="24">
        <f t="shared" si="276"/>
        <v>6521.2</v>
      </c>
      <c r="O206" s="24">
        <f t="shared" si="276"/>
        <v>6921.9995999999992</v>
      </c>
      <c r="P206" s="25">
        <f t="shared" ref="P206:P209" si="278">O206/N206*100</f>
        <v>106.1461019444274</v>
      </c>
      <c r="Q206" s="24">
        <f t="shared" si="276"/>
        <v>6130.1</v>
      </c>
      <c r="R206" s="24">
        <f t="shared" si="276"/>
        <v>6130.1</v>
      </c>
      <c r="S206" s="25">
        <f>R206/Q206*100</f>
        <v>100</v>
      </c>
      <c r="T206" s="24">
        <f t="shared" si="276"/>
        <v>3086.1</v>
      </c>
      <c r="U206" s="24">
        <f t="shared" si="276"/>
        <v>3086.1136000000006</v>
      </c>
      <c r="V206" s="25">
        <f>U206/T206*100</f>
        <v>100.00044068565505</v>
      </c>
      <c r="W206" s="24">
        <f t="shared" si="276"/>
        <v>1</v>
      </c>
      <c r="X206" s="25">
        <f t="shared" si="276"/>
        <v>1</v>
      </c>
      <c r="Y206" s="25"/>
      <c r="Z206" s="24">
        <f t="shared" si="276"/>
        <v>0</v>
      </c>
      <c r="AA206" s="24">
        <f t="shared" si="276"/>
        <v>0</v>
      </c>
      <c r="AB206" s="25"/>
      <c r="AC206" s="24">
        <f t="shared" si="276"/>
        <v>0</v>
      </c>
      <c r="AD206" s="24">
        <f t="shared" si="276"/>
        <v>0</v>
      </c>
      <c r="AE206" s="22"/>
      <c r="AF206" s="24">
        <f t="shared" si="276"/>
        <v>0</v>
      </c>
      <c r="AG206" s="24"/>
      <c r="AH206" s="22"/>
      <c r="AI206" s="24">
        <f t="shared" si="276"/>
        <v>16526</v>
      </c>
      <c r="AJ206" s="24">
        <f t="shared" si="276"/>
        <v>11444.900000000001</v>
      </c>
      <c r="AK206" s="25">
        <f>AJ206/AI206*100</f>
        <v>69.253902940820538</v>
      </c>
      <c r="AL206" s="24">
        <f t="shared" si="276"/>
        <v>13624</v>
      </c>
      <c r="AM206" s="24">
        <f t="shared" si="276"/>
        <v>8401</v>
      </c>
      <c r="AN206" s="25">
        <f>AM206/AL206*100</f>
        <v>61.663241338813854</v>
      </c>
      <c r="AO206" s="24">
        <f t="shared" si="276"/>
        <v>21307</v>
      </c>
      <c r="AP206" s="24">
        <f t="shared" si="276"/>
        <v>18844.8</v>
      </c>
      <c r="AQ206" s="25">
        <f>AP206/AO206*100</f>
        <v>88.444173276388042</v>
      </c>
      <c r="AR206" s="36"/>
      <c r="AS206" s="36"/>
      <c r="AT206" s="80">
        <f t="shared" si="275"/>
        <v>0.82737390302541891</v>
      </c>
      <c r="AU206" s="84">
        <f t="shared" si="219"/>
        <v>13279.2</v>
      </c>
      <c r="AV206" s="84">
        <f t="shared" si="220"/>
        <v>9217.2000000000007</v>
      </c>
      <c r="AW206" s="84">
        <f t="shared" si="221"/>
        <v>0</v>
      </c>
      <c r="AX206" s="84">
        <f t="shared" si="222"/>
        <v>51457</v>
      </c>
    </row>
    <row r="207" spans="1:50" ht="24" customHeight="1" x14ac:dyDescent="0.3">
      <c r="A207" s="156"/>
      <c r="B207" s="127"/>
      <c r="C207" s="127"/>
      <c r="D207" s="38" t="s">
        <v>22</v>
      </c>
      <c r="E207" s="24">
        <f t="shared" si="272"/>
        <v>1791.5</v>
      </c>
      <c r="F207" s="24">
        <f t="shared" si="272"/>
        <v>1512.6999999999998</v>
      </c>
      <c r="G207" s="25">
        <f>F207/E207*100</f>
        <v>84.437622104381788</v>
      </c>
      <c r="H207" s="24"/>
      <c r="I207" s="24"/>
      <c r="J207" s="22"/>
      <c r="K207" s="24"/>
      <c r="L207" s="24"/>
      <c r="M207" s="25"/>
      <c r="N207" s="24"/>
      <c r="O207" s="24"/>
      <c r="P207" s="25"/>
      <c r="Q207" s="24"/>
      <c r="R207" s="24"/>
      <c r="S207" s="25"/>
      <c r="T207" s="24"/>
      <c r="U207" s="24"/>
      <c r="V207" s="25"/>
      <c r="W207" s="24"/>
      <c r="X207" s="25"/>
      <c r="Y207" s="25"/>
      <c r="Z207" s="24"/>
      <c r="AA207" s="24"/>
      <c r="AB207" s="25"/>
      <c r="AC207" s="24"/>
      <c r="AD207" s="24"/>
      <c r="AE207" s="22"/>
      <c r="AF207" s="24"/>
      <c r="AG207" s="24"/>
      <c r="AH207" s="22"/>
      <c r="AI207" s="24">
        <v>623</v>
      </c>
      <c r="AJ207" s="24">
        <v>467.6</v>
      </c>
      <c r="AK207" s="25">
        <f t="shared" ref="AK207:AK208" si="279">AJ207/AI207*100</f>
        <v>75.05617977528091</v>
      </c>
      <c r="AL207" s="24">
        <v>562</v>
      </c>
      <c r="AM207" s="24">
        <v>267.7</v>
      </c>
      <c r="AN207" s="25">
        <f>AM207/AL207*100</f>
        <v>47.633451957295371</v>
      </c>
      <c r="AO207" s="24">
        <f>959.2-352.7</f>
        <v>606.5</v>
      </c>
      <c r="AP207" s="24">
        <v>777.4</v>
      </c>
      <c r="AQ207" s="25">
        <f>AP207/AO207*100</f>
        <v>128.17807089859852</v>
      </c>
      <c r="AR207" s="124" t="s">
        <v>161</v>
      </c>
      <c r="AS207" s="124" t="s">
        <v>187</v>
      </c>
      <c r="AT207" s="80">
        <f t="shared" si="275"/>
        <v>0.84437622104381793</v>
      </c>
      <c r="AU207" s="84">
        <f t="shared" si="219"/>
        <v>0</v>
      </c>
      <c r="AV207" s="84">
        <f t="shared" si="220"/>
        <v>0</v>
      </c>
      <c r="AW207" s="84">
        <f t="shared" si="221"/>
        <v>0</v>
      </c>
      <c r="AX207" s="84">
        <f t="shared" si="222"/>
        <v>1791.5</v>
      </c>
    </row>
    <row r="208" spans="1:50" ht="24" customHeight="1" x14ac:dyDescent="0.3">
      <c r="A208" s="156"/>
      <c r="B208" s="127"/>
      <c r="C208" s="127"/>
      <c r="D208" s="38" t="s">
        <v>4</v>
      </c>
      <c r="E208" s="24">
        <f t="shared" si="272"/>
        <v>58706.299999999996</v>
      </c>
      <c r="F208" s="24">
        <f t="shared" si="272"/>
        <v>50150.913199999995</v>
      </c>
      <c r="G208" s="25">
        <f>F208/E208*100</f>
        <v>85.42679950874097</v>
      </c>
      <c r="H208" s="25">
        <v>0</v>
      </c>
      <c r="I208" s="25"/>
      <c r="J208" s="22"/>
      <c r="K208" s="25">
        <v>5176</v>
      </c>
      <c r="L208" s="25">
        <v>4848.6000000000004</v>
      </c>
      <c r="M208" s="25">
        <f t="shared" si="277"/>
        <v>93.674652241112838</v>
      </c>
      <c r="N208" s="25">
        <f>4826+794.5</f>
        <v>5620.5</v>
      </c>
      <c r="O208" s="25">
        <v>5947.8995999999988</v>
      </c>
      <c r="P208" s="25">
        <f t="shared" si="278"/>
        <v>105.82509741126232</v>
      </c>
      <c r="Q208" s="25">
        <v>5403.8</v>
      </c>
      <c r="R208" s="25">
        <v>5403.8</v>
      </c>
      <c r="S208" s="25">
        <f>R208/Q208*100</f>
        <v>100</v>
      </c>
      <c r="T208" s="25">
        <v>3086.1</v>
      </c>
      <c r="U208" s="25">
        <v>3086.1136000000006</v>
      </c>
      <c r="V208" s="25">
        <f>U208/T208*100</f>
        <v>100.00044068565505</v>
      </c>
      <c r="W208" s="25">
        <f>5062-3415-1646</f>
        <v>1</v>
      </c>
      <c r="X208" s="25">
        <v>1</v>
      </c>
      <c r="Y208" s="25"/>
      <c r="Z208" s="25"/>
      <c r="AA208" s="25"/>
      <c r="AB208" s="25"/>
      <c r="AC208" s="25"/>
      <c r="AD208" s="25"/>
      <c r="AE208" s="22"/>
      <c r="AF208" s="25"/>
      <c r="AG208" s="25"/>
      <c r="AH208" s="22"/>
      <c r="AI208" s="24">
        <f>9601.5+3238.2</f>
        <v>12839.7</v>
      </c>
      <c r="AJ208" s="25">
        <v>8747.5</v>
      </c>
      <c r="AK208" s="25">
        <f t="shared" si="279"/>
        <v>68.128538828788834</v>
      </c>
      <c r="AL208" s="24">
        <f>7941.4+2895.4</f>
        <v>10836.8</v>
      </c>
      <c r="AM208" s="24">
        <v>6924.2</v>
      </c>
      <c r="AN208" s="25">
        <f>AM208/AL208*100</f>
        <v>63.895245829027026</v>
      </c>
      <c r="AO208" s="24">
        <f>14501.6+11766.4-2144.1-8381.5</f>
        <v>15742.400000000001</v>
      </c>
      <c r="AP208" s="24">
        <v>15191.8</v>
      </c>
      <c r="AQ208" s="25">
        <f>AP208/AO208*100</f>
        <v>96.502439272283752</v>
      </c>
      <c r="AR208" s="125"/>
      <c r="AS208" s="125"/>
      <c r="AT208" s="80">
        <f t="shared" si="275"/>
        <v>0.85426799508740969</v>
      </c>
      <c r="AU208" s="84">
        <f t="shared" si="219"/>
        <v>10796.5</v>
      </c>
      <c r="AV208" s="84">
        <f t="shared" si="220"/>
        <v>8490.9</v>
      </c>
      <c r="AW208" s="84">
        <f t="shared" si="221"/>
        <v>0</v>
      </c>
      <c r="AX208" s="84">
        <f t="shared" si="222"/>
        <v>39418.9</v>
      </c>
    </row>
    <row r="209" spans="1:50" ht="14.4" customHeight="1" x14ac:dyDescent="0.3">
      <c r="A209" s="156"/>
      <c r="B209" s="127"/>
      <c r="C209" s="127"/>
      <c r="D209" s="38" t="s">
        <v>44</v>
      </c>
      <c r="E209" s="24">
        <f t="shared" si="272"/>
        <v>13455.6</v>
      </c>
      <c r="F209" s="24">
        <f t="shared" si="272"/>
        <v>9523.5</v>
      </c>
      <c r="G209" s="25">
        <f>F209/E209*100</f>
        <v>70.777222866315881</v>
      </c>
      <c r="H209" s="24"/>
      <c r="I209" s="24"/>
      <c r="J209" s="22"/>
      <c r="K209" s="24">
        <v>1582</v>
      </c>
      <c r="L209" s="24">
        <v>1508.6</v>
      </c>
      <c r="M209" s="25">
        <f t="shared" si="277"/>
        <v>95.360303413400743</v>
      </c>
      <c r="N209" s="24">
        <f>1431.1-530.4</f>
        <v>900.69999999999993</v>
      </c>
      <c r="O209" s="24">
        <v>974.1</v>
      </c>
      <c r="P209" s="25">
        <f t="shared" si="278"/>
        <v>108.14921727545243</v>
      </c>
      <c r="Q209" s="24">
        <f>1655.9-686.1-243.5</f>
        <v>726.30000000000007</v>
      </c>
      <c r="R209" s="24">
        <v>726.3</v>
      </c>
      <c r="S209" s="25">
        <f>R209/Q209*100</f>
        <v>99.999999999999986</v>
      </c>
      <c r="T209" s="24">
        <f>1962.9-308.2-1654.7</f>
        <v>0</v>
      </c>
      <c r="U209" s="24">
        <v>0</v>
      </c>
      <c r="V209" s="25"/>
      <c r="W209" s="24">
        <f>1415.9+20.1-1436</f>
        <v>0</v>
      </c>
      <c r="X209" s="25"/>
      <c r="Y209" s="25"/>
      <c r="Z209" s="24"/>
      <c r="AA209" s="24"/>
      <c r="AB209" s="22"/>
      <c r="AC209" s="24"/>
      <c r="AD209" s="24"/>
      <c r="AE209" s="22"/>
      <c r="AF209" s="24"/>
      <c r="AG209" s="24"/>
      <c r="AH209" s="22"/>
      <c r="AI209" s="24">
        <v>3063.3</v>
      </c>
      <c r="AJ209" s="24">
        <v>2229.8000000000002</v>
      </c>
      <c r="AK209" s="25">
        <f>AJ209/AI209*100</f>
        <v>72.790781183690783</v>
      </c>
      <c r="AL209" s="24">
        <v>2225.1999999999998</v>
      </c>
      <c r="AM209" s="24">
        <v>1209.0999999999999</v>
      </c>
      <c r="AN209" s="25">
        <f>AM209/AL209*100</f>
        <v>54.33668883695848</v>
      </c>
      <c r="AO209" s="24">
        <f>7434.1-2476</f>
        <v>4958.1000000000004</v>
      </c>
      <c r="AP209" s="24">
        <v>2875.6</v>
      </c>
      <c r="AQ209" s="25">
        <f>AP209/AO209*100</f>
        <v>57.998023436397006</v>
      </c>
      <c r="AR209" s="126"/>
      <c r="AS209" s="126"/>
      <c r="AT209" s="80">
        <f t="shared" si="275"/>
        <v>0.70777222866315881</v>
      </c>
      <c r="AU209" s="84">
        <f t="shared" si="219"/>
        <v>2482.6999999999998</v>
      </c>
      <c r="AV209" s="84">
        <f t="shared" si="220"/>
        <v>726.30000000000007</v>
      </c>
      <c r="AW209" s="84">
        <f t="shared" si="221"/>
        <v>0</v>
      </c>
      <c r="AX209" s="84">
        <f t="shared" si="222"/>
        <v>10246.6</v>
      </c>
    </row>
    <row r="210" spans="1:50" ht="15.75" customHeight="1" x14ac:dyDescent="0.3">
      <c r="A210" s="156"/>
      <c r="B210" s="127"/>
      <c r="C210" s="127"/>
      <c r="D210" s="38" t="s">
        <v>23</v>
      </c>
      <c r="E210" s="24">
        <f t="shared" si="272"/>
        <v>0</v>
      </c>
      <c r="F210" s="24">
        <f t="shared" si="272"/>
        <v>0</v>
      </c>
      <c r="G210" s="25"/>
      <c r="H210" s="24"/>
      <c r="I210" s="24"/>
      <c r="J210" s="25"/>
      <c r="K210" s="24"/>
      <c r="L210" s="24"/>
      <c r="M210" s="25"/>
      <c r="N210" s="24"/>
      <c r="O210" s="24"/>
      <c r="P210" s="25"/>
      <c r="Q210" s="24"/>
      <c r="R210" s="24"/>
      <c r="S210" s="25"/>
      <c r="T210" s="24"/>
      <c r="U210" s="24"/>
      <c r="V210" s="25"/>
      <c r="W210" s="24"/>
      <c r="X210" s="25"/>
      <c r="Y210" s="25"/>
      <c r="Z210" s="24"/>
      <c r="AA210" s="24"/>
      <c r="AB210" s="25"/>
      <c r="AC210" s="24"/>
      <c r="AD210" s="24"/>
      <c r="AE210" s="25"/>
      <c r="AF210" s="24"/>
      <c r="AG210" s="24"/>
      <c r="AH210" s="25"/>
      <c r="AI210" s="24"/>
      <c r="AJ210" s="24"/>
      <c r="AK210" s="25"/>
      <c r="AL210" s="24"/>
      <c r="AM210" s="24"/>
      <c r="AN210" s="25"/>
      <c r="AO210" s="24"/>
      <c r="AP210" s="24"/>
      <c r="AQ210" s="25"/>
      <c r="AR210" s="36"/>
      <c r="AS210" s="36"/>
      <c r="AT210" s="80"/>
      <c r="AU210" s="85">
        <f t="shared" si="219"/>
        <v>0</v>
      </c>
      <c r="AV210" s="85">
        <f t="shared" si="220"/>
        <v>0</v>
      </c>
      <c r="AW210" s="85">
        <f t="shared" si="221"/>
        <v>0</v>
      </c>
      <c r="AX210" s="85">
        <f t="shared" si="222"/>
        <v>0</v>
      </c>
    </row>
    <row r="211" spans="1:50" ht="15.6" x14ac:dyDescent="0.3">
      <c r="A211" s="134" t="s">
        <v>15</v>
      </c>
      <c r="B211" s="134"/>
      <c r="C211" s="134"/>
      <c r="D211" s="39" t="s">
        <v>3</v>
      </c>
      <c r="E211" s="40">
        <f t="shared" si="272"/>
        <v>74108</v>
      </c>
      <c r="F211" s="40">
        <f t="shared" si="272"/>
        <v>61333.713199999998</v>
      </c>
      <c r="G211" s="26">
        <f>F211/E211*100</f>
        <v>82.762607545744046</v>
      </c>
      <c r="H211" s="40">
        <f>H212+H213+H214+H215</f>
        <v>0</v>
      </c>
      <c r="I211" s="40"/>
      <c r="J211" s="23"/>
      <c r="K211" s="40">
        <f t="shared" ref="K211:AP211" si="280">K212+K213+K214+K215</f>
        <v>6778</v>
      </c>
      <c r="L211" s="40">
        <f t="shared" si="280"/>
        <v>6357.2000000000007</v>
      </c>
      <c r="M211" s="26">
        <f t="shared" ref="M211:M213" si="281">L211/K211*100</f>
        <v>93.791678961345539</v>
      </c>
      <c r="N211" s="40">
        <f t="shared" si="280"/>
        <v>6542.2</v>
      </c>
      <c r="O211" s="40">
        <f t="shared" si="280"/>
        <v>6962.9995999999992</v>
      </c>
      <c r="P211" s="26">
        <f t="shared" ref="P211:P214" si="282">O211/N211*100</f>
        <v>106.43208095136191</v>
      </c>
      <c r="Q211" s="40">
        <f t="shared" si="280"/>
        <v>6130.1</v>
      </c>
      <c r="R211" s="40">
        <f t="shared" si="280"/>
        <v>6130.1</v>
      </c>
      <c r="S211" s="26">
        <f>R211/Q211*100</f>
        <v>100</v>
      </c>
      <c r="T211" s="40">
        <f t="shared" si="280"/>
        <v>3086.1</v>
      </c>
      <c r="U211" s="40">
        <f t="shared" si="280"/>
        <v>3086.1136000000006</v>
      </c>
      <c r="V211" s="26">
        <f>U211/T211*100</f>
        <v>100.00044068565505</v>
      </c>
      <c r="W211" s="40">
        <f t="shared" si="280"/>
        <v>1</v>
      </c>
      <c r="X211" s="26">
        <f t="shared" si="280"/>
        <v>1</v>
      </c>
      <c r="Y211" s="26">
        <f>X211/W211*100</f>
        <v>100</v>
      </c>
      <c r="Z211" s="40">
        <f t="shared" si="280"/>
        <v>35</v>
      </c>
      <c r="AA211" s="40">
        <f t="shared" si="280"/>
        <v>35</v>
      </c>
      <c r="AB211" s="26"/>
      <c r="AC211" s="40">
        <f t="shared" si="280"/>
        <v>35</v>
      </c>
      <c r="AD211" s="40">
        <f t="shared" si="280"/>
        <v>0</v>
      </c>
      <c r="AE211" s="26">
        <f>AD211/AC211*100</f>
        <v>0</v>
      </c>
      <c r="AF211" s="40">
        <f t="shared" si="280"/>
        <v>34.6</v>
      </c>
      <c r="AG211" s="40">
        <f t="shared" si="280"/>
        <v>69.599999999999994</v>
      </c>
      <c r="AH211" s="23"/>
      <c r="AI211" s="40">
        <f t="shared" si="280"/>
        <v>16526</v>
      </c>
      <c r="AJ211" s="40">
        <f t="shared" si="280"/>
        <v>11444.900000000001</v>
      </c>
      <c r="AK211" s="26">
        <f>AJ211/AI211*100</f>
        <v>69.253902940820538</v>
      </c>
      <c r="AL211" s="40">
        <f t="shared" si="280"/>
        <v>13624</v>
      </c>
      <c r="AM211" s="40">
        <f t="shared" si="280"/>
        <v>8401</v>
      </c>
      <c r="AN211" s="26">
        <f>AM211/AL211*100</f>
        <v>61.663241338813854</v>
      </c>
      <c r="AO211" s="40">
        <f t="shared" si="280"/>
        <v>21316</v>
      </c>
      <c r="AP211" s="40">
        <f t="shared" si="280"/>
        <v>18845.8</v>
      </c>
      <c r="AQ211" s="26">
        <f>AP211/AO211*100</f>
        <v>88.411521861512483</v>
      </c>
      <c r="AR211" s="36"/>
      <c r="AS211" s="36"/>
      <c r="AT211" s="80">
        <f t="shared" si="275"/>
        <v>0.82762607545744049</v>
      </c>
      <c r="AU211" s="85">
        <f t="shared" si="219"/>
        <v>13320.2</v>
      </c>
      <c r="AV211" s="85">
        <f t="shared" si="220"/>
        <v>9217.2000000000007</v>
      </c>
      <c r="AW211" s="85">
        <f t="shared" si="221"/>
        <v>104.6</v>
      </c>
      <c r="AX211" s="85">
        <f t="shared" si="222"/>
        <v>51466</v>
      </c>
    </row>
    <row r="212" spans="1:50" ht="15" customHeight="1" x14ac:dyDescent="0.3">
      <c r="A212" s="134"/>
      <c r="B212" s="134"/>
      <c r="C212" s="134"/>
      <c r="D212" s="39" t="s">
        <v>22</v>
      </c>
      <c r="E212" s="40">
        <f t="shared" si="272"/>
        <v>1791.5</v>
      </c>
      <c r="F212" s="40">
        <f t="shared" si="272"/>
        <v>1512.6999999999998</v>
      </c>
      <c r="G212" s="26">
        <f>F212/E212*100</f>
        <v>84.437622104381788</v>
      </c>
      <c r="H212" s="26">
        <f>H187+H192+H197+H202+H207</f>
        <v>0</v>
      </c>
      <c r="I212" s="26"/>
      <c r="J212" s="23"/>
      <c r="K212" s="26">
        <f t="shared" ref="K212:AP215" si="283">K187+K192+K197+K202+K207</f>
        <v>0</v>
      </c>
      <c r="L212" s="26">
        <f t="shared" si="283"/>
        <v>0</v>
      </c>
      <c r="M212" s="26"/>
      <c r="N212" s="26">
        <f t="shared" si="283"/>
        <v>0</v>
      </c>
      <c r="O212" s="26">
        <f t="shared" si="283"/>
        <v>0</v>
      </c>
      <c r="P212" s="26"/>
      <c r="Q212" s="26">
        <f t="shared" si="283"/>
        <v>0</v>
      </c>
      <c r="R212" s="26">
        <f t="shared" si="283"/>
        <v>0</v>
      </c>
      <c r="S212" s="26"/>
      <c r="T212" s="26">
        <f t="shared" si="283"/>
        <v>0</v>
      </c>
      <c r="U212" s="26">
        <f t="shared" si="283"/>
        <v>0</v>
      </c>
      <c r="V212" s="26"/>
      <c r="W212" s="26">
        <f t="shared" si="283"/>
        <v>0</v>
      </c>
      <c r="X212" s="26">
        <f t="shared" si="283"/>
        <v>0</v>
      </c>
      <c r="Y212" s="26"/>
      <c r="Z212" s="26">
        <f t="shared" si="283"/>
        <v>0</v>
      </c>
      <c r="AA212" s="26">
        <f t="shared" si="283"/>
        <v>0</v>
      </c>
      <c r="AB212" s="26"/>
      <c r="AC212" s="26">
        <f t="shared" si="283"/>
        <v>0</v>
      </c>
      <c r="AD212" s="26">
        <f t="shared" si="283"/>
        <v>0</v>
      </c>
      <c r="AE212" s="26"/>
      <c r="AF212" s="26">
        <f t="shared" si="283"/>
        <v>0</v>
      </c>
      <c r="AG212" s="26">
        <f t="shared" si="283"/>
        <v>0</v>
      </c>
      <c r="AH212" s="23"/>
      <c r="AI212" s="26">
        <f t="shared" si="283"/>
        <v>623</v>
      </c>
      <c r="AJ212" s="26">
        <f t="shared" si="283"/>
        <v>467.6</v>
      </c>
      <c r="AK212" s="26">
        <f>AJ212/AI212*100</f>
        <v>75.05617977528091</v>
      </c>
      <c r="AL212" s="40">
        <f t="shared" si="283"/>
        <v>562</v>
      </c>
      <c r="AM212" s="26">
        <f t="shared" si="283"/>
        <v>267.7</v>
      </c>
      <c r="AN212" s="26">
        <f>AM212/AL212*100</f>
        <v>47.633451957295371</v>
      </c>
      <c r="AO212" s="40">
        <f t="shared" si="283"/>
        <v>606.5</v>
      </c>
      <c r="AP212" s="40">
        <f t="shared" si="283"/>
        <v>777.4</v>
      </c>
      <c r="AQ212" s="26">
        <f>AP212/AO212*100</f>
        <v>128.17807089859852</v>
      </c>
      <c r="AR212" s="36"/>
      <c r="AS212" s="36"/>
      <c r="AT212" s="80">
        <f t="shared" si="275"/>
        <v>0.84437622104381793</v>
      </c>
      <c r="AU212" s="85">
        <f t="shared" si="219"/>
        <v>0</v>
      </c>
      <c r="AV212" s="85">
        <f t="shared" si="220"/>
        <v>0</v>
      </c>
      <c r="AW212" s="85">
        <f t="shared" si="221"/>
        <v>0</v>
      </c>
      <c r="AX212" s="85">
        <f t="shared" si="222"/>
        <v>1791.5</v>
      </c>
    </row>
    <row r="213" spans="1:50" ht="25.5" customHeight="1" x14ac:dyDescent="0.3">
      <c r="A213" s="134"/>
      <c r="B213" s="134"/>
      <c r="C213" s="134"/>
      <c r="D213" s="39" t="s">
        <v>4</v>
      </c>
      <c r="E213" s="40">
        <f t="shared" si="272"/>
        <v>58706.299999999996</v>
      </c>
      <c r="F213" s="40">
        <f t="shared" si="272"/>
        <v>50150.913199999995</v>
      </c>
      <c r="G213" s="26">
        <f t="shared" ref="G213:G214" si="284">F213/E213*100</f>
        <v>85.42679950874097</v>
      </c>
      <c r="H213" s="26">
        <f>H188+H193+H198+H203+H208</f>
        <v>0</v>
      </c>
      <c r="I213" s="26"/>
      <c r="J213" s="23"/>
      <c r="K213" s="26">
        <f t="shared" si="283"/>
        <v>5176</v>
      </c>
      <c r="L213" s="26">
        <f t="shared" si="283"/>
        <v>4848.6000000000004</v>
      </c>
      <c r="M213" s="26">
        <f t="shared" si="281"/>
        <v>93.674652241112838</v>
      </c>
      <c r="N213" s="26">
        <f t="shared" si="283"/>
        <v>5620.5</v>
      </c>
      <c r="O213" s="26">
        <f t="shared" si="283"/>
        <v>5947.8995999999988</v>
      </c>
      <c r="P213" s="26">
        <f t="shared" si="282"/>
        <v>105.82509741126232</v>
      </c>
      <c r="Q213" s="26">
        <f t="shared" si="283"/>
        <v>5403.8</v>
      </c>
      <c r="R213" s="26">
        <f t="shared" si="283"/>
        <v>5403.8</v>
      </c>
      <c r="S213" s="26">
        <f t="shared" ref="S213:S214" si="285">R213/Q213*100</f>
        <v>100</v>
      </c>
      <c r="T213" s="26">
        <f t="shared" si="283"/>
        <v>3086.1</v>
      </c>
      <c r="U213" s="26">
        <f t="shared" si="283"/>
        <v>3086.1136000000006</v>
      </c>
      <c r="V213" s="26">
        <f t="shared" ref="V213:V214" si="286">U213/T213*100</f>
        <v>100.00044068565505</v>
      </c>
      <c r="W213" s="26">
        <f t="shared" si="283"/>
        <v>1</v>
      </c>
      <c r="X213" s="26">
        <f t="shared" si="283"/>
        <v>1</v>
      </c>
      <c r="Y213" s="26">
        <f t="shared" ref="Y213" si="287">X213/W213*100</f>
        <v>100</v>
      </c>
      <c r="Z213" s="26">
        <f t="shared" si="283"/>
        <v>0</v>
      </c>
      <c r="AA213" s="26">
        <f t="shared" si="283"/>
        <v>0</v>
      </c>
      <c r="AB213" s="26"/>
      <c r="AC213" s="26">
        <f t="shared" si="283"/>
        <v>0</v>
      </c>
      <c r="AD213" s="26">
        <f t="shared" si="283"/>
        <v>0</v>
      </c>
      <c r="AE213" s="26"/>
      <c r="AF213" s="26">
        <f t="shared" si="283"/>
        <v>0</v>
      </c>
      <c r="AG213" s="26">
        <f t="shared" si="283"/>
        <v>0</v>
      </c>
      <c r="AH213" s="23"/>
      <c r="AI213" s="26">
        <f t="shared" si="283"/>
        <v>12839.7</v>
      </c>
      <c r="AJ213" s="26">
        <f t="shared" si="283"/>
        <v>8747.5</v>
      </c>
      <c r="AK213" s="26">
        <f t="shared" ref="AK213:AK214" si="288">AJ213/AI213*100</f>
        <v>68.128538828788834</v>
      </c>
      <c r="AL213" s="40">
        <f t="shared" si="283"/>
        <v>10836.8</v>
      </c>
      <c r="AM213" s="26">
        <f t="shared" si="283"/>
        <v>6924.2</v>
      </c>
      <c r="AN213" s="26">
        <f t="shared" ref="AN213:AN214" si="289">AM213/AL213*100</f>
        <v>63.895245829027026</v>
      </c>
      <c r="AO213" s="40">
        <f t="shared" si="283"/>
        <v>15742.400000000001</v>
      </c>
      <c r="AP213" s="40">
        <f t="shared" si="283"/>
        <v>15191.8</v>
      </c>
      <c r="AQ213" s="26">
        <f t="shared" ref="AQ213:AQ214" si="290">AP213/AO213*100</f>
        <v>96.502439272283752</v>
      </c>
      <c r="AR213" s="36"/>
      <c r="AS213" s="36"/>
      <c r="AT213" s="80">
        <f t="shared" si="275"/>
        <v>0.85426799508740969</v>
      </c>
      <c r="AU213" s="85">
        <f t="shared" si="219"/>
        <v>10796.5</v>
      </c>
      <c r="AV213" s="85">
        <f t="shared" si="220"/>
        <v>8490.9</v>
      </c>
      <c r="AW213" s="85">
        <f t="shared" si="221"/>
        <v>0</v>
      </c>
      <c r="AX213" s="85">
        <f t="shared" si="222"/>
        <v>39418.9</v>
      </c>
    </row>
    <row r="214" spans="1:50" ht="15.6" x14ac:dyDescent="0.3">
      <c r="A214" s="134"/>
      <c r="B214" s="134"/>
      <c r="C214" s="134"/>
      <c r="D214" s="39" t="s">
        <v>44</v>
      </c>
      <c r="E214" s="40">
        <f t="shared" si="272"/>
        <v>13610.199999999999</v>
      </c>
      <c r="F214" s="40">
        <f t="shared" si="272"/>
        <v>9670.1</v>
      </c>
      <c r="G214" s="26">
        <f t="shared" si="284"/>
        <v>71.050388679078935</v>
      </c>
      <c r="H214" s="26">
        <f>H189+H194+H199+H204+H209</f>
        <v>0</v>
      </c>
      <c r="I214" s="26"/>
      <c r="J214" s="23"/>
      <c r="K214" s="26">
        <f t="shared" si="283"/>
        <v>1602</v>
      </c>
      <c r="L214" s="26">
        <f t="shared" si="283"/>
        <v>1508.6</v>
      </c>
      <c r="M214" s="26"/>
      <c r="N214" s="26">
        <f t="shared" si="283"/>
        <v>921.69999999999993</v>
      </c>
      <c r="O214" s="26">
        <f t="shared" si="283"/>
        <v>1015.1</v>
      </c>
      <c r="P214" s="26">
        <f t="shared" si="282"/>
        <v>110.13344906151676</v>
      </c>
      <c r="Q214" s="26">
        <f t="shared" si="283"/>
        <v>726.30000000000007</v>
      </c>
      <c r="R214" s="26">
        <f t="shared" si="283"/>
        <v>726.3</v>
      </c>
      <c r="S214" s="26">
        <f t="shared" si="285"/>
        <v>99.999999999999986</v>
      </c>
      <c r="T214" s="26">
        <f t="shared" si="283"/>
        <v>0</v>
      </c>
      <c r="U214" s="26">
        <f t="shared" si="283"/>
        <v>0</v>
      </c>
      <c r="V214" s="26" t="e">
        <f t="shared" si="286"/>
        <v>#DIV/0!</v>
      </c>
      <c r="W214" s="26">
        <f t="shared" si="283"/>
        <v>0</v>
      </c>
      <c r="X214" s="26">
        <f t="shared" si="283"/>
        <v>0</v>
      </c>
      <c r="Y214" s="26"/>
      <c r="Z214" s="26">
        <f t="shared" si="283"/>
        <v>35</v>
      </c>
      <c r="AA214" s="26">
        <f t="shared" si="283"/>
        <v>35</v>
      </c>
      <c r="AB214" s="23"/>
      <c r="AC214" s="26">
        <f t="shared" si="283"/>
        <v>35</v>
      </c>
      <c r="AD214" s="26">
        <f t="shared" si="283"/>
        <v>0</v>
      </c>
      <c r="AE214" s="26">
        <f t="shared" ref="AE214" si="291">AD214/AC214*100</f>
        <v>0</v>
      </c>
      <c r="AF214" s="26">
        <f t="shared" si="283"/>
        <v>34.6</v>
      </c>
      <c r="AG214" s="26">
        <f t="shared" si="283"/>
        <v>69.599999999999994</v>
      </c>
      <c r="AH214" s="23"/>
      <c r="AI214" s="26">
        <f t="shared" si="283"/>
        <v>3063.3</v>
      </c>
      <c r="AJ214" s="26">
        <f t="shared" si="283"/>
        <v>2229.8000000000002</v>
      </c>
      <c r="AK214" s="26">
        <f t="shared" si="288"/>
        <v>72.790781183690783</v>
      </c>
      <c r="AL214" s="40">
        <f t="shared" si="283"/>
        <v>2225.1999999999998</v>
      </c>
      <c r="AM214" s="26">
        <f t="shared" si="283"/>
        <v>1209.0999999999999</v>
      </c>
      <c r="AN214" s="26">
        <f t="shared" si="289"/>
        <v>54.33668883695848</v>
      </c>
      <c r="AO214" s="40">
        <f t="shared" si="283"/>
        <v>4967.1000000000004</v>
      </c>
      <c r="AP214" s="40">
        <f t="shared" si="283"/>
        <v>2876.6</v>
      </c>
      <c r="AQ214" s="26">
        <f t="shared" si="290"/>
        <v>57.913067987356804</v>
      </c>
      <c r="AR214" s="36"/>
      <c r="AS214" s="36"/>
      <c r="AT214" s="80">
        <f t="shared" si="275"/>
        <v>0.71050388679078935</v>
      </c>
      <c r="AU214" s="85">
        <f t="shared" si="219"/>
        <v>2523.6999999999998</v>
      </c>
      <c r="AV214" s="85">
        <f t="shared" si="220"/>
        <v>726.30000000000007</v>
      </c>
      <c r="AW214" s="85">
        <f t="shared" si="221"/>
        <v>104.6</v>
      </c>
      <c r="AX214" s="85">
        <f t="shared" si="222"/>
        <v>10255.6</v>
      </c>
    </row>
    <row r="215" spans="1:50" ht="14.25" customHeight="1" x14ac:dyDescent="0.3">
      <c r="A215" s="134"/>
      <c r="B215" s="134"/>
      <c r="C215" s="134"/>
      <c r="D215" s="39" t="s">
        <v>23</v>
      </c>
      <c r="E215" s="40">
        <f t="shared" si="272"/>
        <v>0</v>
      </c>
      <c r="F215" s="40">
        <f t="shared" si="272"/>
        <v>0</v>
      </c>
      <c r="G215" s="26"/>
      <c r="H215" s="26">
        <f>H190+H195+H200+H205+H210</f>
        <v>0</v>
      </c>
      <c r="I215" s="26"/>
      <c r="J215" s="26"/>
      <c r="K215" s="26">
        <f t="shared" si="283"/>
        <v>0</v>
      </c>
      <c r="L215" s="26">
        <f t="shared" si="283"/>
        <v>0</v>
      </c>
      <c r="M215" s="26"/>
      <c r="N215" s="26">
        <f t="shared" si="283"/>
        <v>0</v>
      </c>
      <c r="O215" s="26">
        <f t="shared" si="283"/>
        <v>0</v>
      </c>
      <c r="P215" s="26"/>
      <c r="Q215" s="26">
        <f t="shared" si="283"/>
        <v>0</v>
      </c>
      <c r="R215" s="26">
        <f t="shared" si="283"/>
        <v>0</v>
      </c>
      <c r="S215" s="26"/>
      <c r="T215" s="26">
        <f t="shared" si="283"/>
        <v>0</v>
      </c>
      <c r="U215" s="26">
        <f t="shared" si="283"/>
        <v>0</v>
      </c>
      <c r="V215" s="26"/>
      <c r="W215" s="26">
        <f t="shared" si="283"/>
        <v>0</v>
      </c>
      <c r="X215" s="26">
        <f t="shared" si="283"/>
        <v>0</v>
      </c>
      <c r="Y215" s="26"/>
      <c r="Z215" s="26">
        <f t="shared" si="283"/>
        <v>0</v>
      </c>
      <c r="AA215" s="26">
        <f t="shared" si="283"/>
        <v>0</v>
      </c>
      <c r="AB215" s="26"/>
      <c r="AC215" s="26">
        <f t="shared" si="283"/>
        <v>0</v>
      </c>
      <c r="AD215" s="26">
        <f t="shared" si="283"/>
        <v>0</v>
      </c>
      <c r="AE215" s="26"/>
      <c r="AF215" s="26">
        <f t="shared" si="283"/>
        <v>0</v>
      </c>
      <c r="AG215" s="26"/>
      <c r="AH215" s="26"/>
      <c r="AI215" s="26">
        <f t="shared" si="283"/>
        <v>0</v>
      </c>
      <c r="AJ215" s="26"/>
      <c r="AK215" s="26"/>
      <c r="AL215" s="26">
        <f t="shared" si="283"/>
        <v>0</v>
      </c>
      <c r="AM215" s="26"/>
      <c r="AN215" s="26"/>
      <c r="AO215" s="26">
        <f t="shared" si="283"/>
        <v>0</v>
      </c>
      <c r="AP215" s="25"/>
      <c r="AQ215" s="26"/>
      <c r="AR215" s="36"/>
      <c r="AS215" s="36"/>
      <c r="AT215" s="80"/>
      <c r="AU215" s="84">
        <f t="shared" si="219"/>
        <v>0</v>
      </c>
      <c r="AV215" s="84">
        <f t="shared" si="220"/>
        <v>0</v>
      </c>
      <c r="AW215" s="84">
        <f t="shared" si="221"/>
        <v>0</v>
      </c>
      <c r="AX215" s="84">
        <f t="shared" si="222"/>
        <v>0</v>
      </c>
    </row>
    <row r="216" spans="1:50" ht="13.5" customHeight="1" x14ac:dyDescent="0.3">
      <c r="A216" s="38" t="s">
        <v>76</v>
      </c>
      <c r="B216" s="37" t="s">
        <v>16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6"/>
      <c r="AS216" s="36"/>
      <c r="AT216" s="80"/>
      <c r="AU216" s="84">
        <f t="shared" si="219"/>
        <v>0</v>
      </c>
      <c r="AV216" s="84">
        <f t="shared" si="220"/>
        <v>0</v>
      </c>
      <c r="AW216" s="84">
        <f t="shared" si="221"/>
        <v>0</v>
      </c>
      <c r="AX216" s="84">
        <f t="shared" si="222"/>
        <v>0</v>
      </c>
    </row>
    <row r="217" spans="1:50" ht="13.2" customHeight="1" x14ac:dyDescent="0.3">
      <c r="A217" s="133" t="s">
        <v>77</v>
      </c>
      <c r="B217" s="127" t="s">
        <v>109</v>
      </c>
      <c r="C217" s="127" t="s">
        <v>6</v>
      </c>
      <c r="D217" s="38" t="s">
        <v>3</v>
      </c>
      <c r="E217" s="24">
        <f t="shared" ref="E217:F237" si="292">H217+K217+N217+Q217+T217+W217+Z217+AC217+AF217+AI217+AL217+AO217</f>
        <v>235.39999999999998</v>
      </c>
      <c r="F217" s="24">
        <f t="shared" si="292"/>
        <v>235.39999999999998</v>
      </c>
      <c r="G217" s="25">
        <f>F217/E217*100</f>
        <v>100</v>
      </c>
      <c r="H217" s="24">
        <f>H218+H219+H220+H221</f>
        <v>0</v>
      </c>
      <c r="I217" s="24"/>
      <c r="J217" s="22"/>
      <c r="K217" s="24">
        <f t="shared" ref="K217:AP217" si="293">K218+K219+K220+K221</f>
        <v>0</v>
      </c>
      <c r="L217" s="24">
        <f t="shared" si="293"/>
        <v>0</v>
      </c>
      <c r="M217" s="25"/>
      <c r="N217" s="24">
        <f t="shared" si="293"/>
        <v>0</v>
      </c>
      <c r="O217" s="24"/>
      <c r="P217" s="25"/>
      <c r="Q217" s="24">
        <f t="shared" si="293"/>
        <v>0</v>
      </c>
      <c r="R217" s="24"/>
      <c r="S217" s="22"/>
      <c r="T217" s="24">
        <f t="shared" si="293"/>
        <v>0</v>
      </c>
      <c r="U217" s="24"/>
      <c r="V217" s="22"/>
      <c r="W217" s="24">
        <f t="shared" si="293"/>
        <v>0</v>
      </c>
      <c r="X217" s="24">
        <f t="shared" si="293"/>
        <v>0</v>
      </c>
      <c r="Y217" s="25"/>
      <c r="Z217" s="24">
        <f t="shared" si="293"/>
        <v>0</v>
      </c>
      <c r="AA217" s="24">
        <f t="shared" si="293"/>
        <v>0</v>
      </c>
      <c r="AB217" s="25"/>
      <c r="AC217" s="24">
        <f t="shared" si="293"/>
        <v>0</v>
      </c>
      <c r="AD217" s="24">
        <f t="shared" si="293"/>
        <v>0</v>
      </c>
      <c r="AE217" s="22"/>
      <c r="AF217" s="24">
        <f t="shared" si="293"/>
        <v>93.6</v>
      </c>
      <c r="AG217" s="24">
        <f t="shared" si="293"/>
        <v>93.6</v>
      </c>
      <c r="AH217" s="25">
        <f>AG217/AF217*100</f>
        <v>100</v>
      </c>
      <c r="AI217" s="24">
        <f t="shared" si="293"/>
        <v>41.8</v>
      </c>
      <c r="AJ217" s="24">
        <f t="shared" si="293"/>
        <v>0</v>
      </c>
      <c r="AK217" s="25">
        <f>AJ217/AI217*100</f>
        <v>0</v>
      </c>
      <c r="AL217" s="24">
        <f t="shared" si="293"/>
        <v>100</v>
      </c>
      <c r="AM217" s="24">
        <f t="shared" si="293"/>
        <v>41.8</v>
      </c>
      <c r="AN217" s="25">
        <f>AM217/AL217*100</f>
        <v>41.8</v>
      </c>
      <c r="AO217" s="24">
        <f t="shared" si="293"/>
        <v>0</v>
      </c>
      <c r="AP217" s="24">
        <f t="shared" si="293"/>
        <v>100</v>
      </c>
      <c r="AQ217" s="25"/>
      <c r="AR217" s="36"/>
      <c r="AS217" s="36"/>
      <c r="AT217" s="80">
        <f t="shared" si="275"/>
        <v>1</v>
      </c>
      <c r="AU217" s="84">
        <f t="shared" si="219"/>
        <v>0</v>
      </c>
      <c r="AV217" s="84">
        <f t="shared" si="220"/>
        <v>0</v>
      </c>
      <c r="AW217" s="84">
        <f t="shared" si="221"/>
        <v>93.6</v>
      </c>
      <c r="AX217" s="84">
        <f t="shared" si="222"/>
        <v>141.80000000000001</v>
      </c>
    </row>
    <row r="218" spans="1:50" ht="18" customHeight="1" x14ac:dyDescent="0.3">
      <c r="A218" s="133"/>
      <c r="B218" s="127"/>
      <c r="C218" s="127"/>
      <c r="D218" s="38" t="s">
        <v>22</v>
      </c>
      <c r="E218" s="24">
        <f t="shared" si="292"/>
        <v>0</v>
      </c>
      <c r="F218" s="24">
        <f t="shared" si="292"/>
        <v>0</v>
      </c>
      <c r="G218" s="25"/>
      <c r="H218" s="24">
        <v>0</v>
      </c>
      <c r="I218" s="24"/>
      <c r="J218" s="22"/>
      <c r="K218" s="24">
        <v>0</v>
      </c>
      <c r="L218" s="24"/>
      <c r="M218" s="25"/>
      <c r="N218" s="24">
        <v>0</v>
      </c>
      <c r="O218" s="24"/>
      <c r="P218" s="25"/>
      <c r="Q218" s="24"/>
      <c r="R218" s="24"/>
      <c r="S218" s="22"/>
      <c r="T218" s="24"/>
      <c r="U218" s="24"/>
      <c r="V218" s="22"/>
      <c r="W218" s="24"/>
      <c r="X218" s="24"/>
      <c r="Y218" s="25"/>
      <c r="Z218" s="24"/>
      <c r="AA218" s="24"/>
      <c r="AB218" s="25"/>
      <c r="AC218" s="24"/>
      <c r="AD218" s="24"/>
      <c r="AE218" s="22"/>
      <c r="AF218" s="24"/>
      <c r="AG218" s="24"/>
      <c r="AH218" s="25"/>
      <c r="AI218" s="24"/>
      <c r="AJ218" s="24"/>
      <c r="AK218" s="25"/>
      <c r="AL218" s="24"/>
      <c r="AM218" s="24"/>
      <c r="AN218" s="25"/>
      <c r="AO218" s="24"/>
      <c r="AP218" s="24"/>
      <c r="AQ218" s="25"/>
      <c r="AR218" s="36"/>
      <c r="AS218" s="36"/>
      <c r="AT218" s="80"/>
      <c r="AU218" s="84">
        <f t="shared" si="219"/>
        <v>0</v>
      </c>
      <c r="AV218" s="84">
        <f t="shared" si="220"/>
        <v>0</v>
      </c>
      <c r="AW218" s="84">
        <f t="shared" si="221"/>
        <v>0</v>
      </c>
      <c r="AX218" s="84">
        <f t="shared" si="222"/>
        <v>0</v>
      </c>
    </row>
    <row r="219" spans="1:50" ht="24" x14ac:dyDescent="0.3">
      <c r="A219" s="133"/>
      <c r="B219" s="127"/>
      <c r="C219" s="127"/>
      <c r="D219" s="38" t="s">
        <v>4</v>
      </c>
      <c r="E219" s="24">
        <f t="shared" si="292"/>
        <v>0</v>
      </c>
      <c r="F219" s="24">
        <f t="shared" si="292"/>
        <v>0</v>
      </c>
      <c r="G219" s="25"/>
      <c r="H219" s="24"/>
      <c r="I219" s="24"/>
      <c r="J219" s="22"/>
      <c r="K219" s="24"/>
      <c r="L219" s="24"/>
      <c r="M219" s="25"/>
      <c r="N219" s="24"/>
      <c r="O219" s="24"/>
      <c r="P219" s="25"/>
      <c r="Q219" s="24"/>
      <c r="R219" s="24"/>
      <c r="S219" s="22"/>
      <c r="T219" s="24"/>
      <c r="U219" s="24"/>
      <c r="V219" s="22"/>
      <c r="W219" s="24"/>
      <c r="X219" s="24"/>
      <c r="Y219" s="25"/>
      <c r="Z219" s="24"/>
      <c r="AA219" s="24"/>
      <c r="AB219" s="25"/>
      <c r="AC219" s="24"/>
      <c r="AD219" s="24"/>
      <c r="AE219" s="22"/>
      <c r="AF219" s="24"/>
      <c r="AG219" s="24"/>
      <c r="AH219" s="25"/>
      <c r="AI219" s="24"/>
      <c r="AJ219" s="24"/>
      <c r="AK219" s="25"/>
      <c r="AL219" s="24"/>
      <c r="AM219" s="24"/>
      <c r="AN219" s="25"/>
      <c r="AO219" s="24"/>
      <c r="AP219" s="24"/>
      <c r="AQ219" s="25"/>
      <c r="AR219" s="36"/>
      <c r="AS219" s="36"/>
      <c r="AT219" s="80"/>
      <c r="AU219" s="84">
        <f t="shared" si="219"/>
        <v>0</v>
      </c>
      <c r="AV219" s="84">
        <f t="shared" si="220"/>
        <v>0</v>
      </c>
      <c r="AW219" s="84">
        <f t="shared" si="221"/>
        <v>0</v>
      </c>
      <c r="AX219" s="84">
        <f t="shared" si="222"/>
        <v>0</v>
      </c>
    </row>
    <row r="220" spans="1:50" ht="72" x14ac:dyDescent="0.3">
      <c r="A220" s="133"/>
      <c r="B220" s="127"/>
      <c r="C220" s="127"/>
      <c r="D220" s="38" t="s">
        <v>44</v>
      </c>
      <c r="E220" s="24">
        <f t="shared" si="292"/>
        <v>235.39999999999998</v>
      </c>
      <c r="F220" s="24">
        <f t="shared" si="292"/>
        <v>235.39999999999998</v>
      </c>
      <c r="G220" s="25">
        <f t="shared" ref="G220" si="294">F220/E220*100</f>
        <v>100</v>
      </c>
      <c r="H220" s="24"/>
      <c r="I220" s="24"/>
      <c r="J220" s="22"/>
      <c r="K220" s="24"/>
      <c r="L220" s="24"/>
      <c r="M220" s="25"/>
      <c r="N220" s="24"/>
      <c r="O220" s="24"/>
      <c r="P220" s="25"/>
      <c r="Q220" s="24">
        <f>41.8-41.8</f>
        <v>0</v>
      </c>
      <c r="R220" s="24"/>
      <c r="S220" s="22"/>
      <c r="T220" s="24"/>
      <c r="U220" s="24"/>
      <c r="V220" s="22"/>
      <c r="W220" s="24">
        <f>105.1-105.1</f>
        <v>0</v>
      </c>
      <c r="X220" s="24"/>
      <c r="Y220" s="25"/>
      <c r="Z220" s="24">
        <f>105.1-105.1</f>
        <v>0</v>
      </c>
      <c r="AA220" s="24"/>
      <c r="AB220" s="25"/>
      <c r="AC220" s="24"/>
      <c r="AD220" s="24"/>
      <c r="AE220" s="22"/>
      <c r="AF220" s="24">
        <v>93.6</v>
      </c>
      <c r="AG220" s="24">
        <v>93.6</v>
      </c>
      <c r="AH220" s="25">
        <f t="shared" ref="AH220" si="295">AG220/AF220*100</f>
        <v>100</v>
      </c>
      <c r="AI220" s="24">
        <f>53.3-11.5</f>
        <v>41.8</v>
      </c>
      <c r="AJ220" s="24">
        <v>0</v>
      </c>
      <c r="AK220" s="25">
        <f t="shared" ref="AK220" si="296">AJ220/AI220*100</f>
        <v>0</v>
      </c>
      <c r="AL220" s="24">
        <v>100</v>
      </c>
      <c r="AM220" s="24">
        <v>41.8</v>
      </c>
      <c r="AN220" s="25">
        <f t="shared" ref="AN220" si="297">AM220/AL220*100</f>
        <v>41.8</v>
      </c>
      <c r="AO220" s="24"/>
      <c r="AP220" s="24">
        <v>100</v>
      </c>
      <c r="AQ220" s="25"/>
      <c r="AR220" s="91" t="s">
        <v>188</v>
      </c>
      <c r="AS220" s="91"/>
      <c r="AT220" s="80">
        <f t="shared" si="275"/>
        <v>1</v>
      </c>
      <c r="AU220" s="84">
        <f t="shared" si="219"/>
        <v>0</v>
      </c>
      <c r="AV220" s="84">
        <f t="shared" si="220"/>
        <v>0</v>
      </c>
      <c r="AW220" s="84">
        <f t="shared" si="221"/>
        <v>93.6</v>
      </c>
      <c r="AX220" s="84">
        <f t="shared" si="222"/>
        <v>141.80000000000001</v>
      </c>
    </row>
    <row r="221" spans="1:50" ht="13.95" customHeight="1" x14ac:dyDescent="0.3">
      <c r="A221" s="133"/>
      <c r="B221" s="127"/>
      <c r="C221" s="127"/>
      <c r="D221" s="38" t="s">
        <v>23</v>
      </c>
      <c r="E221" s="24">
        <f t="shared" si="292"/>
        <v>0</v>
      </c>
      <c r="F221" s="24">
        <f t="shared" si="292"/>
        <v>0</v>
      </c>
      <c r="G221" s="25"/>
      <c r="H221" s="24"/>
      <c r="I221" s="24"/>
      <c r="J221" s="25"/>
      <c r="K221" s="24"/>
      <c r="L221" s="24"/>
      <c r="M221" s="25"/>
      <c r="N221" s="24"/>
      <c r="O221" s="24"/>
      <c r="P221" s="25"/>
      <c r="Q221" s="24"/>
      <c r="R221" s="24"/>
      <c r="S221" s="25"/>
      <c r="T221" s="24"/>
      <c r="U221" s="24"/>
      <c r="V221" s="25"/>
      <c r="W221" s="24"/>
      <c r="X221" s="24"/>
      <c r="Y221" s="25"/>
      <c r="Z221" s="24"/>
      <c r="AA221" s="24"/>
      <c r="AB221" s="25"/>
      <c r="AC221" s="24"/>
      <c r="AD221" s="24"/>
      <c r="AE221" s="25"/>
      <c r="AF221" s="24"/>
      <c r="AG221" s="24"/>
      <c r="AH221" s="25"/>
      <c r="AI221" s="24"/>
      <c r="AJ221" s="24"/>
      <c r="AK221" s="25"/>
      <c r="AL221" s="24"/>
      <c r="AM221" s="24"/>
      <c r="AN221" s="25"/>
      <c r="AO221" s="24"/>
      <c r="AP221" s="24"/>
      <c r="AQ221" s="25"/>
      <c r="AR221" s="36"/>
      <c r="AS221" s="36"/>
      <c r="AT221" s="80"/>
      <c r="AU221" s="84">
        <f t="shared" si="219"/>
        <v>0</v>
      </c>
      <c r="AV221" s="84">
        <f t="shared" si="220"/>
        <v>0</v>
      </c>
      <c r="AW221" s="84">
        <f t="shared" si="221"/>
        <v>0</v>
      </c>
      <c r="AX221" s="84">
        <f t="shared" si="222"/>
        <v>0</v>
      </c>
    </row>
    <row r="222" spans="1:50" ht="15.75" customHeight="1" x14ac:dyDescent="0.3">
      <c r="A222" s="133" t="s">
        <v>110</v>
      </c>
      <c r="B222" s="127" t="s">
        <v>111</v>
      </c>
      <c r="C222" s="127" t="s">
        <v>6</v>
      </c>
      <c r="D222" s="38" t="s">
        <v>3</v>
      </c>
      <c r="E222" s="24">
        <f t="shared" si="292"/>
        <v>56</v>
      </c>
      <c r="F222" s="24">
        <f t="shared" si="292"/>
        <v>56</v>
      </c>
      <c r="G222" s="25">
        <f>F222/E222*100</f>
        <v>100</v>
      </c>
      <c r="H222" s="24">
        <f>H223+H224+H225+H226</f>
        <v>0</v>
      </c>
      <c r="I222" s="24"/>
      <c r="J222" s="22"/>
      <c r="K222" s="24">
        <f t="shared" ref="K222:AO222" si="298">K223+K224+K225+K226</f>
        <v>0</v>
      </c>
      <c r="L222" s="24"/>
      <c r="M222" s="22"/>
      <c r="N222" s="24">
        <f t="shared" si="298"/>
        <v>0</v>
      </c>
      <c r="O222" s="24"/>
      <c r="P222" s="22"/>
      <c r="Q222" s="24">
        <f t="shared" si="298"/>
        <v>0</v>
      </c>
      <c r="R222" s="24"/>
      <c r="S222" s="22"/>
      <c r="T222" s="24">
        <f t="shared" si="298"/>
        <v>0</v>
      </c>
      <c r="U222" s="24"/>
      <c r="V222" s="22"/>
      <c r="W222" s="24">
        <f t="shared" si="298"/>
        <v>0</v>
      </c>
      <c r="X222" s="24"/>
      <c r="Y222" s="22"/>
      <c r="Z222" s="24">
        <f t="shared" si="298"/>
        <v>0</v>
      </c>
      <c r="AA222" s="24"/>
      <c r="AB222" s="22"/>
      <c r="AC222" s="24">
        <f t="shared" si="298"/>
        <v>0</v>
      </c>
      <c r="AD222" s="24">
        <f t="shared" si="298"/>
        <v>0</v>
      </c>
      <c r="AE222" s="22"/>
      <c r="AF222" s="24">
        <f t="shared" si="298"/>
        <v>56</v>
      </c>
      <c r="AG222" s="24">
        <f t="shared" si="298"/>
        <v>56</v>
      </c>
      <c r="AH222" s="25">
        <f>AG222/AF222*100</f>
        <v>100</v>
      </c>
      <c r="AI222" s="24">
        <f t="shared" si="298"/>
        <v>0</v>
      </c>
      <c r="AJ222" s="24">
        <f t="shared" si="298"/>
        <v>0</v>
      </c>
      <c r="AK222" s="25"/>
      <c r="AL222" s="24">
        <f t="shared" si="298"/>
        <v>0</v>
      </c>
      <c r="AM222" s="24"/>
      <c r="AN222" s="22"/>
      <c r="AO222" s="24">
        <f t="shared" si="298"/>
        <v>0</v>
      </c>
      <c r="AP222" s="24"/>
      <c r="AQ222" s="25"/>
      <c r="AR222" s="36"/>
      <c r="AS222" s="36"/>
      <c r="AT222" s="80">
        <f t="shared" si="275"/>
        <v>1</v>
      </c>
      <c r="AU222" s="84">
        <f t="shared" si="219"/>
        <v>0</v>
      </c>
      <c r="AV222" s="84">
        <f t="shared" si="220"/>
        <v>0</v>
      </c>
      <c r="AW222" s="84">
        <f t="shared" si="221"/>
        <v>56</v>
      </c>
      <c r="AX222" s="84">
        <f t="shared" si="222"/>
        <v>0</v>
      </c>
    </row>
    <row r="223" spans="1:50" ht="15.6" x14ac:dyDescent="0.3">
      <c r="A223" s="133"/>
      <c r="B223" s="127"/>
      <c r="C223" s="127"/>
      <c r="D223" s="38" t="s">
        <v>22</v>
      </c>
      <c r="E223" s="24">
        <f t="shared" si="292"/>
        <v>0</v>
      </c>
      <c r="F223" s="24">
        <f t="shared" si="292"/>
        <v>0</v>
      </c>
      <c r="G223" s="25"/>
      <c r="H223" s="24"/>
      <c r="I223" s="24"/>
      <c r="J223" s="22"/>
      <c r="K223" s="24"/>
      <c r="L223" s="24"/>
      <c r="M223" s="22"/>
      <c r="N223" s="24"/>
      <c r="O223" s="24"/>
      <c r="P223" s="22"/>
      <c r="Q223" s="24"/>
      <c r="R223" s="24"/>
      <c r="S223" s="22"/>
      <c r="T223" s="24"/>
      <c r="U223" s="24"/>
      <c r="V223" s="22"/>
      <c r="W223" s="24"/>
      <c r="X223" s="24"/>
      <c r="Y223" s="22"/>
      <c r="Z223" s="24"/>
      <c r="AA223" s="24"/>
      <c r="AB223" s="22"/>
      <c r="AC223" s="24"/>
      <c r="AD223" s="24"/>
      <c r="AE223" s="22"/>
      <c r="AF223" s="24"/>
      <c r="AG223" s="24"/>
      <c r="AH223" s="25"/>
      <c r="AI223" s="24"/>
      <c r="AJ223" s="24"/>
      <c r="AK223" s="25"/>
      <c r="AL223" s="24"/>
      <c r="AM223" s="24"/>
      <c r="AN223" s="22"/>
      <c r="AO223" s="24"/>
      <c r="AP223" s="24"/>
      <c r="AQ223" s="25"/>
      <c r="AR223" s="36"/>
      <c r="AS223" s="36"/>
      <c r="AT223" s="80"/>
      <c r="AU223" s="84">
        <f t="shared" si="219"/>
        <v>0</v>
      </c>
      <c r="AV223" s="84">
        <f t="shared" si="220"/>
        <v>0</v>
      </c>
      <c r="AW223" s="84">
        <f t="shared" si="221"/>
        <v>0</v>
      </c>
      <c r="AX223" s="84">
        <f t="shared" si="222"/>
        <v>0</v>
      </c>
    </row>
    <row r="224" spans="1:50" ht="24" x14ac:dyDescent="0.3">
      <c r="A224" s="133"/>
      <c r="B224" s="127"/>
      <c r="C224" s="127"/>
      <c r="D224" s="38" t="s">
        <v>4</v>
      </c>
      <c r="E224" s="24">
        <f t="shared" si="292"/>
        <v>0</v>
      </c>
      <c r="F224" s="24">
        <f t="shared" si="292"/>
        <v>0</v>
      </c>
      <c r="G224" s="25"/>
      <c r="H224" s="24"/>
      <c r="I224" s="24"/>
      <c r="J224" s="22"/>
      <c r="K224" s="24"/>
      <c r="L224" s="24"/>
      <c r="M224" s="22"/>
      <c r="N224" s="24"/>
      <c r="O224" s="24"/>
      <c r="P224" s="22"/>
      <c r="Q224" s="24"/>
      <c r="R224" s="24"/>
      <c r="S224" s="22"/>
      <c r="T224" s="24"/>
      <c r="U224" s="24"/>
      <c r="V224" s="22"/>
      <c r="W224" s="24"/>
      <c r="X224" s="24"/>
      <c r="Y224" s="22"/>
      <c r="Z224" s="24"/>
      <c r="AA224" s="24"/>
      <c r="AB224" s="22"/>
      <c r="AC224" s="24"/>
      <c r="AD224" s="24"/>
      <c r="AE224" s="22"/>
      <c r="AF224" s="24"/>
      <c r="AG224" s="24"/>
      <c r="AH224" s="25"/>
      <c r="AI224" s="24"/>
      <c r="AJ224" s="24"/>
      <c r="AK224" s="25"/>
      <c r="AL224" s="24"/>
      <c r="AM224" s="24"/>
      <c r="AN224" s="22"/>
      <c r="AO224" s="24"/>
      <c r="AP224" s="24"/>
      <c r="AQ224" s="25"/>
      <c r="AR224" s="36"/>
      <c r="AS224" s="36"/>
      <c r="AT224" s="80"/>
      <c r="AU224" s="84">
        <f t="shared" si="219"/>
        <v>0</v>
      </c>
      <c r="AV224" s="84">
        <f t="shared" si="220"/>
        <v>0</v>
      </c>
      <c r="AW224" s="84">
        <f t="shared" si="221"/>
        <v>0</v>
      </c>
      <c r="AX224" s="84">
        <f t="shared" si="222"/>
        <v>0</v>
      </c>
    </row>
    <row r="225" spans="1:50" ht="36.6" x14ac:dyDescent="0.3">
      <c r="A225" s="133"/>
      <c r="B225" s="127"/>
      <c r="C225" s="127"/>
      <c r="D225" s="38" t="s">
        <v>44</v>
      </c>
      <c r="E225" s="24">
        <f t="shared" si="292"/>
        <v>56</v>
      </c>
      <c r="F225" s="24">
        <f t="shared" si="292"/>
        <v>56</v>
      </c>
      <c r="G225" s="25">
        <f t="shared" ref="G225" si="299">F225/E225*100</f>
        <v>100</v>
      </c>
      <c r="H225" s="24"/>
      <c r="I225" s="24"/>
      <c r="J225" s="22"/>
      <c r="K225" s="24"/>
      <c r="L225" s="24"/>
      <c r="M225" s="22"/>
      <c r="N225" s="24"/>
      <c r="O225" s="24"/>
      <c r="P225" s="22"/>
      <c r="Q225" s="24"/>
      <c r="R225" s="24"/>
      <c r="S225" s="22"/>
      <c r="T225" s="24"/>
      <c r="U225" s="24"/>
      <c r="V225" s="22"/>
      <c r="W225" s="24"/>
      <c r="X225" s="24"/>
      <c r="Y225" s="22"/>
      <c r="Z225" s="24"/>
      <c r="AA225" s="24"/>
      <c r="AB225" s="22"/>
      <c r="AC225" s="24"/>
      <c r="AD225" s="24"/>
      <c r="AE225" s="22"/>
      <c r="AF225" s="24">
        <f>87.5-31.5</f>
        <v>56</v>
      </c>
      <c r="AG225" s="24">
        <v>56</v>
      </c>
      <c r="AH225" s="25">
        <f t="shared" ref="AH225" si="300">AG225/AF225*100</f>
        <v>100</v>
      </c>
      <c r="AI225" s="24"/>
      <c r="AJ225" s="24">
        <v>0</v>
      </c>
      <c r="AK225" s="25"/>
      <c r="AL225" s="24">
        <f>31.5-31.5</f>
        <v>0</v>
      </c>
      <c r="AM225" s="24"/>
      <c r="AN225" s="22"/>
      <c r="AO225" s="24"/>
      <c r="AP225" s="24"/>
      <c r="AQ225" s="25"/>
      <c r="AR225" s="43" t="s">
        <v>162</v>
      </c>
      <c r="AS225" s="36"/>
      <c r="AT225" s="80">
        <f t="shared" si="275"/>
        <v>1</v>
      </c>
      <c r="AU225" s="84">
        <f t="shared" ref="AU225:AU295" si="301">H225+K225+N225</f>
        <v>0</v>
      </c>
      <c r="AV225" s="84">
        <f t="shared" ref="AV225:AV295" si="302">Q225+T225+W225</f>
        <v>0</v>
      </c>
      <c r="AW225" s="84">
        <f t="shared" ref="AW225:AW295" si="303">Z225+AC225+AF225</f>
        <v>56</v>
      </c>
      <c r="AX225" s="84">
        <f t="shared" ref="AX225:AX295" si="304">AI225+AL225+AO225</f>
        <v>0</v>
      </c>
    </row>
    <row r="226" spans="1:50" ht="12" customHeight="1" x14ac:dyDescent="0.3">
      <c r="A226" s="133"/>
      <c r="B226" s="127"/>
      <c r="C226" s="127"/>
      <c r="D226" s="38" t="s">
        <v>23</v>
      </c>
      <c r="E226" s="24">
        <f t="shared" si="292"/>
        <v>0</v>
      </c>
      <c r="F226" s="24">
        <f t="shared" si="292"/>
        <v>0</v>
      </c>
      <c r="G226" s="25"/>
      <c r="H226" s="24"/>
      <c r="I226" s="24"/>
      <c r="J226" s="25"/>
      <c r="K226" s="24"/>
      <c r="L226" s="24"/>
      <c r="M226" s="25"/>
      <c r="N226" s="24"/>
      <c r="O226" s="24"/>
      <c r="P226" s="25"/>
      <c r="Q226" s="24"/>
      <c r="R226" s="24"/>
      <c r="S226" s="25"/>
      <c r="T226" s="24"/>
      <c r="U226" s="24"/>
      <c r="V226" s="25"/>
      <c r="W226" s="24"/>
      <c r="X226" s="24"/>
      <c r="Y226" s="25"/>
      <c r="Z226" s="24"/>
      <c r="AA226" s="24"/>
      <c r="AB226" s="25"/>
      <c r="AC226" s="24"/>
      <c r="AD226" s="24"/>
      <c r="AE226" s="25"/>
      <c r="AF226" s="24"/>
      <c r="AG226" s="24"/>
      <c r="AH226" s="25"/>
      <c r="AI226" s="24"/>
      <c r="AJ226" s="24"/>
      <c r="AK226" s="25"/>
      <c r="AL226" s="24"/>
      <c r="AM226" s="24"/>
      <c r="AN226" s="25"/>
      <c r="AO226" s="24"/>
      <c r="AP226" s="24"/>
      <c r="AQ226" s="25"/>
      <c r="AR226" s="36"/>
      <c r="AS226" s="36"/>
      <c r="AT226" s="80"/>
      <c r="AU226" s="84">
        <f t="shared" si="301"/>
        <v>0</v>
      </c>
      <c r="AV226" s="84">
        <f t="shared" si="302"/>
        <v>0</v>
      </c>
      <c r="AW226" s="84">
        <f t="shared" si="303"/>
        <v>0</v>
      </c>
      <c r="AX226" s="84">
        <f t="shared" si="304"/>
        <v>0</v>
      </c>
    </row>
    <row r="227" spans="1:50" ht="15.75" customHeight="1" x14ac:dyDescent="0.3">
      <c r="A227" s="157" t="s">
        <v>78</v>
      </c>
      <c r="B227" s="124" t="s">
        <v>112</v>
      </c>
      <c r="C227" s="124" t="s">
        <v>6</v>
      </c>
      <c r="D227" s="38" t="s">
        <v>3</v>
      </c>
      <c r="E227" s="24">
        <f>H227+K227+N227+Q227+T227+W227+Z227+AC227+AF227+AI227+AL227+AO227</f>
        <v>243.7</v>
      </c>
      <c r="F227" s="24">
        <f t="shared" si="292"/>
        <v>243.7</v>
      </c>
      <c r="G227" s="25">
        <f>F227/E227*100</f>
        <v>100</v>
      </c>
      <c r="H227" s="24">
        <f>H228+H229+H230+H231</f>
        <v>0</v>
      </c>
      <c r="I227" s="24"/>
      <c r="J227" s="22"/>
      <c r="K227" s="24">
        <f>K228+K229+K230+K231</f>
        <v>75</v>
      </c>
      <c r="L227" s="24">
        <f>L228+L229+L230+L231</f>
        <v>75</v>
      </c>
      <c r="M227" s="25">
        <f>L227/K227*100</f>
        <v>100</v>
      </c>
      <c r="N227" s="24">
        <f t="shared" ref="N227:AP227" si="305">N228+N229+N230+N231</f>
        <v>111</v>
      </c>
      <c r="O227" s="24">
        <f t="shared" si="305"/>
        <v>111</v>
      </c>
      <c r="P227" s="25">
        <f t="shared" ref="P227:P230" si="306">O227/N227*100</f>
        <v>100</v>
      </c>
      <c r="Q227" s="24">
        <f t="shared" si="305"/>
        <v>0</v>
      </c>
      <c r="R227" s="24"/>
      <c r="S227" s="22"/>
      <c r="T227" s="24">
        <f t="shared" si="305"/>
        <v>0</v>
      </c>
      <c r="U227" s="24">
        <f t="shared" si="305"/>
        <v>0</v>
      </c>
      <c r="V227" s="25"/>
      <c r="W227" s="24">
        <f t="shared" si="305"/>
        <v>0</v>
      </c>
      <c r="X227" s="24">
        <f t="shared" si="305"/>
        <v>0</v>
      </c>
      <c r="Y227" s="25"/>
      <c r="Z227" s="24">
        <f t="shared" si="305"/>
        <v>0</v>
      </c>
      <c r="AA227" s="24"/>
      <c r="AB227" s="22"/>
      <c r="AC227" s="24">
        <f t="shared" si="305"/>
        <v>0</v>
      </c>
      <c r="AD227" s="24">
        <f t="shared" si="305"/>
        <v>0</v>
      </c>
      <c r="AE227" s="22"/>
      <c r="AF227" s="24">
        <f t="shared" si="305"/>
        <v>0</v>
      </c>
      <c r="AG227" s="24">
        <f t="shared" si="305"/>
        <v>0</v>
      </c>
      <c r="AH227" s="22"/>
      <c r="AI227" s="24">
        <f t="shared" si="305"/>
        <v>0</v>
      </c>
      <c r="AJ227" s="24">
        <f t="shared" si="305"/>
        <v>0</v>
      </c>
      <c r="AK227" s="22"/>
      <c r="AL227" s="24">
        <f t="shared" si="305"/>
        <v>51.7</v>
      </c>
      <c r="AM227" s="24">
        <f t="shared" si="305"/>
        <v>39.700000000000003</v>
      </c>
      <c r="AN227" s="25">
        <f>AM227/AL227*100</f>
        <v>76.789168278529985</v>
      </c>
      <c r="AO227" s="24">
        <f t="shared" si="305"/>
        <v>6</v>
      </c>
      <c r="AP227" s="24">
        <f t="shared" si="305"/>
        <v>18</v>
      </c>
      <c r="AQ227" s="25">
        <f>AP227/AO227*100</f>
        <v>300</v>
      </c>
      <c r="AR227" s="36"/>
      <c r="AS227" s="36"/>
      <c r="AT227" s="80">
        <f t="shared" si="275"/>
        <v>1</v>
      </c>
      <c r="AU227" s="84">
        <f>H227+K227+N227</f>
        <v>186</v>
      </c>
      <c r="AV227" s="84">
        <f t="shared" si="302"/>
        <v>0</v>
      </c>
      <c r="AW227" s="84">
        <f t="shared" si="303"/>
        <v>0</v>
      </c>
      <c r="AX227" s="84">
        <f t="shared" si="304"/>
        <v>57.7</v>
      </c>
    </row>
    <row r="228" spans="1:50" ht="15.6" x14ac:dyDescent="0.3">
      <c r="A228" s="158"/>
      <c r="B228" s="125"/>
      <c r="C228" s="125"/>
      <c r="D228" s="38" t="s">
        <v>22</v>
      </c>
      <c r="E228" s="24">
        <f t="shared" si="292"/>
        <v>0</v>
      </c>
      <c r="F228" s="24">
        <f>I228+L228+O228+R228+U228+X228+AA228+AD228+AG228+AJ228+AM228+AP228</f>
        <v>0</v>
      </c>
      <c r="G228" s="25"/>
      <c r="H228" s="24"/>
      <c r="I228" s="24"/>
      <c r="J228" s="22"/>
      <c r="K228" s="24"/>
      <c r="L228" s="24"/>
      <c r="M228" s="25"/>
      <c r="N228" s="24"/>
      <c r="O228" s="24"/>
      <c r="P228" s="25"/>
      <c r="Q228" s="24"/>
      <c r="R228" s="24"/>
      <c r="S228" s="22"/>
      <c r="T228" s="24"/>
      <c r="U228" s="24"/>
      <c r="V228" s="25"/>
      <c r="W228" s="24"/>
      <c r="X228" s="24"/>
      <c r="Y228" s="25"/>
      <c r="Z228" s="24"/>
      <c r="AA228" s="24"/>
      <c r="AB228" s="22"/>
      <c r="AC228" s="24"/>
      <c r="AD228" s="24"/>
      <c r="AE228" s="22"/>
      <c r="AF228" s="24"/>
      <c r="AG228" s="24"/>
      <c r="AH228" s="22"/>
      <c r="AI228" s="24"/>
      <c r="AJ228" s="24"/>
      <c r="AK228" s="22"/>
      <c r="AL228" s="24"/>
      <c r="AM228" s="24"/>
      <c r="AN228" s="25"/>
      <c r="AO228" s="24"/>
      <c r="AP228" s="24"/>
      <c r="AQ228" s="25"/>
      <c r="AR228" s="36"/>
      <c r="AS228" s="36"/>
      <c r="AT228" s="80"/>
      <c r="AU228" s="84">
        <f t="shared" si="301"/>
        <v>0</v>
      </c>
      <c r="AV228" s="84">
        <f t="shared" si="302"/>
        <v>0</v>
      </c>
      <c r="AW228" s="84">
        <f t="shared" si="303"/>
        <v>0</v>
      </c>
      <c r="AX228" s="84">
        <f t="shared" si="304"/>
        <v>0</v>
      </c>
    </row>
    <row r="229" spans="1:50" ht="14.25" customHeight="1" x14ac:dyDescent="0.3">
      <c r="A229" s="158"/>
      <c r="B229" s="125"/>
      <c r="C229" s="125"/>
      <c r="D229" s="38" t="s">
        <v>4</v>
      </c>
      <c r="E229" s="24">
        <f t="shared" si="292"/>
        <v>0</v>
      </c>
      <c r="F229" s="24">
        <f t="shared" si="292"/>
        <v>0</v>
      </c>
      <c r="G229" s="25"/>
      <c r="H229" s="24"/>
      <c r="I229" s="24"/>
      <c r="J229" s="22"/>
      <c r="K229" s="24"/>
      <c r="L229" s="24"/>
      <c r="M229" s="25"/>
      <c r="N229" s="24"/>
      <c r="O229" s="24"/>
      <c r="P229" s="25"/>
      <c r="Q229" s="24"/>
      <c r="R229" s="24"/>
      <c r="S229" s="22"/>
      <c r="T229" s="24"/>
      <c r="U229" s="24"/>
      <c r="V229" s="25"/>
      <c r="W229" s="24"/>
      <c r="X229" s="24"/>
      <c r="Y229" s="25"/>
      <c r="Z229" s="24"/>
      <c r="AA229" s="24"/>
      <c r="AB229" s="22"/>
      <c r="AC229" s="24"/>
      <c r="AD229" s="24"/>
      <c r="AE229" s="22"/>
      <c r="AF229" s="24"/>
      <c r="AG229" s="24"/>
      <c r="AH229" s="22"/>
      <c r="AI229" s="24"/>
      <c r="AJ229" s="24"/>
      <c r="AK229" s="22"/>
      <c r="AL229" s="24"/>
      <c r="AM229" s="24"/>
      <c r="AN229" s="25"/>
      <c r="AO229" s="24"/>
      <c r="AP229" s="24"/>
      <c r="AQ229" s="25"/>
      <c r="AR229" s="36"/>
      <c r="AS229" s="36"/>
      <c r="AT229" s="80"/>
      <c r="AU229" s="84">
        <f t="shared" si="301"/>
        <v>0</v>
      </c>
      <c r="AV229" s="84">
        <f t="shared" si="302"/>
        <v>0</v>
      </c>
      <c r="AW229" s="84">
        <f t="shared" si="303"/>
        <v>0</v>
      </c>
      <c r="AX229" s="84">
        <f t="shared" si="304"/>
        <v>0</v>
      </c>
    </row>
    <row r="230" spans="1:50" ht="121.2" customHeight="1" x14ac:dyDescent="0.3">
      <c r="A230" s="158"/>
      <c r="B230" s="125"/>
      <c r="C230" s="125"/>
      <c r="D230" s="38" t="s">
        <v>44</v>
      </c>
      <c r="E230" s="24">
        <f t="shared" si="292"/>
        <v>243.7</v>
      </c>
      <c r="F230" s="24">
        <f t="shared" si="292"/>
        <v>243.7</v>
      </c>
      <c r="G230" s="25">
        <f t="shared" ref="G230" si="307">F230/E230*100</f>
        <v>100</v>
      </c>
      <c r="H230" s="24"/>
      <c r="I230" s="24"/>
      <c r="J230" s="22"/>
      <c r="K230" s="24">
        <v>75</v>
      </c>
      <c r="L230" s="24">
        <v>75</v>
      </c>
      <c r="M230" s="25">
        <f t="shared" ref="M230" si="308">L230/K230*100</f>
        <v>100</v>
      </c>
      <c r="N230" s="24">
        <f>6+105</f>
        <v>111</v>
      </c>
      <c r="O230" s="24">
        <v>111</v>
      </c>
      <c r="P230" s="25">
        <f t="shared" si="306"/>
        <v>100</v>
      </c>
      <c r="Q230" s="24">
        <f>39.6-39.6</f>
        <v>0</v>
      </c>
      <c r="R230" s="24"/>
      <c r="S230" s="22"/>
      <c r="T230" s="24"/>
      <c r="U230" s="24"/>
      <c r="V230" s="25"/>
      <c r="W230" s="24">
        <f>61.2-61.2</f>
        <v>0</v>
      </c>
      <c r="X230" s="24"/>
      <c r="Y230" s="25"/>
      <c r="Z230" s="24">
        <f>39.1-39.1</f>
        <v>0</v>
      </c>
      <c r="AA230" s="24"/>
      <c r="AB230" s="22"/>
      <c r="AC230" s="24"/>
      <c r="AD230" s="24"/>
      <c r="AE230" s="22"/>
      <c r="AF230" s="24">
        <f>6+139.9-145.9</f>
        <v>0</v>
      </c>
      <c r="AG230" s="24"/>
      <c r="AH230" s="22"/>
      <c r="AI230" s="24">
        <v>0</v>
      </c>
      <c r="AJ230" s="24">
        <v>0</v>
      </c>
      <c r="AK230" s="22"/>
      <c r="AL230" s="24">
        <f>145.9-94.2</f>
        <v>51.7</v>
      </c>
      <c r="AM230" s="24">
        <v>39.700000000000003</v>
      </c>
      <c r="AN230" s="25">
        <f t="shared" ref="AN230" si="309">AM230/AL230*100</f>
        <v>76.789168278529985</v>
      </c>
      <c r="AO230" s="24">
        <v>6</v>
      </c>
      <c r="AP230" s="24">
        <v>18</v>
      </c>
      <c r="AQ230" s="25">
        <f t="shared" ref="AQ230" si="310">AP230/AO230*100</f>
        <v>300</v>
      </c>
      <c r="AR230" s="119" t="s">
        <v>189</v>
      </c>
      <c r="AS230" s="36"/>
      <c r="AT230" s="80">
        <f t="shared" si="275"/>
        <v>1</v>
      </c>
      <c r="AU230" s="84">
        <f t="shared" si="301"/>
        <v>186</v>
      </c>
      <c r="AV230" s="84">
        <f t="shared" si="302"/>
        <v>0</v>
      </c>
      <c r="AW230" s="84">
        <f t="shared" si="303"/>
        <v>0</v>
      </c>
      <c r="AX230" s="84">
        <f t="shared" si="304"/>
        <v>57.7</v>
      </c>
    </row>
    <row r="231" spans="1:50" ht="15.75" customHeight="1" x14ac:dyDescent="0.3">
      <c r="A231" s="158"/>
      <c r="B231" s="125"/>
      <c r="C231" s="125"/>
      <c r="D231" s="38" t="s">
        <v>23</v>
      </c>
      <c r="E231" s="24">
        <f t="shared" si="292"/>
        <v>0</v>
      </c>
      <c r="F231" s="24">
        <f t="shared" si="292"/>
        <v>0</v>
      </c>
      <c r="G231" s="25"/>
      <c r="H231" s="24"/>
      <c r="I231" s="24"/>
      <c r="J231" s="25"/>
      <c r="K231" s="24"/>
      <c r="L231" s="24"/>
      <c r="M231" s="25"/>
      <c r="N231" s="24"/>
      <c r="O231" s="24"/>
      <c r="P231" s="25"/>
      <c r="Q231" s="24"/>
      <c r="R231" s="24"/>
      <c r="S231" s="25"/>
      <c r="T231" s="24"/>
      <c r="U231" s="24"/>
      <c r="V231" s="25"/>
      <c r="W231" s="24"/>
      <c r="X231" s="24"/>
      <c r="Y231" s="25"/>
      <c r="Z231" s="24"/>
      <c r="AA231" s="24"/>
      <c r="AB231" s="25"/>
      <c r="AC231" s="24"/>
      <c r="AD231" s="24"/>
      <c r="AE231" s="25"/>
      <c r="AF231" s="24"/>
      <c r="AG231" s="24"/>
      <c r="AH231" s="25"/>
      <c r="AI231" s="24"/>
      <c r="AJ231" s="24"/>
      <c r="AK231" s="25"/>
      <c r="AL231" s="24"/>
      <c r="AM231" s="24"/>
      <c r="AN231" s="25"/>
      <c r="AO231" s="24"/>
      <c r="AP231" s="24"/>
      <c r="AQ231" s="25"/>
      <c r="AR231" s="36"/>
      <c r="AS231" s="36"/>
      <c r="AT231" s="80"/>
      <c r="AU231" s="84">
        <f t="shared" si="301"/>
        <v>0</v>
      </c>
      <c r="AV231" s="84">
        <f t="shared" si="302"/>
        <v>0</v>
      </c>
      <c r="AW231" s="84">
        <f t="shared" si="303"/>
        <v>0</v>
      </c>
      <c r="AX231" s="84">
        <f t="shared" si="304"/>
        <v>0</v>
      </c>
    </row>
    <row r="232" spans="1:50" ht="15.6" customHeight="1" x14ac:dyDescent="0.3">
      <c r="A232" s="159"/>
      <c r="B232" s="126"/>
      <c r="C232" s="126"/>
      <c r="D232" s="39" t="s">
        <v>131</v>
      </c>
      <c r="E232" s="24"/>
      <c r="F232" s="24">
        <f t="shared" si="292"/>
        <v>40</v>
      </c>
      <c r="G232" s="25"/>
      <c r="H232" s="24"/>
      <c r="I232" s="24"/>
      <c r="J232" s="25"/>
      <c r="K232" s="24"/>
      <c r="L232" s="24"/>
      <c r="M232" s="25"/>
      <c r="N232" s="24"/>
      <c r="O232" s="24">
        <v>40</v>
      </c>
      <c r="P232" s="25"/>
      <c r="Q232" s="24"/>
      <c r="R232" s="24"/>
      <c r="S232" s="25"/>
      <c r="T232" s="24"/>
      <c r="U232" s="24"/>
      <c r="V232" s="25"/>
      <c r="W232" s="24"/>
      <c r="X232" s="24"/>
      <c r="Y232" s="25"/>
      <c r="Z232" s="24"/>
      <c r="AA232" s="24"/>
      <c r="AB232" s="25"/>
      <c r="AC232" s="24"/>
      <c r="AD232" s="24"/>
      <c r="AE232" s="25"/>
      <c r="AF232" s="24"/>
      <c r="AG232" s="24"/>
      <c r="AH232" s="25"/>
      <c r="AI232" s="24"/>
      <c r="AJ232" s="24"/>
      <c r="AK232" s="25"/>
      <c r="AL232" s="24"/>
      <c r="AM232" s="24"/>
      <c r="AN232" s="25"/>
      <c r="AO232" s="24"/>
      <c r="AP232" s="24"/>
      <c r="AQ232" s="25"/>
      <c r="AR232" s="120" t="s">
        <v>135</v>
      </c>
      <c r="AS232" s="36"/>
      <c r="AT232" s="80"/>
      <c r="AU232" s="84"/>
      <c r="AV232" s="84"/>
      <c r="AW232" s="84"/>
      <c r="AX232" s="84"/>
    </row>
    <row r="233" spans="1:50" ht="15.75" customHeight="1" x14ac:dyDescent="0.3">
      <c r="A233" s="160" t="s">
        <v>17</v>
      </c>
      <c r="B233" s="161"/>
      <c r="C233" s="162"/>
      <c r="D233" s="39" t="s">
        <v>3</v>
      </c>
      <c r="E233" s="40">
        <f>H233+K233+N233+Q233+T233+W233+Z233+AC233+AF233+AI233+AL233+AO233</f>
        <v>535.1</v>
      </c>
      <c r="F233" s="40">
        <f>I233+L233+O233+R233+U233+X233+AA233+AD233+AG233+AJ233+AM233+AP233</f>
        <v>535.1</v>
      </c>
      <c r="G233" s="26">
        <f>F233/E233*100</f>
        <v>100</v>
      </c>
      <c r="H233" s="40">
        <f>H234+H235+H236+H237</f>
        <v>0</v>
      </c>
      <c r="I233" s="40"/>
      <c r="J233" s="23"/>
      <c r="K233" s="40">
        <f t="shared" ref="K233:AP233" si="311">K235+K236</f>
        <v>75</v>
      </c>
      <c r="L233" s="40">
        <f t="shared" si="311"/>
        <v>75</v>
      </c>
      <c r="M233" s="26">
        <f t="shared" ref="M233:M236" si="312">L233/K233*100</f>
        <v>100</v>
      </c>
      <c r="N233" s="40">
        <f t="shared" si="311"/>
        <v>111</v>
      </c>
      <c r="O233" s="40">
        <f t="shared" si="311"/>
        <v>111</v>
      </c>
      <c r="P233" s="26">
        <f t="shared" ref="P233:P236" si="313">O233/N233*100</f>
        <v>100</v>
      </c>
      <c r="Q233" s="40">
        <f t="shared" si="311"/>
        <v>0</v>
      </c>
      <c r="R233" s="40">
        <f t="shared" si="311"/>
        <v>0</v>
      </c>
      <c r="S233" s="23"/>
      <c r="T233" s="40">
        <f t="shared" si="311"/>
        <v>0</v>
      </c>
      <c r="U233" s="40">
        <f t="shared" si="311"/>
        <v>0</v>
      </c>
      <c r="V233" s="26"/>
      <c r="W233" s="40">
        <f t="shared" si="311"/>
        <v>0</v>
      </c>
      <c r="X233" s="40">
        <f t="shared" si="311"/>
        <v>0</v>
      </c>
      <c r="Y233" s="26"/>
      <c r="Z233" s="40">
        <f t="shared" si="311"/>
        <v>0</v>
      </c>
      <c r="AA233" s="40">
        <f t="shared" si="311"/>
        <v>0</v>
      </c>
      <c r="AB233" s="26"/>
      <c r="AC233" s="40">
        <f t="shared" si="311"/>
        <v>0</v>
      </c>
      <c r="AD233" s="40">
        <f t="shared" si="311"/>
        <v>0</v>
      </c>
      <c r="AE233" s="23"/>
      <c r="AF233" s="40">
        <f>AF235+AF236</f>
        <v>149.6</v>
      </c>
      <c r="AG233" s="40">
        <f>AG235+AG236</f>
        <v>149.6</v>
      </c>
      <c r="AH233" s="26">
        <f>AG233/AF233*100</f>
        <v>100</v>
      </c>
      <c r="AI233" s="40">
        <f t="shared" si="311"/>
        <v>41.8</v>
      </c>
      <c r="AJ233" s="40">
        <f t="shared" si="311"/>
        <v>0</v>
      </c>
      <c r="AK233" s="26">
        <f>AJ233/AI233*100</f>
        <v>0</v>
      </c>
      <c r="AL233" s="40">
        <f t="shared" si="311"/>
        <v>151.69999999999999</v>
      </c>
      <c r="AM233" s="40">
        <f t="shared" si="311"/>
        <v>81.5</v>
      </c>
      <c r="AN233" s="26">
        <f>AM233/AL233*100</f>
        <v>53.724456163480561</v>
      </c>
      <c r="AO233" s="40">
        <f t="shared" si="311"/>
        <v>6</v>
      </c>
      <c r="AP233" s="40">
        <f t="shared" si="311"/>
        <v>118</v>
      </c>
      <c r="AQ233" s="26">
        <f>AP233/AO233*100</f>
        <v>1966.6666666666667</v>
      </c>
      <c r="AR233" s="36"/>
      <c r="AS233" s="36"/>
      <c r="AT233" s="80">
        <f t="shared" si="275"/>
        <v>1</v>
      </c>
      <c r="AU233" s="85">
        <f t="shared" si="301"/>
        <v>186</v>
      </c>
      <c r="AV233" s="85">
        <f t="shared" si="302"/>
        <v>0</v>
      </c>
      <c r="AW233" s="85">
        <f>Z233+AC233+AF233</f>
        <v>149.6</v>
      </c>
      <c r="AX233" s="85">
        <f t="shared" si="304"/>
        <v>199.5</v>
      </c>
    </row>
    <row r="234" spans="1:50" ht="15.6" x14ac:dyDescent="0.3">
      <c r="A234" s="163"/>
      <c r="B234" s="164"/>
      <c r="C234" s="165"/>
      <c r="D234" s="39" t="s">
        <v>22</v>
      </c>
      <c r="E234" s="40">
        <f t="shared" si="292"/>
        <v>0</v>
      </c>
      <c r="F234" s="40">
        <f t="shared" si="292"/>
        <v>0</v>
      </c>
      <c r="G234" s="26"/>
      <c r="H234" s="24">
        <f>H218+H223+H228</f>
        <v>0</v>
      </c>
      <c r="I234" s="24"/>
      <c r="J234" s="23"/>
      <c r="K234" s="24">
        <f t="shared" ref="K234:AP237" si="314">K218+K223+K228</f>
        <v>0</v>
      </c>
      <c r="L234" s="24">
        <f>L218+L223+L228</f>
        <v>0</v>
      </c>
      <c r="M234" s="26"/>
      <c r="N234" s="24">
        <f t="shared" si="314"/>
        <v>0</v>
      </c>
      <c r="O234" s="24">
        <f t="shared" si="314"/>
        <v>0</v>
      </c>
      <c r="P234" s="26"/>
      <c r="Q234" s="24">
        <f t="shared" si="314"/>
        <v>0</v>
      </c>
      <c r="R234" s="24">
        <f t="shared" si="314"/>
        <v>0</v>
      </c>
      <c r="S234" s="23"/>
      <c r="T234" s="24">
        <f t="shared" si="314"/>
        <v>0</v>
      </c>
      <c r="U234" s="24">
        <f t="shared" si="314"/>
        <v>0</v>
      </c>
      <c r="V234" s="26"/>
      <c r="W234" s="24">
        <f t="shared" si="314"/>
        <v>0</v>
      </c>
      <c r="X234" s="24">
        <f t="shared" si="314"/>
        <v>0</v>
      </c>
      <c r="Y234" s="26"/>
      <c r="Z234" s="40">
        <f t="shared" si="314"/>
        <v>0</v>
      </c>
      <c r="AA234" s="40">
        <f t="shared" si="314"/>
        <v>0</v>
      </c>
      <c r="AB234" s="26"/>
      <c r="AC234" s="24">
        <f t="shared" si="314"/>
        <v>0</v>
      </c>
      <c r="AD234" s="24">
        <f t="shared" si="314"/>
        <v>0</v>
      </c>
      <c r="AE234" s="23"/>
      <c r="AF234" s="24">
        <f t="shared" si="314"/>
        <v>0</v>
      </c>
      <c r="AG234" s="24">
        <f t="shared" si="314"/>
        <v>0</v>
      </c>
      <c r="AH234" s="26"/>
      <c r="AI234" s="40">
        <f t="shared" si="314"/>
        <v>0</v>
      </c>
      <c r="AJ234" s="40">
        <f t="shared" si="314"/>
        <v>0</v>
      </c>
      <c r="AK234" s="26"/>
      <c r="AL234" s="40">
        <f t="shared" si="314"/>
        <v>0</v>
      </c>
      <c r="AM234" s="40">
        <f t="shared" si="314"/>
        <v>0</v>
      </c>
      <c r="AN234" s="26"/>
      <c r="AO234" s="40">
        <f t="shared" si="314"/>
        <v>0</v>
      </c>
      <c r="AP234" s="40">
        <f t="shared" si="314"/>
        <v>0</v>
      </c>
      <c r="AQ234" s="26"/>
      <c r="AR234" s="36"/>
      <c r="AS234" s="36"/>
      <c r="AT234" s="80"/>
      <c r="AU234" s="85">
        <f t="shared" si="301"/>
        <v>0</v>
      </c>
      <c r="AV234" s="85">
        <f t="shared" si="302"/>
        <v>0</v>
      </c>
      <c r="AW234" s="85">
        <f t="shared" si="303"/>
        <v>0</v>
      </c>
      <c r="AX234" s="85">
        <f t="shared" si="304"/>
        <v>0</v>
      </c>
    </row>
    <row r="235" spans="1:50" ht="16.5" customHeight="1" x14ac:dyDescent="0.3">
      <c r="A235" s="163"/>
      <c r="B235" s="164"/>
      <c r="C235" s="165"/>
      <c r="D235" s="39" t="s">
        <v>4</v>
      </c>
      <c r="E235" s="40">
        <f t="shared" si="292"/>
        <v>0</v>
      </c>
      <c r="F235" s="40">
        <f t="shared" si="292"/>
        <v>0</v>
      </c>
      <c r="G235" s="26"/>
      <c r="H235" s="24">
        <f>H219+H224+H229</f>
        <v>0</v>
      </c>
      <c r="I235" s="24"/>
      <c r="J235" s="23"/>
      <c r="K235" s="24">
        <f t="shared" si="314"/>
        <v>0</v>
      </c>
      <c r="L235" s="24">
        <f t="shared" si="314"/>
        <v>0</v>
      </c>
      <c r="M235" s="26"/>
      <c r="N235" s="24">
        <f t="shared" si="314"/>
        <v>0</v>
      </c>
      <c r="O235" s="24">
        <f t="shared" si="314"/>
        <v>0</v>
      </c>
      <c r="P235" s="26"/>
      <c r="Q235" s="24">
        <f t="shared" si="314"/>
        <v>0</v>
      </c>
      <c r="R235" s="24">
        <f t="shared" si="314"/>
        <v>0</v>
      </c>
      <c r="S235" s="23"/>
      <c r="T235" s="24">
        <f t="shared" si="314"/>
        <v>0</v>
      </c>
      <c r="U235" s="24">
        <f t="shared" si="314"/>
        <v>0</v>
      </c>
      <c r="V235" s="26"/>
      <c r="W235" s="24">
        <f t="shared" si="314"/>
        <v>0</v>
      </c>
      <c r="X235" s="24">
        <f t="shared" si="314"/>
        <v>0</v>
      </c>
      <c r="Y235" s="26"/>
      <c r="Z235" s="40">
        <f t="shared" si="314"/>
        <v>0</v>
      </c>
      <c r="AA235" s="40">
        <f t="shared" si="314"/>
        <v>0</v>
      </c>
      <c r="AB235" s="26"/>
      <c r="AC235" s="24">
        <f t="shared" si="314"/>
        <v>0</v>
      </c>
      <c r="AD235" s="24">
        <f t="shared" si="314"/>
        <v>0</v>
      </c>
      <c r="AE235" s="23"/>
      <c r="AF235" s="24">
        <f t="shared" si="314"/>
        <v>0</v>
      </c>
      <c r="AG235" s="24">
        <f t="shared" si="314"/>
        <v>0</v>
      </c>
      <c r="AH235" s="26"/>
      <c r="AI235" s="40">
        <f t="shared" si="314"/>
        <v>0</v>
      </c>
      <c r="AJ235" s="40">
        <f t="shared" si="314"/>
        <v>0</v>
      </c>
      <c r="AK235" s="26"/>
      <c r="AL235" s="40">
        <f t="shared" si="314"/>
        <v>0</v>
      </c>
      <c r="AM235" s="40">
        <f t="shared" si="314"/>
        <v>0</v>
      </c>
      <c r="AN235" s="26"/>
      <c r="AO235" s="40">
        <f t="shared" si="314"/>
        <v>0</v>
      </c>
      <c r="AP235" s="40">
        <f t="shared" si="314"/>
        <v>0</v>
      </c>
      <c r="AQ235" s="26"/>
      <c r="AR235" s="36"/>
      <c r="AS235" s="36"/>
      <c r="AT235" s="80"/>
      <c r="AU235" s="85">
        <f t="shared" si="301"/>
        <v>0</v>
      </c>
      <c r="AV235" s="85">
        <f t="shared" si="302"/>
        <v>0</v>
      </c>
      <c r="AW235" s="85">
        <f t="shared" si="303"/>
        <v>0</v>
      </c>
      <c r="AX235" s="85">
        <f t="shared" si="304"/>
        <v>0</v>
      </c>
    </row>
    <row r="236" spans="1:50" ht="16.5" customHeight="1" x14ac:dyDescent="0.3">
      <c r="A236" s="163"/>
      <c r="B236" s="164"/>
      <c r="C236" s="165"/>
      <c r="D236" s="39" t="s">
        <v>44</v>
      </c>
      <c r="E236" s="40">
        <f t="shared" si="292"/>
        <v>535.1</v>
      </c>
      <c r="F236" s="40">
        <f t="shared" si="292"/>
        <v>535.1</v>
      </c>
      <c r="G236" s="26">
        <f t="shared" ref="G236" si="315">F236/E236*100</f>
        <v>100</v>
      </c>
      <c r="H236" s="24">
        <f>H220+H225+H230</f>
        <v>0</v>
      </c>
      <c r="I236" s="24"/>
      <c r="J236" s="23"/>
      <c r="K236" s="24">
        <f t="shared" si="314"/>
        <v>75</v>
      </c>
      <c r="L236" s="24">
        <f t="shared" si="314"/>
        <v>75</v>
      </c>
      <c r="M236" s="26">
        <f t="shared" si="312"/>
        <v>100</v>
      </c>
      <c r="N236" s="24">
        <f t="shared" si="314"/>
        <v>111</v>
      </c>
      <c r="O236" s="24">
        <f t="shared" si="314"/>
        <v>111</v>
      </c>
      <c r="P236" s="26">
        <f t="shared" si="313"/>
        <v>100</v>
      </c>
      <c r="Q236" s="24">
        <f t="shared" si="314"/>
        <v>0</v>
      </c>
      <c r="R236" s="24">
        <f t="shared" si="314"/>
        <v>0</v>
      </c>
      <c r="S236" s="23"/>
      <c r="T236" s="24">
        <f t="shared" si="314"/>
        <v>0</v>
      </c>
      <c r="U236" s="24">
        <f t="shared" si="314"/>
        <v>0</v>
      </c>
      <c r="V236" s="26"/>
      <c r="W236" s="24">
        <f t="shared" si="314"/>
        <v>0</v>
      </c>
      <c r="X236" s="24">
        <f t="shared" si="314"/>
        <v>0</v>
      </c>
      <c r="Y236" s="26"/>
      <c r="Z236" s="40">
        <f t="shared" si="314"/>
        <v>0</v>
      </c>
      <c r="AA236" s="40">
        <f t="shared" si="314"/>
        <v>0</v>
      </c>
      <c r="AB236" s="26"/>
      <c r="AC236" s="24">
        <f t="shared" si="314"/>
        <v>0</v>
      </c>
      <c r="AD236" s="24">
        <f t="shared" si="314"/>
        <v>0</v>
      </c>
      <c r="AE236" s="23"/>
      <c r="AF236" s="24">
        <f t="shared" si="314"/>
        <v>149.6</v>
      </c>
      <c r="AG236" s="24">
        <f t="shared" si="314"/>
        <v>149.6</v>
      </c>
      <c r="AH236" s="26">
        <f t="shared" ref="AH236" si="316">AG236/AF236*100</f>
        <v>100</v>
      </c>
      <c r="AI236" s="40">
        <f t="shared" si="314"/>
        <v>41.8</v>
      </c>
      <c r="AJ236" s="40">
        <f t="shared" si="314"/>
        <v>0</v>
      </c>
      <c r="AK236" s="26">
        <f t="shared" ref="AK236" si="317">AJ236/AI236*100</f>
        <v>0</v>
      </c>
      <c r="AL236" s="40">
        <f t="shared" si="314"/>
        <v>151.69999999999999</v>
      </c>
      <c r="AM236" s="40">
        <f t="shared" si="314"/>
        <v>81.5</v>
      </c>
      <c r="AN236" s="26">
        <f t="shared" ref="AN236" si="318">AM236/AL236*100</f>
        <v>53.724456163480561</v>
      </c>
      <c r="AO236" s="40">
        <f t="shared" si="314"/>
        <v>6</v>
      </c>
      <c r="AP236" s="40">
        <f t="shared" si="314"/>
        <v>118</v>
      </c>
      <c r="AQ236" s="26">
        <f t="shared" ref="AQ236" si="319">AP236/AO236*100</f>
        <v>1966.6666666666667</v>
      </c>
      <c r="AR236" s="36"/>
      <c r="AS236" s="36"/>
      <c r="AT236" s="80">
        <f t="shared" si="275"/>
        <v>1</v>
      </c>
      <c r="AU236" s="85">
        <f t="shared" si="301"/>
        <v>186</v>
      </c>
      <c r="AV236" s="85">
        <f t="shared" si="302"/>
        <v>0</v>
      </c>
      <c r="AW236" s="85">
        <f t="shared" si="303"/>
        <v>149.6</v>
      </c>
      <c r="AX236" s="85">
        <f t="shared" si="304"/>
        <v>199.5</v>
      </c>
    </row>
    <row r="237" spans="1:50" ht="14.25" customHeight="1" x14ac:dyDescent="0.3">
      <c r="A237" s="163"/>
      <c r="B237" s="164"/>
      <c r="C237" s="165"/>
      <c r="D237" s="39" t="s">
        <v>23</v>
      </c>
      <c r="E237" s="47">
        <f t="shared" si="292"/>
        <v>0</v>
      </c>
      <c r="F237" s="47">
        <f t="shared" si="292"/>
        <v>0</v>
      </c>
      <c r="G237" s="25"/>
      <c r="H237" s="41">
        <f>H221+H226+H231</f>
        <v>0</v>
      </c>
      <c r="I237" s="41"/>
      <c r="J237" s="59"/>
      <c r="K237" s="41">
        <f t="shared" si="314"/>
        <v>0</v>
      </c>
      <c r="L237" s="41">
        <f t="shared" si="314"/>
        <v>0</v>
      </c>
      <c r="M237" s="26"/>
      <c r="N237" s="41">
        <f t="shared" si="314"/>
        <v>0</v>
      </c>
      <c r="O237" s="41">
        <f t="shared" si="314"/>
        <v>0</v>
      </c>
      <c r="P237" s="59"/>
      <c r="Q237" s="41">
        <f t="shared" si="314"/>
        <v>0</v>
      </c>
      <c r="R237" s="41">
        <f t="shared" si="314"/>
        <v>0</v>
      </c>
      <c r="S237" s="59"/>
      <c r="T237" s="41">
        <f t="shared" si="314"/>
        <v>0</v>
      </c>
      <c r="U237" s="41">
        <f t="shared" si="314"/>
        <v>0</v>
      </c>
      <c r="V237" s="25"/>
      <c r="W237" s="41">
        <f t="shared" si="314"/>
        <v>0</v>
      </c>
      <c r="X237" s="41">
        <f t="shared" si="314"/>
        <v>0</v>
      </c>
      <c r="Y237" s="25"/>
      <c r="Z237" s="47">
        <f t="shared" si="314"/>
        <v>0</v>
      </c>
      <c r="AA237" s="47">
        <f t="shared" si="314"/>
        <v>0</v>
      </c>
      <c r="AB237" s="59"/>
      <c r="AC237" s="41">
        <f t="shared" si="314"/>
        <v>0</v>
      </c>
      <c r="AD237" s="41">
        <f t="shared" si="314"/>
        <v>0</v>
      </c>
      <c r="AE237" s="59"/>
      <c r="AF237" s="41">
        <f t="shared" si="314"/>
        <v>0</v>
      </c>
      <c r="AG237" s="41">
        <f t="shared" si="314"/>
        <v>0</v>
      </c>
      <c r="AH237" s="59"/>
      <c r="AI237" s="41">
        <f t="shared" si="314"/>
        <v>0</v>
      </c>
      <c r="AJ237" s="41"/>
      <c r="AK237" s="59"/>
      <c r="AL237" s="41">
        <f t="shared" si="314"/>
        <v>0</v>
      </c>
      <c r="AM237" s="41">
        <f t="shared" si="314"/>
        <v>0</v>
      </c>
      <c r="AN237" s="59"/>
      <c r="AO237" s="41">
        <f t="shared" si="314"/>
        <v>0</v>
      </c>
      <c r="AP237" s="41"/>
      <c r="AQ237" s="59"/>
      <c r="AR237" s="36"/>
      <c r="AS237" s="36"/>
      <c r="AT237" s="80"/>
      <c r="AU237" s="85">
        <f t="shared" si="301"/>
        <v>0</v>
      </c>
      <c r="AV237" s="85">
        <f t="shared" si="302"/>
        <v>0</v>
      </c>
      <c r="AW237" s="85">
        <f t="shared" si="303"/>
        <v>0</v>
      </c>
      <c r="AX237" s="85">
        <f t="shared" si="304"/>
        <v>0</v>
      </c>
    </row>
    <row r="238" spans="1:50" ht="12" customHeight="1" x14ac:dyDescent="0.3">
      <c r="A238" s="166"/>
      <c r="B238" s="167"/>
      <c r="C238" s="168"/>
      <c r="D238" s="39" t="s">
        <v>131</v>
      </c>
      <c r="E238" s="47"/>
      <c r="F238" s="47"/>
      <c r="G238" s="25"/>
      <c r="H238" s="41"/>
      <c r="I238" s="41"/>
      <c r="J238" s="59"/>
      <c r="K238" s="41"/>
      <c r="L238" s="41"/>
      <c r="M238" s="26"/>
      <c r="N238" s="41"/>
      <c r="O238" s="41">
        <f>O232</f>
        <v>40</v>
      </c>
      <c r="P238" s="59"/>
      <c r="Q238" s="41"/>
      <c r="R238" s="41"/>
      <c r="S238" s="59"/>
      <c r="T238" s="41"/>
      <c r="U238" s="41"/>
      <c r="V238" s="25"/>
      <c r="W238" s="41"/>
      <c r="X238" s="41"/>
      <c r="Y238" s="25"/>
      <c r="Z238" s="47"/>
      <c r="AA238" s="47"/>
      <c r="AB238" s="59"/>
      <c r="AC238" s="41"/>
      <c r="AD238" s="41"/>
      <c r="AE238" s="59"/>
      <c r="AF238" s="41"/>
      <c r="AG238" s="41"/>
      <c r="AH238" s="59"/>
      <c r="AI238" s="41"/>
      <c r="AJ238" s="41"/>
      <c r="AK238" s="59"/>
      <c r="AL238" s="41"/>
      <c r="AM238" s="41"/>
      <c r="AN238" s="59"/>
      <c r="AO238" s="41"/>
      <c r="AP238" s="41"/>
      <c r="AQ238" s="59"/>
      <c r="AR238" s="36"/>
      <c r="AS238" s="36"/>
      <c r="AT238" s="80"/>
      <c r="AU238" s="85"/>
      <c r="AV238" s="85"/>
      <c r="AW238" s="85"/>
      <c r="AX238" s="85"/>
    </row>
    <row r="239" spans="1:50" ht="13.2" customHeight="1" x14ac:dyDescent="0.3">
      <c r="A239" s="48" t="s">
        <v>79</v>
      </c>
      <c r="B239" s="37" t="s">
        <v>18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36"/>
      <c r="AS239" s="36"/>
      <c r="AT239" s="80"/>
      <c r="AU239" s="84">
        <f t="shared" si="301"/>
        <v>0</v>
      </c>
      <c r="AV239" s="84">
        <f t="shared" si="302"/>
        <v>0</v>
      </c>
      <c r="AW239" s="84">
        <f t="shared" si="303"/>
        <v>0</v>
      </c>
      <c r="AX239" s="84">
        <f t="shared" si="304"/>
        <v>0</v>
      </c>
    </row>
    <row r="240" spans="1:50" ht="15" customHeight="1" x14ac:dyDescent="0.3">
      <c r="A240" s="133" t="s">
        <v>80</v>
      </c>
      <c r="B240" s="127" t="s">
        <v>113</v>
      </c>
      <c r="C240" s="127" t="s">
        <v>127</v>
      </c>
      <c r="D240" s="38" t="s">
        <v>3</v>
      </c>
      <c r="E240" s="24">
        <f t="shared" ref="E240:F259" si="320">H240+K240+N240+Q240+T240+W240+Z240+AC240+AF240+AI240+AL240+AO240</f>
        <v>3997.6999999999994</v>
      </c>
      <c r="F240" s="24">
        <f t="shared" si="320"/>
        <v>3996.2</v>
      </c>
      <c r="G240" s="25">
        <f>F240/E240*100</f>
        <v>99.962478425094432</v>
      </c>
      <c r="H240" s="24">
        <f>H241+H242+H243+H244</f>
        <v>0</v>
      </c>
      <c r="I240" s="24"/>
      <c r="J240" s="22"/>
      <c r="K240" s="24">
        <f t="shared" ref="K240:AP240" si="321">K241+K242+K243+K244</f>
        <v>0</v>
      </c>
      <c r="L240" s="24">
        <f t="shared" si="321"/>
        <v>346</v>
      </c>
      <c r="M240" s="25"/>
      <c r="N240" s="24">
        <f t="shared" si="321"/>
        <v>0</v>
      </c>
      <c r="O240" s="24">
        <f t="shared" si="321"/>
        <v>-330</v>
      </c>
      <c r="P240" s="25"/>
      <c r="Q240" s="24">
        <f t="shared" si="321"/>
        <v>0</v>
      </c>
      <c r="R240" s="24"/>
      <c r="S240" s="22"/>
      <c r="T240" s="24">
        <f t="shared" si="321"/>
        <v>1237.6999999999996</v>
      </c>
      <c r="U240" s="24">
        <f t="shared" si="321"/>
        <v>0</v>
      </c>
      <c r="V240" s="25">
        <f>U240/T240*100</f>
        <v>0</v>
      </c>
      <c r="W240" s="24">
        <f t="shared" si="321"/>
        <v>0</v>
      </c>
      <c r="X240" s="24">
        <f t="shared" si="321"/>
        <v>-16</v>
      </c>
      <c r="Y240" s="25"/>
      <c r="Z240" s="24">
        <f t="shared" si="321"/>
        <v>197.59999999999974</v>
      </c>
      <c r="AA240" s="24">
        <f t="shared" si="321"/>
        <v>0</v>
      </c>
      <c r="AB240" s="25">
        <f>AA240/Z240*100</f>
        <v>0</v>
      </c>
      <c r="AC240" s="24">
        <f t="shared" si="321"/>
        <v>1440.6000000000001</v>
      </c>
      <c r="AD240" s="24">
        <f t="shared" si="321"/>
        <v>2875.8999999999996</v>
      </c>
      <c r="AE240" s="25">
        <f>AD240/AC240*100</f>
        <v>199.63209773705398</v>
      </c>
      <c r="AF240" s="24">
        <f t="shared" si="321"/>
        <v>0</v>
      </c>
      <c r="AG240" s="24">
        <f t="shared" si="321"/>
        <v>0</v>
      </c>
      <c r="AH240" s="25"/>
      <c r="AI240" s="24">
        <f t="shared" si="321"/>
        <v>0</v>
      </c>
      <c r="AJ240" s="24">
        <f t="shared" si="321"/>
        <v>0</v>
      </c>
      <c r="AK240" s="22"/>
      <c r="AL240" s="24">
        <f t="shared" si="321"/>
        <v>1121.7999999999997</v>
      </c>
      <c r="AM240" s="24">
        <f t="shared" si="321"/>
        <v>1013.9</v>
      </c>
      <c r="AN240" s="25">
        <f>AM240/AL240*100</f>
        <v>90.381529684435748</v>
      </c>
      <c r="AO240" s="24">
        <f t="shared" si="321"/>
        <v>0</v>
      </c>
      <c r="AP240" s="24">
        <f t="shared" si="321"/>
        <v>106.4</v>
      </c>
      <c r="AQ240" s="25"/>
      <c r="AR240" s="36"/>
      <c r="AS240" s="36"/>
      <c r="AT240" s="80">
        <f t="shared" si="275"/>
        <v>0.99962478425094436</v>
      </c>
      <c r="AU240" s="84">
        <f t="shared" si="301"/>
        <v>0</v>
      </c>
      <c r="AV240" s="84">
        <f t="shared" si="302"/>
        <v>1237.6999999999996</v>
      </c>
      <c r="AW240" s="84">
        <f t="shared" si="303"/>
        <v>1638.1999999999998</v>
      </c>
      <c r="AX240" s="84">
        <f t="shared" si="304"/>
        <v>1121.7999999999997</v>
      </c>
    </row>
    <row r="241" spans="1:50" ht="13.5" customHeight="1" x14ac:dyDescent="0.3">
      <c r="A241" s="133"/>
      <c r="B241" s="127"/>
      <c r="C241" s="127"/>
      <c r="D241" s="38" t="s">
        <v>22</v>
      </c>
      <c r="E241" s="24">
        <f t="shared" si="320"/>
        <v>0</v>
      </c>
      <c r="F241" s="24">
        <f t="shared" si="320"/>
        <v>0</v>
      </c>
      <c r="G241" s="25"/>
      <c r="H241" s="24"/>
      <c r="I241" s="24"/>
      <c r="J241" s="22"/>
      <c r="K241" s="24"/>
      <c r="L241" s="24"/>
      <c r="M241" s="22"/>
      <c r="N241" s="24"/>
      <c r="O241" s="24"/>
      <c r="P241" s="22"/>
      <c r="Q241" s="24"/>
      <c r="R241" s="24"/>
      <c r="S241" s="22"/>
      <c r="T241" s="24"/>
      <c r="U241" s="24"/>
      <c r="V241" s="25"/>
      <c r="W241" s="24"/>
      <c r="X241" s="24"/>
      <c r="Y241" s="25"/>
      <c r="Z241" s="24"/>
      <c r="AA241" s="24"/>
      <c r="AB241" s="25"/>
      <c r="AC241" s="24"/>
      <c r="AD241" s="24"/>
      <c r="AE241" s="25"/>
      <c r="AF241" s="24"/>
      <c r="AG241" s="24"/>
      <c r="AH241" s="25"/>
      <c r="AI241" s="24"/>
      <c r="AJ241" s="24"/>
      <c r="AK241" s="22"/>
      <c r="AL241" s="24"/>
      <c r="AM241" s="24"/>
      <c r="AN241" s="25"/>
      <c r="AO241" s="24"/>
      <c r="AP241" s="24"/>
      <c r="AQ241" s="25"/>
      <c r="AR241" s="36"/>
      <c r="AS241" s="36"/>
      <c r="AT241" s="80"/>
      <c r="AU241" s="84">
        <f t="shared" si="301"/>
        <v>0</v>
      </c>
      <c r="AV241" s="84">
        <f t="shared" si="302"/>
        <v>0</v>
      </c>
      <c r="AW241" s="84">
        <f t="shared" si="303"/>
        <v>0</v>
      </c>
      <c r="AX241" s="84">
        <f t="shared" si="304"/>
        <v>0</v>
      </c>
    </row>
    <row r="242" spans="1:50" ht="36.75" customHeight="1" x14ac:dyDescent="0.3">
      <c r="A242" s="133"/>
      <c r="B242" s="127"/>
      <c r="C242" s="127"/>
      <c r="D242" s="38" t="s">
        <v>4</v>
      </c>
      <c r="E242" s="24">
        <f t="shared" si="320"/>
        <v>1676.0999999999995</v>
      </c>
      <c r="F242" s="24">
        <f t="shared" si="320"/>
        <v>1676</v>
      </c>
      <c r="G242" s="25">
        <f t="shared" ref="G242:G243" si="322">F242/E242*100</f>
        <v>99.994033768868235</v>
      </c>
      <c r="H242" s="24"/>
      <c r="I242" s="24"/>
      <c r="J242" s="22"/>
      <c r="K242" s="24">
        <f>635-635</f>
        <v>0</v>
      </c>
      <c r="L242" s="24"/>
      <c r="M242" s="25"/>
      <c r="N242" s="24">
        <f>169.9-169.9</f>
        <v>0</v>
      </c>
      <c r="O242" s="24">
        <v>0</v>
      </c>
      <c r="P242" s="25"/>
      <c r="Q242" s="24"/>
      <c r="R242" s="24"/>
      <c r="S242" s="22"/>
      <c r="T242" s="24">
        <f>1954-120.7-357.7-531.2-454.8</f>
        <v>489.59999999999985</v>
      </c>
      <c r="U242" s="24"/>
      <c r="V242" s="25"/>
      <c r="W242" s="24"/>
      <c r="X242" s="24"/>
      <c r="Y242" s="25"/>
      <c r="Z242" s="24">
        <f>3900.2+120.7-3909.6+86.3</f>
        <v>197.59999999999974</v>
      </c>
      <c r="AA242" s="24">
        <v>0</v>
      </c>
      <c r="AB242" s="25">
        <f t="shared" ref="AB242" si="323">AA242/Z242*100</f>
        <v>0</v>
      </c>
      <c r="AC242" s="24">
        <f>531.2-86.3</f>
        <v>444.90000000000003</v>
      </c>
      <c r="AD242" s="24">
        <v>1132.0999999999999</v>
      </c>
      <c r="AE242" s="25">
        <f t="shared" ref="AE242:AE243" si="324">AD242/AC242*100</f>
        <v>254.46167678129913</v>
      </c>
      <c r="AF242" s="24"/>
      <c r="AG242" s="24"/>
      <c r="AH242" s="25"/>
      <c r="AI242" s="24"/>
      <c r="AJ242" s="24"/>
      <c r="AK242" s="22"/>
      <c r="AL242" s="24">
        <f>545.5+116.3+635-634.7-171.7+53.6</f>
        <v>543.99999999999989</v>
      </c>
      <c r="AM242" s="24">
        <v>543.9</v>
      </c>
      <c r="AN242" s="25">
        <f t="shared" ref="AN242:AN243" si="325">AM242/AL242*100</f>
        <v>99.98161764705884</v>
      </c>
      <c r="AO242" s="24"/>
      <c r="AP242" s="24"/>
      <c r="AQ242" s="25"/>
      <c r="AR242" s="124" t="s">
        <v>190</v>
      </c>
      <c r="AS242" s="124"/>
      <c r="AT242" s="80">
        <f t="shared" si="275"/>
        <v>0.9999403376886824</v>
      </c>
      <c r="AU242" s="86">
        <f t="shared" si="301"/>
        <v>0</v>
      </c>
      <c r="AV242" s="84">
        <f t="shared" si="302"/>
        <v>489.59999999999985</v>
      </c>
      <c r="AW242" s="84">
        <f t="shared" si="303"/>
        <v>642.49999999999977</v>
      </c>
      <c r="AX242" s="84">
        <f t="shared" si="304"/>
        <v>543.99999999999989</v>
      </c>
    </row>
    <row r="243" spans="1:50" ht="23.4" customHeight="1" x14ac:dyDescent="0.3">
      <c r="A243" s="133"/>
      <c r="B243" s="127"/>
      <c r="C243" s="127"/>
      <c r="D243" s="38" t="s">
        <v>44</v>
      </c>
      <c r="E243" s="24">
        <f t="shared" si="320"/>
        <v>2321.5999999999995</v>
      </c>
      <c r="F243" s="24">
        <f t="shared" si="320"/>
        <v>2320.2000000000003</v>
      </c>
      <c r="G243" s="25">
        <f t="shared" si="322"/>
        <v>99.93969676085463</v>
      </c>
      <c r="H243" s="24"/>
      <c r="I243" s="24"/>
      <c r="J243" s="22"/>
      <c r="K243" s="24"/>
      <c r="L243" s="24">
        <v>346</v>
      </c>
      <c r="M243" s="25"/>
      <c r="N243" s="24"/>
      <c r="O243" s="24">
        <v>-330</v>
      </c>
      <c r="P243" s="25"/>
      <c r="Q243" s="24"/>
      <c r="R243" s="24"/>
      <c r="S243" s="22"/>
      <c r="T243" s="24">
        <f>4099.9-197.7-2153.9-1000.2</f>
        <v>748.09999999999968</v>
      </c>
      <c r="U243" s="24"/>
      <c r="V243" s="25">
        <f t="shared" ref="V243" si="326">U243/T243*100</f>
        <v>0</v>
      </c>
      <c r="W243" s="24"/>
      <c r="X243" s="24">
        <v>-16</v>
      </c>
      <c r="Y243" s="25"/>
      <c r="Z243" s="24">
        <f>963.6+197.6-1161.2</f>
        <v>0</v>
      </c>
      <c r="AA243" s="24">
        <v>0</v>
      </c>
      <c r="AB243" s="25"/>
      <c r="AC243" s="24">
        <f>1414.1-348.1-70.3</f>
        <v>995.7</v>
      </c>
      <c r="AD243" s="24">
        <v>1743.8</v>
      </c>
      <c r="AE243" s="25">
        <f t="shared" si="324"/>
        <v>175.13307221050516</v>
      </c>
      <c r="AF243" s="24"/>
      <c r="AG243" s="24"/>
      <c r="AH243" s="25"/>
      <c r="AI243" s="24"/>
      <c r="AJ243" s="24"/>
      <c r="AK243" s="22"/>
      <c r="AL243" s="24">
        <f>819.6+139.3+835.1-1408.9+192.7</f>
        <v>577.79999999999995</v>
      </c>
      <c r="AM243" s="24">
        <f>470</f>
        <v>470</v>
      </c>
      <c r="AN243" s="25">
        <f t="shared" si="325"/>
        <v>81.343025268258913</v>
      </c>
      <c r="AO243" s="24">
        <f>103.5+106.5+0.6+1525.4-1212.8-1758.5+1428-192.7</f>
        <v>0</v>
      </c>
      <c r="AP243" s="24">
        <v>106.4</v>
      </c>
      <c r="AQ243" s="25"/>
      <c r="AR243" s="126"/>
      <c r="AS243" s="126"/>
      <c r="AT243" s="80">
        <f t="shared" si="275"/>
        <v>0.99939696760854624</v>
      </c>
      <c r="AU243" s="84">
        <f t="shared" si="301"/>
        <v>0</v>
      </c>
      <c r="AV243" s="84">
        <f t="shared" si="302"/>
        <v>748.09999999999968</v>
      </c>
      <c r="AW243" s="84">
        <f t="shared" si="303"/>
        <v>995.7</v>
      </c>
      <c r="AX243" s="84">
        <f t="shared" si="304"/>
        <v>577.79999999999995</v>
      </c>
    </row>
    <row r="244" spans="1:50" ht="20.25" customHeight="1" x14ac:dyDescent="0.3">
      <c r="A244" s="133"/>
      <c r="B244" s="127"/>
      <c r="C244" s="127"/>
      <c r="D244" s="38" t="s">
        <v>23</v>
      </c>
      <c r="E244" s="24">
        <f t="shared" si="320"/>
        <v>0</v>
      </c>
      <c r="F244" s="24">
        <f t="shared" si="320"/>
        <v>0</v>
      </c>
      <c r="G244" s="25"/>
      <c r="H244" s="24"/>
      <c r="I244" s="24"/>
      <c r="J244" s="25"/>
      <c r="K244" s="24"/>
      <c r="L244" s="24"/>
      <c r="M244" s="25"/>
      <c r="N244" s="24"/>
      <c r="O244" s="24"/>
      <c r="P244" s="25"/>
      <c r="Q244" s="24"/>
      <c r="R244" s="24"/>
      <c r="S244" s="25"/>
      <c r="T244" s="24"/>
      <c r="U244" s="24"/>
      <c r="V244" s="25"/>
      <c r="W244" s="24"/>
      <c r="X244" s="24"/>
      <c r="Y244" s="25"/>
      <c r="Z244" s="24"/>
      <c r="AA244" s="24"/>
      <c r="AB244" s="25"/>
      <c r="AC244" s="24"/>
      <c r="AD244" s="24"/>
      <c r="AE244" s="25"/>
      <c r="AF244" s="24"/>
      <c r="AG244" s="24"/>
      <c r="AH244" s="25"/>
      <c r="AI244" s="24"/>
      <c r="AJ244" s="24"/>
      <c r="AK244" s="25"/>
      <c r="AL244" s="24"/>
      <c r="AM244" s="24"/>
      <c r="AN244" s="25"/>
      <c r="AO244" s="24"/>
      <c r="AP244" s="24"/>
      <c r="AQ244" s="25"/>
      <c r="AR244" s="36"/>
      <c r="AS244" s="36"/>
      <c r="AT244" s="80"/>
      <c r="AU244" s="84">
        <f t="shared" si="301"/>
        <v>0</v>
      </c>
      <c r="AV244" s="84">
        <f t="shared" si="302"/>
        <v>0</v>
      </c>
      <c r="AW244" s="84">
        <f t="shared" si="303"/>
        <v>0</v>
      </c>
      <c r="AX244" s="84">
        <f t="shared" si="304"/>
        <v>0</v>
      </c>
    </row>
    <row r="245" spans="1:50" ht="15" customHeight="1" x14ac:dyDescent="0.3">
      <c r="A245" s="133" t="s">
        <v>81</v>
      </c>
      <c r="B245" s="127" t="s">
        <v>114</v>
      </c>
      <c r="C245" s="127" t="s">
        <v>6</v>
      </c>
      <c r="D245" s="38" t="s">
        <v>3</v>
      </c>
      <c r="E245" s="24">
        <f t="shared" si="320"/>
        <v>92.2</v>
      </c>
      <c r="F245" s="24">
        <f t="shared" si="320"/>
        <v>92.2000000000005</v>
      </c>
      <c r="G245" s="25">
        <f>F245/E245*100</f>
        <v>100.00000000000054</v>
      </c>
      <c r="H245" s="24">
        <f>H246+H247+H248+H249</f>
        <v>0</v>
      </c>
      <c r="I245" s="24"/>
      <c r="J245" s="22"/>
      <c r="K245" s="24">
        <f t="shared" ref="K245:AP245" si="327">K246+K247+K248+K249</f>
        <v>0</v>
      </c>
      <c r="L245" s="24"/>
      <c r="M245" s="22"/>
      <c r="N245" s="24">
        <f t="shared" si="327"/>
        <v>0</v>
      </c>
      <c r="O245" s="24"/>
      <c r="P245" s="22"/>
      <c r="Q245" s="24">
        <f t="shared" si="327"/>
        <v>0</v>
      </c>
      <c r="R245" s="24">
        <f t="shared" si="327"/>
        <v>0</v>
      </c>
      <c r="S245" s="25"/>
      <c r="T245" s="24">
        <f t="shared" si="327"/>
        <v>105</v>
      </c>
      <c r="U245" s="24">
        <f t="shared" si="327"/>
        <v>1248</v>
      </c>
      <c r="V245" s="25"/>
      <c r="W245" s="24">
        <f t="shared" si="327"/>
        <v>-12.8</v>
      </c>
      <c r="X245" s="24">
        <f t="shared" si="327"/>
        <v>530.00000000000045</v>
      </c>
      <c r="Y245" s="25"/>
      <c r="Z245" s="24">
        <f t="shared" si="327"/>
        <v>0</v>
      </c>
      <c r="AA245" s="24">
        <f t="shared" si="327"/>
        <v>-1685.8</v>
      </c>
      <c r="AB245" s="25"/>
      <c r="AC245" s="24">
        <f t="shared" si="327"/>
        <v>0</v>
      </c>
      <c r="AD245" s="24">
        <f t="shared" si="327"/>
        <v>0</v>
      </c>
      <c r="AE245" s="25"/>
      <c r="AF245" s="24">
        <f t="shared" si="327"/>
        <v>0</v>
      </c>
      <c r="AG245" s="24">
        <f t="shared" si="327"/>
        <v>0</v>
      </c>
      <c r="AH245" s="25"/>
      <c r="AI245" s="24">
        <f t="shared" si="327"/>
        <v>0</v>
      </c>
      <c r="AJ245" s="24">
        <f t="shared" si="327"/>
        <v>0</v>
      </c>
      <c r="AK245" s="22"/>
      <c r="AL245" s="24">
        <f t="shared" si="327"/>
        <v>0</v>
      </c>
      <c r="AM245" s="24">
        <f t="shared" si="327"/>
        <v>0</v>
      </c>
      <c r="AN245" s="25"/>
      <c r="AO245" s="24">
        <f t="shared" si="327"/>
        <v>0</v>
      </c>
      <c r="AP245" s="24">
        <f t="shared" si="327"/>
        <v>0</v>
      </c>
      <c r="AQ245" s="25"/>
      <c r="AR245" s="36"/>
      <c r="AS245" s="36"/>
      <c r="AT245" s="80">
        <f t="shared" si="275"/>
        <v>1.0000000000000053</v>
      </c>
      <c r="AU245" s="84">
        <f t="shared" si="301"/>
        <v>0</v>
      </c>
      <c r="AV245" s="84">
        <f t="shared" si="302"/>
        <v>92.2</v>
      </c>
      <c r="AW245" s="84">
        <f t="shared" si="303"/>
        <v>0</v>
      </c>
      <c r="AX245" s="84">
        <f t="shared" si="304"/>
        <v>0</v>
      </c>
    </row>
    <row r="246" spans="1:50" ht="15" customHeight="1" x14ac:dyDescent="0.3">
      <c r="A246" s="133"/>
      <c r="B246" s="127"/>
      <c r="C246" s="127"/>
      <c r="D246" s="38" t="s">
        <v>22</v>
      </c>
      <c r="E246" s="24">
        <f t="shared" si="320"/>
        <v>0</v>
      </c>
      <c r="F246" s="24">
        <f t="shared" si="320"/>
        <v>0</v>
      </c>
      <c r="G246" s="25"/>
      <c r="H246" s="24"/>
      <c r="I246" s="24"/>
      <c r="J246" s="22"/>
      <c r="K246" s="24"/>
      <c r="L246" s="24"/>
      <c r="M246" s="22"/>
      <c r="N246" s="24"/>
      <c r="O246" s="24"/>
      <c r="P246" s="22"/>
      <c r="Q246" s="24"/>
      <c r="R246" s="24"/>
      <c r="S246" s="25"/>
      <c r="T246" s="24"/>
      <c r="U246" s="24"/>
      <c r="V246" s="22"/>
      <c r="W246" s="24"/>
      <c r="X246" s="24"/>
      <c r="Y246" s="25"/>
      <c r="Z246" s="24"/>
      <c r="AA246" s="24"/>
      <c r="AB246" s="25"/>
      <c r="AC246" s="24"/>
      <c r="AD246" s="24"/>
      <c r="AE246" s="25"/>
      <c r="AF246" s="24"/>
      <c r="AG246" s="24"/>
      <c r="AH246" s="25"/>
      <c r="AI246" s="24"/>
      <c r="AJ246" s="24"/>
      <c r="AK246" s="22"/>
      <c r="AL246" s="24"/>
      <c r="AM246" s="24"/>
      <c r="AN246" s="25"/>
      <c r="AO246" s="24"/>
      <c r="AP246" s="24"/>
      <c r="AQ246" s="25"/>
      <c r="AR246" s="36"/>
      <c r="AS246" s="36"/>
      <c r="AT246" s="80"/>
      <c r="AU246" s="84">
        <f t="shared" si="301"/>
        <v>0</v>
      </c>
      <c r="AV246" s="84">
        <f t="shared" si="302"/>
        <v>0</v>
      </c>
      <c r="AW246" s="84">
        <f t="shared" si="303"/>
        <v>0</v>
      </c>
      <c r="AX246" s="84">
        <f t="shared" si="304"/>
        <v>0</v>
      </c>
    </row>
    <row r="247" spans="1:50" ht="28.5" customHeight="1" x14ac:dyDescent="0.3">
      <c r="A247" s="133"/>
      <c r="B247" s="127"/>
      <c r="C247" s="127"/>
      <c r="D247" s="38" t="s">
        <v>4</v>
      </c>
      <c r="E247" s="24">
        <f t="shared" si="320"/>
        <v>0</v>
      </c>
      <c r="F247" s="24">
        <f t="shared" si="320"/>
        <v>4.5474735088646412E-13</v>
      </c>
      <c r="G247" s="25"/>
      <c r="H247" s="24"/>
      <c r="I247" s="24"/>
      <c r="J247" s="22"/>
      <c r="K247" s="24"/>
      <c r="L247" s="24"/>
      <c r="M247" s="22"/>
      <c r="N247" s="24"/>
      <c r="O247" s="24"/>
      <c r="P247" s="22"/>
      <c r="Q247" s="24"/>
      <c r="R247" s="24"/>
      <c r="S247" s="25"/>
      <c r="T247" s="24">
        <f>1143-1143</f>
        <v>0</v>
      </c>
      <c r="U247" s="24">
        <v>1143</v>
      </c>
      <c r="V247" s="25"/>
      <c r="W247" s="24">
        <f>4201.1-3671.1-530</f>
        <v>0</v>
      </c>
      <c r="X247" s="24">
        <f>4201.1-3671.1</f>
        <v>530.00000000000045</v>
      </c>
      <c r="Y247" s="25"/>
      <c r="Z247" s="24">
        <f>1600+3671.1-5271.1</f>
        <v>0</v>
      </c>
      <c r="AA247" s="24">
        <v>-1673</v>
      </c>
      <c r="AB247" s="25"/>
      <c r="AC247" s="24">
        <f>1400-1400</f>
        <v>0</v>
      </c>
      <c r="AD247" s="24">
        <v>0</v>
      </c>
      <c r="AE247" s="25"/>
      <c r="AF247" s="24">
        <f>749.9-749.9</f>
        <v>0</v>
      </c>
      <c r="AG247" s="24"/>
      <c r="AH247" s="25"/>
      <c r="AI247" s="24">
        <v>0</v>
      </c>
      <c r="AJ247" s="24">
        <v>0</v>
      </c>
      <c r="AK247" s="22"/>
      <c r="AL247" s="24"/>
      <c r="AM247" s="24"/>
      <c r="AN247" s="25"/>
      <c r="AO247" s="24">
        <f>322.7-322.7</f>
        <v>0</v>
      </c>
      <c r="AP247" s="24"/>
      <c r="AQ247" s="25"/>
      <c r="AR247" s="91"/>
      <c r="AS247" s="124"/>
      <c r="AT247" s="80"/>
      <c r="AU247" s="84">
        <f t="shared" si="301"/>
        <v>0</v>
      </c>
      <c r="AV247" s="84">
        <f t="shared" si="302"/>
        <v>0</v>
      </c>
      <c r="AW247" s="84">
        <f t="shared" si="303"/>
        <v>0</v>
      </c>
      <c r="AX247" s="84">
        <f t="shared" si="304"/>
        <v>0</v>
      </c>
    </row>
    <row r="248" spans="1:50" ht="51" customHeight="1" x14ac:dyDescent="0.3">
      <c r="A248" s="133"/>
      <c r="B248" s="127"/>
      <c r="C248" s="127"/>
      <c r="D248" s="38" t="s">
        <v>44</v>
      </c>
      <c r="E248" s="24">
        <f t="shared" si="320"/>
        <v>92.2</v>
      </c>
      <c r="F248" s="24">
        <f t="shared" si="320"/>
        <v>92.2</v>
      </c>
      <c r="G248" s="25">
        <f t="shared" ref="G248" si="328">F248/E248*100</f>
        <v>100</v>
      </c>
      <c r="H248" s="24"/>
      <c r="I248" s="24"/>
      <c r="J248" s="22"/>
      <c r="K248" s="24"/>
      <c r="L248" s="24"/>
      <c r="M248" s="22"/>
      <c r="N248" s="24"/>
      <c r="O248" s="24"/>
      <c r="P248" s="22"/>
      <c r="Q248" s="24"/>
      <c r="R248" s="24"/>
      <c r="S248" s="25"/>
      <c r="T248" s="24">
        <v>105</v>
      </c>
      <c r="U248" s="24">
        <v>105</v>
      </c>
      <c r="V248" s="25">
        <f t="shared" ref="V248" si="329">U248/T248*100</f>
        <v>100</v>
      </c>
      <c r="W248" s="24">
        <f>67.2-67.2-12.8</f>
        <v>-12.8</v>
      </c>
      <c r="X248" s="24"/>
      <c r="Y248" s="25"/>
      <c r="Z248" s="24">
        <f>42-42</f>
        <v>0</v>
      </c>
      <c r="AA248" s="24">
        <v>-12.8</v>
      </c>
      <c r="AB248" s="25"/>
      <c r="AC248" s="24">
        <f>51+67.2-118.2</f>
        <v>0</v>
      </c>
      <c r="AD248" s="24">
        <v>0</v>
      </c>
      <c r="AE248" s="25"/>
      <c r="AF248" s="24">
        <f>22.4-9.6-12.8</f>
        <v>0</v>
      </c>
      <c r="AG248" s="24"/>
      <c r="AH248" s="25"/>
      <c r="AI248" s="24"/>
      <c r="AJ248" s="24"/>
      <c r="AK248" s="22"/>
      <c r="AL248" s="24"/>
      <c r="AM248" s="24"/>
      <c r="AN248" s="25"/>
      <c r="AO248" s="24">
        <f>182.2-182.2</f>
        <v>0</v>
      </c>
      <c r="AP248" s="24"/>
      <c r="AQ248" s="25"/>
      <c r="AR248" s="118" t="s">
        <v>151</v>
      </c>
      <c r="AS248" s="126"/>
      <c r="AT248" s="80">
        <f t="shared" si="275"/>
        <v>1</v>
      </c>
      <c r="AU248" s="84">
        <f t="shared" si="301"/>
        <v>0</v>
      </c>
      <c r="AV248" s="84">
        <f t="shared" si="302"/>
        <v>92.2</v>
      </c>
      <c r="AW248" s="84">
        <f t="shared" si="303"/>
        <v>0</v>
      </c>
      <c r="AX248" s="84">
        <f t="shared" si="304"/>
        <v>0</v>
      </c>
    </row>
    <row r="249" spans="1:50" ht="15.75" customHeight="1" x14ac:dyDescent="0.3">
      <c r="A249" s="133"/>
      <c r="B249" s="127"/>
      <c r="C249" s="127"/>
      <c r="D249" s="38" t="s">
        <v>23</v>
      </c>
      <c r="E249" s="24">
        <f t="shared" si="320"/>
        <v>0</v>
      </c>
      <c r="F249" s="24">
        <f t="shared" si="320"/>
        <v>0</v>
      </c>
      <c r="G249" s="25"/>
      <c r="H249" s="24"/>
      <c r="I249" s="24"/>
      <c r="J249" s="25"/>
      <c r="K249" s="24"/>
      <c r="L249" s="24"/>
      <c r="M249" s="25"/>
      <c r="N249" s="24"/>
      <c r="O249" s="24"/>
      <c r="P249" s="25"/>
      <c r="Q249" s="24"/>
      <c r="R249" s="24"/>
      <c r="S249" s="25"/>
      <c r="T249" s="24"/>
      <c r="U249" s="24"/>
      <c r="V249" s="25"/>
      <c r="W249" s="24"/>
      <c r="X249" s="24"/>
      <c r="Y249" s="25"/>
      <c r="Z249" s="24"/>
      <c r="AA249" s="24"/>
      <c r="AB249" s="25"/>
      <c r="AC249" s="24"/>
      <c r="AD249" s="24"/>
      <c r="AE249" s="25"/>
      <c r="AF249" s="24"/>
      <c r="AG249" s="24"/>
      <c r="AH249" s="25"/>
      <c r="AI249" s="24"/>
      <c r="AJ249" s="24"/>
      <c r="AK249" s="25"/>
      <c r="AL249" s="24"/>
      <c r="AM249" s="24"/>
      <c r="AN249" s="25"/>
      <c r="AO249" s="24"/>
      <c r="AP249" s="24"/>
      <c r="AQ249" s="25"/>
      <c r="AR249" s="36"/>
      <c r="AS249" s="36"/>
      <c r="AT249" s="80"/>
      <c r="AU249" s="84">
        <f t="shared" si="301"/>
        <v>0</v>
      </c>
      <c r="AV249" s="84">
        <f t="shared" si="302"/>
        <v>0</v>
      </c>
      <c r="AW249" s="84">
        <f t="shared" si="303"/>
        <v>0</v>
      </c>
      <c r="AX249" s="84">
        <f t="shared" si="304"/>
        <v>0</v>
      </c>
    </row>
    <row r="250" spans="1:50" ht="12" customHeight="1" x14ac:dyDescent="0.3">
      <c r="A250" s="133" t="s">
        <v>82</v>
      </c>
      <c r="B250" s="127" t="s">
        <v>115</v>
      </c>
      <c r="C250" s="127" t="s">
        <v>6</v>
      </c>
      <c r="D250" s="38" t="s">
        <v>3</v>
      </c>
      <c r="E250" s="24">
        <f t="shared" si="320"/>
        <v>0</v>
      </c>
      <c r="F250" s="24">
        <f t="shared" si="320"/>
        <v>0</v>
      </c>
      <c r="G250" s="25"/>
      <c r="H250" s="24">
        <f>H251+H252+H253+H254</f>
        <v>0</v>
      </c>
      <c r="I250" s="24"/>
      <c r="J250" s="25"/>
      <c r="K250" s="24">
        <f t="shared" ref="K250:AO250" si="330">K251+K252+K253+K254</f>
        <v>0</v>
      </c>
      <c r="L250" s="24"/>
      <c r="M250" s="25"/>
      <c r="N250" s="24">
        <f t="shared" si="330"/>
        <v>0</v>
      </c>
      <c r="O250" s="24"/>
      <c r="P250" s="25"/>
      <c r="Q250" s="24">
        <f t="shared" si="330"/>
        <v>0</v>
      </c>
      <c r="R250" s="24"/>
      <c r="S250" s="25"/>
      <c r="T250" s="24">
        <f t="shared" si="330"/>
        <v>0</v>
      </c>
      <c r="U250" s="24"/>
      <c r="V250" s="25"/>
      <c r="W250" s="24">
        <f t="shared" si="330"/>
        <v>0</v>
      </c>
      <c r="X250" s="24"/>
      <c r="Y250" s="25"/>
      <c r="Z250" s="24">
        <f t="shared" si="330"/>
        <v>0</v>
      </c>
      <c r="AA250" s="24"/>
      <c r="AB250" s="25"/>
      <c r="AC250" s="24">
        <f t="shared" si="330"/>
        <v>0</v>
      </c>
      <c r="AD250" s="24"/>
      <c r="AE250" s="25"/>
      <c r="AF250" s="24">
        <f t="shared" si="330"/>
        <v>0</v>
      </c>
      <c r="AG250" s="24"/>
      <c r="AH250" s="25"/>
      <c r="AI250" s="24">
        <f t="shared" si="330"/>
        <v>0</v>
      </c>
      <c r="AJ250" s="24"/>
      <c r="AK250" s="25"/>
      <c r="AL250" s="24">
        <f t="shared" si="330"/>
        <v>0</v>
      </c>
      <c r="AM250" s="24"/>
      <c r="AN250" s="25"/>
      <c r="AO250" s="24">
        <f t="shared" si="330"/>
        <v>0</v>
      </c>
      <c r="AP250" s="24"/>
      <c r="AQ250" s="25"/>
      <c r="AR250" s="36"/>
      <c r="AS250" s="36"/>
      <c r="AT250" s="80"/>
      <c r="AU250" s="84">
        <f t="shared" si="301"/>
        <v>0</v>
      </c>
      <c r="AV250" s="84">
        <f t="shared" si="302"/>
        <v>0</v>
      </c>
      <c r="AW250" s="84">
        <f t="shared" si="303"/>
        <v>0</v>
      </c>
      <c r="AX250" s="84">
        <f t="shared" si="304"/>
        <v>0</v>
      </c>
    </row>
    <row r="251" spans="1:50" ht="15.6" x14ac:dyDescent="0.3">
      <c r="A251" s="133"/>
      <c r="B251" s="127"/>
      <c r="C251" s="127"/>
      <c r="D251" s="38" t="s">
        <v>22</v>
      </c>
      <c r="E251" s="24">
        <f t="shared" si="320"/>
        <v>0</v>
      </c>
      <c r="F251" s="24">
        <f t="shared" si="320"/>
        <v>0</v>
      </c>
      <c r="G251" s="25"/>
      <c r="H251" s="24"/>
      <c r="I251" s="24"/>
      <c r="J251" s="25"/>
      <c r="K251" s="24"/>
      <c r="L251" s="24"/>
      <c r="M251" s="25"/>
      <c r="N251" s="24"/>
      <c r="O251" s="24"/>
      <c r="P251" s="25"/>
      <c r="Q251" s="24"/>
      <c r="R251" s="24"/>
      <c r="S251" s="25"/>
      <c r="T251" s="24"/>
      <c r="U251" s="24"/>
      <c r="V251" s="25"/>
      <c r="W251" s="24"/>
      <c r="X251" s="24"/>
      <c r="Y251" s="25"/>
      <c r="Z251" s="24"/>
      <c r="AA251" s="24"/>
      <c r="AB251" s="25"/>
      <c r="AC251" s="24"/>
      <c r="AD251" s="24"/>
      <c r="AE251" s="25"/>
      <c r="AF251" s="24"/>
      <c r="AG251" s="24"/>
      <c r="AH251" s="25"/>
      <c r="AI251" s="24"/>
      <c r="AJ251" s="24"/>
      <c r="AK251" s="25"/>
      <c r="AL251" s="24"/>
      <c r="AM251" s="24"/>
      <c r="AN251" s="25"/>
      <c r="AO251" s="24"/>
      <c r="AP251" s="24"/>
      <c r="AQ251" s="25"/>
      <c r="AR251" s="36"/>
      <c r="AS251" s="36"/>
      <c r="AT251" s="80"/>
      <c r="AU251" s="84">
        <f t="shared" si="301"/>
        <v>0</v>
      </c>
      <c r="AV251" s="84">
        <f t="shared" si="302"/>
        <v>0</v>
      </c>
      <c r="AW251" s="84">
        <f t="shared" si="303"/>
        <v>0</v>
      </c>
      <c r="AX251" s="84">
        <f t="shared" si="304"/>
        <v>0</v>
      </c>
    </row>
    <row r="252" spans="1:50" ht="24" x14ac:dyDescent="0.3">
      <c r="A252" s="133"/>
      <c r="B252" s="127"/>
      <c r="C252" s="127"/>
      <c r="D252" s="38" t="s">
        <v>4</v>
      </c>
      <c r="E252" s="24">
        <f t="shared" si="320"/>
        <v>0</v>
      </c>
      <c r="F252" s="24">
        <f t="shared" si="320"/>
        <v>0</v>
      </c>
      <c r="G252" s="25"/>
      <c r="H252" s="24"/>
      <c r="I252" s="24"/>
      <c r="J252" s="25"/>
      <c r="K252" s="24"/>
      <c r="L252" s="24"/>
      <c r="M252" s="25"/>
      <c r="N252" s="24"/>
      <c r="O252" s="24"/>
      <c r="P252" s="25"/>
      <c r="Q252" s="24"/>
      <c r="R252" s="24"/>
      <c r="S252" s="25"/>
      <c r="T252" s="24"/>
      <c r="U252" s="24"/>
      <c r="V252" s="25"/>
      <c r="W252" s="24"/>
      <c r="X252" s="24"/>
      <c r="Y252" s="25"/>
      <c r="Z252" s="24"/>
      <c r="AA252" s="24"/>
      <c r="AB252" s="25"/>
      <c r="AC252" s="24"/>
      <c r="AD252" s="24"/>
      <c r="AE252" s="25"/>
      <c r="AF252" s="24"/>
      <c r="AG252" s="24"/>
      <c r="AH252" s="25"/>
      <c r="AI252" s="24"/>
      <c r="AJ252" s="24"/>
      <c r="AK252" s="25"/>
      <c r="AL252" s="24"/>
      <c r="AM252" s="24"/>
      <c r="AN252" s="25"/>
      <c r="AO252" s="24"/>
      <c r="AP252" s="24"/>
      <c r="AQ252" s="25"/>
      <c r="AR252" s="36"/>
      <c r="AS252" s="36"/>
      <c r="AT252" s="80"/>
      <c r="AU252" s="84">
        <f t="shared" si="301"/>
        <v>0</v>
      </c>
      <c r="AV252" s="84">
        <f t="shared" si="302"/>
        <v>0</v>
      </c>
      <c r="AW252" s="84">
        <f t="shared" si="303"/>
        <v>0</v>
      </c>
      <c r="AX252" s="84">
        <f t="shared" si="304"/>
        <v>0</v>
      </c>
    </row>
    <row r="253" spans="1:50" ht="15.75" customHeight="1" x14ac:dyDescent="0.3">
      <c r="A253" s="133"/>
      <c r="B253" s="127"/>
      <c r="C253" s="127"/>
      <c r="D253" s="38" t="s">
        <v>44</v>
      </c>
      <c r="E253" s="24">
        <f t="shared" si="320"/>
        <v>0</v>
      </c>
      <c r="F253" s="24">
        <f t="shared" si="320"/>
        <v>0</v>
      </c>
      <c r="G253" s="25"/>
      <c r="H253" s="24"/>
      <c r="I253" s="24"/>
      <c r="J253" s="25"/>
      <c r="K253" s="24"/>
      <c r="L253" s="24"/>
      <c r="M253" s="25"/>
      <c r="N253" s="24"/>
      <c r="O253" s="24"/>
      <c r="P253" s="25"/>
      <c r="Q253" s="24"/>
      <c r="R253" s="24"/>
      <c r="S253" s="25"/>
      <c r="T253" s="24"/>
      <c r="U253" s="24"/>
      <c r="V253" s="25"/>
      <c r="W253" s="24"/>
      <c r="X253" s="24"/>
      <c r="Y253" s="25"/>
      <c r="Z253" s="24"/>
      <c r="AA253" s="24"/>
      <c r="AB253" s="25"/>
      <c r="AC253" s="24"/>
      <c r="AD253" s="24"/>
      <c r="AE253" s="25"/>
      <c r="AF253" s="24"/>
      <c r="AG253" s="24"/>
      <c r="AH253" s="25"/>
      <c r="AI253" s="24"/>
      <c r="AJ253" s="24"/>
      <c r="AK253" s="25"/>
      <c r="AL253" s="24"/>
      <c r="AM253" s="24"/>
      <c r="AN253" s="25"/>
      <c r="AO253" s="24"/>
      <c r="AP253" s="24"/>
      <c r="AQ253" s="25"/>
      <c r="AR253" s="36"/>
      <c r="AS253" s="36"/>
      <c r="AT253" s="80"/>
      <c r="AU253" s="84">
        <f t="shared" si="301"/>
        <v>0</v>
      </c>
      <c r="AV253" s="84">
        <f t="shared" si="302"/>
        <v>0</v>
      </c>
      <c r="AW253" s="84">
        <f t="shared" si="303"/>
        <v>0</v>
      </c>
      <c r="AX253" s="84">
        <f t="shared" si="304"/>
        <v>0</v>
      </c>
    </row>
    <row r="254" spans="1:50" ht="15.75" customHeight="1" x14ac:dyDescent="0.3">
      <c r="A254" s="133"/>
      <c r="B254" s="127"/>
      <c r="C254" s="127"/>
      <c r="D254" s="38" t="s">
        <v>23</v>
      </c>
      <c r="E254" s="24">
        <f t="shared" si="320"/>
        <v>0</v>
      </c>
      <c r="F254" s="24">
        <f t="shared" si="320"/>
        <v>0</v>
      </c>
      <c r="G254" s="25"/>
      <c r="H254" s="24"/>
      <c r="I254" s="24"/>
      <c r="J254" s="25"/>
      <c r="K254" s="24"/>
      <c r="L254" s="24"/>
      <c r="M254" s="25"/>
      <c r="N254" s="24"/>
      <c r="O254" s="24"/>
      <c r="P254" s="25"/>
      <c r="Q254" s="24"/>
      <c r="R254" s="24"/>
      <c r="S254" s="25"/>
      <c r="T254" s="24"/>
      <c r="U254" s="24"/>
      <c r="V254" s="25"/>
      <c r="W254" s="24"/>
      <c r="X254" s="24"/>
      <c r="Y254" s="25"/>
      <c r="Z254" s="24"/>
      <c r="AA254" s="24"/>
      <c r="AB254" s="25"/>
      <c r="AC254" s="24"/>
      <c r="AD254" s="24"/>
      <c r="AE254" s="25"/>
      <c r="AF254" s="24"/>
      <c r="AG254" s="24"/>
      <c r="AH254" s="25"/>
      <c r="AI254" s="24"/>
      <c r="AJ254" s="24"/>
      <c r="AK254" s="25"/>
      <c r="AL254" s="24"/>
      <c r="AM254" s="24"/>
      <c r="AN254" s="25"/>
      <c r="AO254" s="24"/>
      <c r="AP254" s="24"/>
      <c r="AQ254" s="25"/>
      <c r="AR254" s="36"/>
      <c r="AS254" s="36"/>
      <c r="AT254" s="80"/>
      <c r="AU254" s="85">
        <f t="shared" si="301"/>
        <v>0</v>
      </c>
      <c r="AV254" s="85">
        <f t="shared" si="302"/>
        <v>0</v>
      </c>
      <c r="AW254" s="85">
        <f t="shared" si="303"/>
        <v>0</v>
      </c>
      <c r="AX254" s="85">
        <f t="shared" si="304"/>
        <v>0</v>
      </c>
    </row>
    <row r="255" spans="1:50" ht="12.75" customHeight="1" x14ac:dyDescent="0.3">
      <c r="A255" s="169" t="s">
        <v>19</v>
      </c>
      <c r="B255" s="169"/>
      <c r="C255" s="169"/>
      <c r="D255" s="39" t="s">
        <v>3</v>
      </c>
      <c r="E255" s="40">
        <f t="shared" si="320"/>
        <v>4089.8999999999992</v>
      </c>
      <c r="F255" s="40">
        <f t="shared" si="320"/>
        <v>4088.4000000000005</v>
      </c>
      <c r="G255" s="26">
        <f>F255/E255*100</f>
        <v>99.963324286657411</v>
      </c>
      <c r="H255" s="40">
        <f>H256+H257+H258+H259</f>
        <v>0</v>
      </c>
      <c r="I255" s="40">
        <f>I256+I257+I258+I259</f>
        <v>0</v>
      </c>
      <c r="J255" s="23"/>
      <c r="K255" s="40">
        <f t="shared" ref="K255:AP255" si="331">K256+K257+K258+K259</f>
        <v>0</v>
      </c>
      <c r="L255" s="40">
        <f t="shared" si="331"/>
        <v>346</v>
      </c>
      <c r="M255" s="26" t="e">
        <f>L255/K255*100</f>
        <v>#DIV/0!</v>
      </c>
      <c r="N255" s="40">
        <f t="shared" si="331"/>
        <v>0</v>
      </c>
      <c r="O255" s="40">
        <f t="shared" si="331"/>
        <v>-330</v>
      </c>
      <c r="P255" s="26" t="e">
        <f>O255/N255*100</f>
        <v>#DIV/0!</v>
      </c>
      <c r="Q255" s="40">
        <f t="shared" si="331"/>
        <v>0</v>
      </c>
      <c r="R255" s="40">
        <f t="shared" si="331"/>
        <v>0</v>
      </c>
      <c r="S255" s="26"/>
      <c r="T255" s="40">
        <f t="shared" si="331"/>
        <v>1342.6999999999996</v>
      </c>
      <c r="U255" s="40">
        <f t="shared" si="331"/>
        <v>1248</v>
      </c>
      <c r="V255" s="26">
        <f>U255/T255*100</f>
        <v>92.947046994861125</v>
      </c>
      <c r="W255" s="40">
        <f t="shared" si="331"/>
        <v>-12.8</v>
      </c>
      <c r="X255" s="40">
        <f t="shared" si="331"/>
        <v>514.00000000000045</v>
      </c>
      <c r="Y255" s="26">
        <f>X255/W255*100</f>
        <v>-4015.6250000000036</v>
      </c>
      <c r="Z255" s="40">
        <f t="shared" si="331"/>
        <v>197.59999999999974</v>
      </c>
      <c r="AA255" s="40">
        <f t="shared" si="331"/>
        <v>-1685.8</v>
      </c>
      <c r="AB255" s="26">
        <f>AA255/Z255*100</f>
        <v>-853.13765182186341</v>
      </c>
      <c r="AC255" s="40">
        <f t="shared" si="331"/>
        <v>1440.6000000000001</v>
      </c>
      <c r="AD255" s="40">
        <f t="shared" si="331"/>
        <v>2875.8999999999996</v>
      </c>
      <c r="AE255" s="26">
        <f>AD255/AC255*100</f>
        <v>199.63209773705398</v>
      </c>
      <c r="AF255" s="40">
        <f t="shared" si="331"/>
        <v>0</v>
      </c>
      <c r="AG255" s="40">
        <f t="shared" si="331"/>
        <v>0</v>
      </c>
      <c r="AH255" s="26"/>
      <c r="AI255" s="40">
        <f t="shared" si="331"/>
        <v>0</v>
      </c>
      <c r="AJ255" s="40">
        <f t="shared" si="331"/>
        <v>0</v>
      </c>
      <c r="AK255" s="26"/>
      <c r="AL255" s="40">
        <f t="shared" si="331"/>
        <v>1121.7999999999997</v>
      </c>
      <c r="AM255" s="40">
        <f t="shared" si="331"/>
        <v>1013.9</v>
      </c>
      <c r="AN255" s="26">
        <f>AM255/AL255*100</f>
        <v>90.381529684435748</v>
      </c>
      <c r="AO255" s="40">
        <f t="shared" si="331"/>
        <v>0</v>
      </c>
      <c r="AP255" s="40">
        <f t="shared" si="331"/>
        <v>106.4</v>
      </c>
      <c r="AQ255" s="26"/>
      <c r="AR255" s="36"/>
      <c r="AS255" s="36"/>
      <c r="AT255" s="80">
        <f t="shared" si="275"/>
        <v>0.99963324286657407</v>
      </c>
      <c r="AU255" s="85">
        <f t="shared" si="301"/>
        <v>0</v>
      </c>
      <c r="AV255" s="85">
        <f t="shared" si="302"/>
        <v>1329.8999999999996</v>
      </c>
      <c r="AW255" s="85">
        <f t="shared" si="303"/>
        <v>1638.1999999999998</v>
      </c>
      <c r="AX255" s="85">
        <f t="shared" si="304"/>
        <v>1121.7999999999997</v>
      </c>
    </row>
    <row r="256" spans="1:50" ht="13.5" customHeight="1" x14ac:dyDescent="0.3">
      <c r="A256" s="169"/>
      <c r="B256" s="169"/>
      <c r="C256" s="169"/>
      <c r="D256" s="39" t="s">
        <v>22</v>
      </c>
      <c r="E256" s="40">
        <f t="shared" si="320"/>
        <v>0</v>
      </c>
      <c r="F256" s="40">
        <f t="shared" si="320"/>
        <v>0</v>
      </c>
      <c r="G256" s="26"/>
      <c r="H256" s="40">
        <f t="shared" ref="H256:I259" si="332">H241+H246+H251</f>
        <v>0</v>
      </c>
      <c r="I256" s="40">
        <f t="shared" si="332"/>
        <v>0</v>
      </c>
      <c r="J256" s="23"/>
      <c r="K256" s="40">
        <f t="shared" ref="K256:AP259" si="333">K241+K246+K251</f>
        <v>0</v>
      </c>
      <c r="L256" s="40">
        <f t="shared" si="333"/>
        <v>0</v>
      </c>
      <c r="M256" s="26"/>
      <c r="N256" s="40">
        <f t="shared" si="333"/>
        <v>0</v>
      </c>
      <c r="O256" s="40">
        <f t="shared" si="333"/>
        <v>0</v>
      </c>
      <c r="P256" s="26"/>
      <c r="Q256" s="40">
        <f t="shared" si="333"/>
        <v>0</v>
      </c>
      <c r="R256" s="40">
        <f t="shared" si="333"/>
        <v>0</v>
      </c>
      <c r="S256" s="26"/>
      <c r="T256" s="40">
        <f t="shared" si="333"/>
        <v>0</v>
      </c>
      <c r="U256" s="40">
        <f t="shared" si="333"/>
        <v>0</v>
      </c>
      <c r="V256" s="26"/>
      <c r="W256" s="40">
        <f t="shared" si="333"/>
        <v>0</v>
      </c>
      <c r="X256" s="40">
        <f t="shared" si="333"/>
        <v>0</v>
      </c>
      <c r="Y256" s="26"/>
      <c r="Z256" s="40">
        <f t="shared" si="333"/>
        <v>0</v>
      </c>
      <c r="AA256" s="40">
        <f t="shared" si="333"/>
        <v>0</v>
      </c>
      <c r="AB256" s="26"/>
      <c r="AC256" s="40">
        <f t="shared" si="333"/>
        <v>0</v>
      </c>
      <c r="AD256" s="40">
        <f t="shared" si="333"/>
        <v>0</v>
      </c>
      <c r="AE256" s="26"/>
      <c r="AF256" s="40">
        <f t="shared" si="333"/>
        <v>0</v>
      </c>
      <c r="AG256" s="40">
        <f t="shared" si="333"/>
        <v>0</v>
      </c>
      <c r="AH256" s="26"/>
      <c r="AI256" s="40">
        <f t="shared" si="333"/>
        <v>0</v>
      </c>
      <c r="AJ256" s="40">
        <f t="shared" si="333"/>
        <v>0</v>
      </c>
      <c r="AK256" s="26"/>
      <c r="AL256" s="40">
        <f t="shared" si="333"/>
        <v>0</v>
      </c>
      <c r="AM256" s="40">
        <f t="shared" si="333"/>
        <v>0</v>
      </c>
      <c r="AN256" s="26"/>
      <c r="AO256" s="40">
        <f t="shared" si="333"/>
        <v>0</v>
      </c>
      <c r="AP256" s="40">
        <f t="shared" si="333"/>
        <v>0</v>
      </c>
      <c r="AQ256" s="26"/>
      <c r="AR256" s="36"/>
      <c r="AS256" s="36"/>
      <c r="AT256" s="80"/>
      <c r="AU256" s="85">
        <f t="shared" si="301"/>
        <v>0</v>
      </c>
      <c r="AV256" s="85">
        <f t="shared" si="302"/>
        <v>0</v>
      </c>
      <c r="AW256" s="85">
        <f t="shared" si="303"/>
        <v>0</v>
      </c>
      <c r="AX256" s="85">
        <f t="shared" si="304"/>
        <v>0</v>
      </c>
    </row>
    <row r="257" spans="1:50" ht="25.5" customHeight="1" x14ac:dyDescent="0.3">
      <c r="A257" s="169"/>
      <c r="B257" s="169"/>
      <c r="C257" s="169"/>
      <c r="D257" s="39" t="s">
        <v>4</v>
      </c>
      <c r="E257" s="40">
        <f t="shared" si="320"/>
        <v>1676.0999999999995</v>
      </c>
      <c r="F257" s="40">
        <f t="shared" si="320"/>
        <v>1676.0000000000005</v>
      </c>
      <c r="G257" s="26">
        <f t="shared" ref="G257:G258" si="334">F257/E257*100</f>
        <v>99.994033768868263</v>
      </c>
      <c r="H257" s="40">
        <f t="shared" si="332"/>
        <v>0</v>
      </c>
      <c r="I257" s="40">
        <f t="shared" si="332"/>
        <v>0</v>
      </c>
      <c r="J257" s="23"/>
      <c r="K257" s="40">
        <f t="shared" si="333"/>
        <v>0</v>
      </c>
      <c r="L257" s="40">
        <f t="shared" si="333"/>
        <v>0</v>
      </c>
      <c r="M257" s="26"/>
      <c r="N257" s="40">
        <f t="shared" si="333"/>
        <v>0</v>
      </c>
      <c r="O257" s="40">
        <f t="shared" si="333"/>
        <v>0</v>
      </c>
      <c r="P257" s="26" t="e">
        <f t="shared" ref="P257:P258" si="335">O257/N257*100</f>
        <v>#DIV/0!</v>
      </c>
      <c r="Q257" s="40">
        <f t="shared" si="333"/>
        <v>0</v>
      </c>
      <c r="R257" s="40">
        <f t="shared" si="333"/>
        <v>0</v>
      </c>
      <c r="S257" s="26"/>
      <c r="T257" s="40">
        <f t="shared" si="333"/>
        <v>489.59999999999985</v>
      </c>
      <c r="U257" s="40">
        <f t="shared" si="333"/>
        <v>1143</v>
      </c>
      <c r="V257" s="26">
        <f t="shared" ref="V257:V258" si="336">U257/T257*100</f>
        <v>233.45588235294125</v>
      </c>
      <c r="W257" s="40">
        <f t="shared" si="333"/>
        <v>0</v>
      </c>
      <c r="X257" s="40">
        <f t="shared" si="333"/>
        <v>530.00000000000045</v>
      </c>
      <c r="Y257" s="26"/>
      <c r="Z257" s="40">
        <f t="shared" si="333"/>
        <v>197.59999999999974</v>
      </c>
      <c r="AA257" s="40">
        <f t="shared" si="333"/>
        <v>-1673</v>
      </c>
      <c r="AB257" s="26">
        <f t="shared" ref="AB257" si="337">AA257/Z257*100</f>
        <v>-846.65991902834128</v>
      </c>
      <c r="AC257" s="40">
        <f t="shared" si="333"/>
        <v>444.90000000000003</v>
      </c>
      <c r="AD257" s="40">
        <f t="shared" si="333"/>
        <v>1132.0999999999999</v>
      </c>
      <c r="AE257" s="26">
        <f t="shared" ref="AE257:AE258" si="338">AD257/AC257*100</f>
        <v>254.46167678129913</v>
      </c>
      <c r="AF257" s="40">
        <f t="shared" si="333"/>
        <v>0</v>
      </c>
      <c r="AG257" s="40">
        <f t="shared" si="333"/>
        <v>0</v>
      </c>
      <c r="AH257" s="26"/>
      <c r="AI257" s="40">
        <f t="shared" si="333"/>
        <v>0</v>
      </c>
      <c r="AJ257" s="40">
        <f t="shared" si="333"/>
        <v>0</v>
      </c>
      <c r="AK257" s="26"/>
      <c r="AL257" s="40">
        <f t="shared" si="333"/>
        <v>543.99999999999989</v>
      </c>
      <c r="AM257" s="40">
        <f t="shared" si="333"/>
        <v>543.9</v>
      </c>
      <c r="AN257" s="26">
        <f t="shared" ref="AN257:AN258" si="339">AM257/AL257*100</f>
        <v>99.98161764705884</v>
      </c>
      <c r="AO257" s="40">
        <f t="shared" si="333"/>
        <v>0</v>
      </c>
      <c r="AP257" s="40">
        <f t="shared" si="333"/>
        <v>0</v>
      </c>
      <c r="AQ257" s="26"/>
      <c r="AR257" s="36"/>
      <c r="AS257" s="36"/>
      <c r="AT257" s="80">
        <f t="shared" si="275"/>
        <v>0.99994033768868262</v>
      </c>
      <c r="AU257" s="85">
        <f t="shared" si="301"/>
        <v>0</v>
      </c>
      <c r="AV257" s="85">
        <f t="shared" si="302"/>
        <v>489.59999999999985</v>
      </c>
      <c r="AW257" s="85">
        <f t="shared" si="303"/>
        <v>642.49999999999977</v>
      </c>
      <c r="AX257" s="85">
        <f t="shared" si="304"/>
        <v>543.99999999999989</v>
      </c>
    </row>
    <row r="258" spans="1:50" ht="14.25" customHeight="1" x14ac:dyDescent="0.3">
      <c r="A258" s="169"/>
      <c r="B258" s="169"/>
      <c r="C258" s="169"/>
      <c r="D258" s="39" t="s">
        <v>44</v>
      </c>
      <c r="E258" s="40">
        <f t="shared" si="320"/>
        <v>2413.7999999999997</v>
      </c>
      <c r="F258" s="40">
        <f t="shared" si="320"/>
        <v>2412.4</v>
      </c>
      <c r="G258" s="26">
        <f t="shared" si="334"/>
        <v>99.942000165713836</v>
      </c>
      <c r="H258" s="40">
        <f t="shared" si="332"/>
        <v>0</v>
      </c>
      <c r="I258" s="40">
        <f t="shared" si="332"/>
        <v>0</v>
      </c>
      <c r="J258" s="23"/>
      <c r="K258" s="40">
        <f t="shared" si="333"/>
        <v>0</v>
      </c>
      <c r="L258" s="40">
        <f t="shared" si="333"/>
        <v>346</v>
      </c>
      <c r="M258" s="26" t="e">
        <f t="shared" ref="M258" si="340">L258/K258*100</f>
        <v>#DIV/0!</v>
      </c>
      <c r="N258" s="40">
        <f t="shared" si="333"/>
        <v>0</v>
      </c>
      <c r="O258" s="40">
        <f t="shared" si="333"/>
        <v>-330</v>
      </c>
      <c r="P258" s="26" t="e">
        <f t="shared" si="335"/>
        <v>#DIV/0!</v>
      </c>
      <c r="Q258" s="40">
        <f t="shared" si="333"/>
        <v>0</v>
      </c>
      <c r="R258" s="40">
        <f t="shared" si="333"/>
        <v>0</v>
      </c>
      <c r="S258" s="26"/>
      <c r="T258" s="40">
        <f t="shared" si="333"/>
        <v>853.09999999999968</v>
      </c>
      <c r="U258" s="40">
        <f t="shared" si="333"/>
        <v>105</v>
      </c>
      <c r="V258" s="26">
        <f t="shared" si="336"/>
        <v>12.308052983237609</v>
      </c>
      <c r="W258" s="40">
        <f t="shared" si="333"/>
        <v>-12.8</v>
      </c>
      <c r="X258" s="40">
        <f t="shared" si="333"/>
        <v>-16</v>
      </c>
      <c r="Y258" s="26">
        <f t="shared" ref="Y258" si="341">X258/W258*100</f>
        <v>125</v>
      </c>
      <c r="Z258" s="40">
        <f t="shared" si="333"/>
        <v>0</v>
      </c>
      <c r="AA258" s="40">
        <f t="shared" si="333"/>
        <v>-12.8</v>
      </c>
      <c r="AB258" s="26"/>
      <c r="AC258" s="40">
        <f t="shared" si="333"/>
        <v>995.7</v>
      </c>
      <c r="AD258" s="40">
        <f t="shared" si="333"/>
        <v>1743.8</v>
      </c>
      <c r="AE258" s="26">
        <f t="shared" si="338"/>
        <v>175.13307221050516</v>
      </c>
      <c r="AF258" s="40">
        <f t="shared" si="333"/>
        <v>0</v>
      </c>
      <c r="AG258" s="40">
        <f t="shared" si="333"/>
        <v>0</v>
      </c>
      <c r="AH258" s="26"/>
      <c r="AI258" s="40">
        <f t="shared" si="333"/>
        <v>0</v>
      </c>
      <c r="AJ258" s="40">
        <f t="shared" si="333"/>
        <v>0</v>
      </c>
      <c r="AK258" s="26"/>
      <c r="AL258" s="40">
        <f t="shared" si="333"/>
        <v>577.79999999999995</v>
      </c>
      <c r="AM258" s="40">
        <f t="shared" si="333"/>
        <v>470</v>
      </c>
      <c r="AN258" s="26">
        <f t="shared" si="339"/>
        <v>81.343025268258913</v>
      </c>
      <c r="AO258" s="40">
        <f t="shared" si="333"/>
        <v>0</v>
      </c>
      <c r="AP258" s="40">
        <f t="shared" si="333"/>
        <v>106.4</v>
      </c>
      <c r="AQ258" s="26"/>
      <c r="AR258" s="36"/>
      <c r="AS258" s="36"/>
      <c r="AT258" s="80">
        <f t="shared" si="275"/>
        <v>0.99942000165713829</v>
      </c>
      <c r="AU258" s="85">
        <f t="shared" si="301"/>
        <v>0</v>
      </c>
      <c r="AV258" s="85">
        <f t="shared" si="302"/>
        <v>840.29999999999973</v>
      </c>
      <c r="AW258" s="85">
        <f t="shared" si="303"/>
        <v>995.7</v>
      </c>
      <c r="AX258" s="85">
        <f t="shared" si="304"/>
        <v>577.79999999999995</v>
      </c>
    </row>
    <row r="259" spans="1:50" ht="15" customHeight="1" x14ac:dyDescent="0.3">
      <c r="A259" s="169"/>
      <c r="B259" s="169"/>
      <c r="C259" s="169"/>
      <c r="D259" s="39" t="s">
        <v>23</v>
      </c>
      <c r="E259" s="40">
        <f t="shared" si="320"/>
        <v>0</v>
      </c>
      <c r="F259" s="40">
        <f t="shared" si="320"/>
        <v>0</v>
      </c>
      <c r="G259" s="26"/>
      <c r="H259" s="40">
        <f t="shared" si="332"/>
        <v>0</v>
      </c>
      <c r="I259" s="40">
        <f t="shared" si="332"/>
        <v>0</v>
      </c>
      <c r="J259" s="26"/>
      <c r="K259" s="40">
        <f t="shared" si="333"/>
        <v>0</v>
      </c>
      <c r="L259" s="40">
        <f t="shared" si="333"/>
        <v>0</v>
      </c>
      <c r="M259" s="26"/>
      <c r="N259" s="40">
        <f t="shared" si="333"/>
        <v>0</v>
      </c>
      <c r="O259" s="40">
        <f t="shared" si="333"/>
        <v>0</v>
      </c>
      <c r="P259" s="26"/>
      <c r="Q259" s="40">
        <f t="shared" si="333"/>
        <v>0</v>
      </c>
      <c r="R259" s="40">
        <f t="shared" si="333"/>
        <v>0</v>
      </c>
      <c r="S259" s="26"/>
      <c r="T259" s="40">
        <f t="shared" si="333"/>
        <v>0</v>
      </c>
      <c r="U259" s="40">
        <f t="shared" si="333"/>
        <v>0</v>
      </c>
      <c r="V259" s="26"/>
      <c r="W259" s="40">
        <f t="shared" si="333"/>
        <v>0</v>
      </c>
      <c r="X259" s="40">
        <f t="shared" si="333"/>
        <v>0</v>
      </c>
      <c r="Y259" s="26"/>
      <c r="Z259" s="40">
        <f t="shared" si="333"/>
        <v>0</v>
      </c>
      <c r="AA259" s="40">
        <f t="shared" si="333"/>
        <v>0</v>
      </c>
      <c r="AB259" s="26"/>
      <c r="AC259" s="40">
        <f t="shared" si="333"/>
        <v>0</v>
      </c>
      <c r="AD259" s="40">
        <f t="shared" si="333"/>
        <v>0</v>
      </c>
      <c r="AE259" s="26"/>
      <c r="AF259" s="40">
        <f t="shared" si="333"/>
        <v>0</v>
      </c>
      <c r="AG259" s="40">
        <f t="shared" si="333"/>
        <v>0</v>
      </c>
      <c r="AH259" s="26"/>
      <c r="AI259" s="40">
        <f t="shared" si="333"/>
        <v>0</v>
      </c>
      <c r="AJ259" s="40">
        <f t="shared" si="333"/>
        <v>0</v>
      </c>
      <c r="AK259" s="26"/>
      <c r="AL259" s="40">
        <f t="shared" si="333"/>
        <v>0</v>
      </c>
      <c r="AM259" s="40">
        <f t="shared" si="333"/>
        <v>0</v>
      </c>
      <c r="AN259" s="26"/>
      <c r="AO259" s="40">
        <f t="shared" si="333"/>
        <v>0</v>
      </c>
      <c r="AP259" s="40">
        <f t="shared" si="333"/>
        <v>0</v>
      </c>
      <c r="AQ259" s="26"/>
      <c r="AR259" s="36"/>
      <c r="AS259" s="36"/>
      <c r="AT259" s="80"/>
      <c r="AU259" s="84">
        <f t="shared" si="301"/>
        <v>0</v>
      </c>
      <c r="AV259" s="84">
        <f t="shared" si="302"/>
        <v>0</v>
      </c>
      <c r="AW259" s="84">
        <f t="shared" si="303"/>
        <v>0</v>
      </c>
      <c r="AX259" s="84">
        <f t="shared" si="304"/>
        <v>0</v>
      </c>
    </row>
    <row r="260" spans="1:50" ht="15" customHeight="1" x14ac:dyDescent="0.3">
      <c r="A260" s="160" t="s">
        <v>20</v>
      </c>
      <c r="B260" s="161"/>
      <c r="C260" s="162"/>
      <c r="D260" s="39" t="s">
        <v>3</v>
      </c>
      <c r="E260" s="40">
        <f t="shared" ref="E260:F277" si="342">H260+K260+N260+Q260+T260+W260+Z260+AC260+AF260+AI260+AL260+AO260</f>
        <v>1664345.7</v>
      </c>
      <c r="F260" s="40">
        <f t="shared" si="342"/>
        <v>1643882.1131999998</v>
      </c>
      <c r="G260" s="26">
        <f>F260/E260*100</f>
        <v>98.770472576700854</v>
      </c>
      <c r="H260" s="40">
        <f>H261+H262+H263+H264</f>
        <v>36476.300000000003</v>
      </c>
      <c r="I260" s="40">
        <f>I261+I262+I263+I264</f>
        <v>36114.9</v>
      </c>
      <c r="J260" s="26">
        <f>I260/H260*100</f>
        <v>99.009219685110608</v>
      </c>
      <c r="K260" s="40">
        <f>K261+K262+K263+K264</f>
        <v>131674.9</v>
      </c>
      <c r="L260" s="40">
        <f>L261+L262+L263+L264</f>
        <v>130330.20000000001</v>
      </c>
      <c r="M260" s="26">
        <f>L260/K260*100</f>
        <v>98.978772719781844</v>
      </c>
      <c r="N260" s="40">
        <f>N261+N262+N263+N264</f>
        <v>125466.7</v>
      </c>
      <c r="O260" s="40">
        <f>O261+O262+O263+O264</f>
        <v>124939.99960000001</v>
      </c>
      <c r="P260" s="26">
        <f>O260/N260*100</f>
        <v>99.580207019073598</v>
      </c>
      <c r="Q260" s="40">
        <f t="shared" ref="Q260:AH260" si="343">Q261+Q262+Q263+Q264</f>
        <v>143259.5</v>
      </c>
      <c r="R260" s="40">
        <f t="shared" si="343"/>
        <v>145161</v>
      </c>
      <c r="S260" s="40">
        <f t="shared" si="343"/>
        <v>206.55032231813027</v>
      </c>
      <c r="T260" s="40">
        <f t="shared" si="343"/>
        <v>174246.30000000002</v>
      </c>
      <c r="U260" s="40">
        <f t="shared" si="343"/>
        <v>195851.71360000002</v>
      </c>
      <c r="V260" s="40">
        <f t="shared" si="343"/>
        <v>208.73456451929476</v>
      </c>
      <c r="W260" s="40">
        <f t="shared" si="343"/>
        <v>209978.8</v>
      </c>
      <c r="X260" s="40">
        <f t="shared" si="343"/>
        <v>186896.2</v>
      </c>
      <c r="Y260" s="40">
        <f t="shared" si="343"/>
        <v>179.1022090612974</v>
      </c>
      <c r="Z260" s="40">
        <f t="shared" si="343"/>
        <v>122027.30000000002</v>
      </c>
      <c r="AA260" s="40">
        <f t="shared" si="343"/>
        <v>112303.1</v>
      </c>
      <c r="AB260" s="40">
        <f t="shared" si="343"/>
        <v>181.99414186161732</v>
      </c>
      <c r="AC260" s="40">
        <f t="shared" si="343"/>
        <v>114192.6</v>
      </c>
      <c r="AD260" s="40">
        <f t="shared" si="343"/>
        <v>71862.3</v>
      </c>
      <c r="AE260" s="26">
        <f>AD260/AC260*100</f>
        <v>62.930785357369913</v>
      </c>
      <c r="AF260" s="40">
        <f t="shared" si="343"/>
        <v>99970.400000000009</v>
      </c>
      <c r="AG260" s="40">
        <f t="shared" si="343"/>
        <v>95844.700000000012</v>
      </c>
      <c r="AH260" s="40">
        <f t="shared" si="343"/>
        <v>185.48553652303102</v>
      </c>
      <c r="AI260" s="40">
        <f>AI261+AI262+AI263+AI264</f>
        <v>179861.30000000002</v>
      </c>
      <c r="AJ260" s="40">
        <f t="shared" ref="AJ260:AP261" si="344">AJ261+AJ262+AJ263+AJ264</f>
        <v>148230.20000000001</v>
      </c>
      <c r="AK260" s="40">
        <f t="shared" si="344"/>
        <v>346.56450939679326</v>
      </c>
      <c r="AL260" s="40">
        <f t="shared" si="344"/>
        <v>130148.70000000001</v>
      </c>
      <c r="AM260" s="40">
        <f t="shared" si="344"/>
        <v>165510.59999999998</v>
      </c>
      <c r="AN260" s="40">
        <f t="shared" si="344"/>
        <v>347.93698070699332</v>
      </c>
      <c r="AO260" s="40">
        <f t="shared" si="344"/>
        <v>197042.9</v>
      </c>
      <c r="AP260" s="40">
        <f t="shared" si="344"/>
        <v>230837.20000000004</v>
      </c>
      <c r="AQ260" s="26">
        <f>AP260/AO260*100</f>
        <v>117.15073215020691</v>
      </c>
      <c r="AR260" s="36"/>
      <c r="AS260" s="36"/>
      <c r="AT260" s="80">
        <f t="shared" si="275"/>
        <v>0.98770472576700852</v>
      </c>
      <c r="AU260" s="85">
        <f t="shared" si="301"/>
        <v>293617.90000000002</v>
      </c>
      <c r="AV260" s="85">
        <f t="shared" si="302"/>
        <v>527484.60000000009</v>
      </c>
      <c r="AW260" s="85">
        <f t="shared" si="303"/>
        <v>336190.30000000005</v>
      </c>
      <c r="AX260" s="85">
        <f t="shared" si="304"/>
        <v>507052.9</v>
      </c>
    </row>
    <row r="261" spans="1:50" ht="15.6" x14ac:dyDescent="0.3">
      <c r="A261" s="163"/>
      <c r="B261" s="164"/>
      <c r="C261" s="165"/>
      <c r="D261" s="39" t="s">
        <v>22</v>
      </c>
      <c r="E261" s="40">
        <f t="shared" si="342"/>
        <v>15066.3</v>
      </c>
      <c r="F261" s="40">
        <f t="shared" si="342"/>
        <v>13989.8</v>
      </c>
      <c r="G261" s="26">
        <f>F261/E261*100</f>
        <v>92.854914610753809</v>
      </c>
      <c r="H261" s="40">
        <f>H30+H78+H145+H181+H212+H234+H256</f>
        <v>0</v>
      </c>
      <c r="I261" s="40"/>
      <c r="J261" s="26"/>
      <c r="K261" s="40">
        <f t="shared" ref="K261:L264" si="345">K30+K78+K145+K181+K212+K234+K256</f>
        <v>0</v>
      </c>
      <c r="L261" s="40">
        <f t="shared" si="345"/>
        <v>0</v>
      </c>
      <c r="M261" s="26"/>
      <c r="N261" s="40">
        <f t="shared" ref="N261:O264" si="346">N30+N78+N145+N181+N212+N234+N256</f>
        <v>0</v>
      </c>
      <c r="O261" s="40">
        <f t="shared" si="346"/>
        <v>0</v>
      </c>
      <c r="P261" s="26"/>
      <c r="Q261" s="40">
        <f t="shared" ref="Q261:R264" si="347">Q30+Q78+Q145+Q181+Q212+Q234+Q256</f>
        <v>0</v>
      </c>
      <c r="R261" s="40">
        <f t="shared" si="347"/>
        <v>0</v>
      </c>
      <c r="S261" s="26"/>
      <c r="T261" s="40">
        <f t="shared" ref="T261:U264" si="348">T30+T78+T145+T181+T212+T234+T256</f>
        <v>0</v>
      </c>
      <c r="U261" s="40">
        <f t="shared" si="348"/>
        <v>0</v>
      </c>
      <c r="V261" s="26"/>
      <c r="W261" s="40">
        <f t="shared" ref="W261:X264" si="349">W30+W78+W145+W181+W212+W234+W256</f>
        <v>0</v>
      </c>
      <c r="X261" s="40">
        <f t="shared" si="349"/>
        <v>0</v>
      </c>
      <c r="Y261" s="26"/>
      <c r="Z261" s="40">
        <f t="shared" ref="Z261:AA264" si="350">Z30+Z78+Z145+Z181+Z212+Z234+Z256</f>
        <v>0</v>
      </c>
      <c r="AA261" s="40">
        <f t="shared" si="350"/>
        <v>0</v>
      </c>
      <c r="AB261" s="26"/>
      <c r="AC261" s="40">
        <f t="shared" ref="AC261:AD264" si="351">AC30+AC78+AC145+AC181+AC212+AC234+AC256</f>
        <v>0</v>
      </c>
      <c r="AD261" s="40">
        <f t="shared" si="351"/>
        <v>0</v>
      </c>
      <c r="AE261" s="26"/>
      <c r="AF261" s="40">
        <f t="shared" ref="AF261:AG264" si="352">AF30+AF78+AF145+AF181+AF212+AF234+AF256</f>
        <v>3210.8999999999996</v>
      </c>
      <c r="AG261" s="40">
        <f t="shared" si="352"/>
        <v>3210.8999999999996</v>
      </c>
      <c r="AH261" s="26"/>
      <c r="AI261" s="40">
        <f t="shared" ref="AI261:AJ264" si="353">AI30+AI78+AI145+AI181+AI212+AI234+AI256</f>
        <v>5084.6000000000004</v>
      </c>
      <c r="AJ261" s="40">
        <f t="shared" si="353"/>
        <v>4129.3</v>
      </c>
      <c r="AK261" s="40">
        <f t="shared" si="344"/>
        <v>173.28225469839663</v>
      </c>
      <c r="AL261" s="40">
        <f t="shared" ref="AL261:AM264" si="354">AL30+AL78+AL145+AL181+AL212+AL234+AL256</f>
        <v>3362</v>
      </c>
      <c r="AM261" s="40">
        <f t="shared" si="354"/>
        <v>3334.3999999999996</v>
      </c>
      <c r="AN261" s="26"/>
      <c r="AO261" s="40">
        <f t="shared" ref="AO261:AP263" si="355">AO30+AO78+AO145+AO181+AO212+AO234+AO256</f>
        <v>3408.8</v>
      </c>
      <c r="AP261" s="40">
        <f t="shared" si="355"/>
        <v>3315.2000000000003</v>
      </c>
      <c r="AQ261" s="26">
        <f>AP261/AO261*100</f>
        <v>97.254165688805443</v>
      </c>
      <c r="AR261" s="36"/>
      <c r="AS261" s="36"/>
      <c r="AT261" s="80">
        <f t="shared" si="275"/>
        <v>0.92854914610753803</v>
      </c>
      <c r="AU261" s="85">
        <f t="shared" si="301"/>
        <v>0</v>
      </c>
      <c r="AV261" s="85">
        <f t="shared" si="302"/>
        <v>0</v>
      </c>
      <c r="AW261" s="85">
        <f t="shared" si="303"/>
        <v>3210.8999999999996</v>
      </c>
      <c r="AX261" s="85">
        <f t="shared" si="304"/>
        <v>11855.400000000001</v>
      </c>
    </row>
    <row r="262" spans="1:50" ht="24.75" customHeight="1" x14ac:dyDescent="0.3">
      <c r="A262" s="163"/>
      <c r="B262" s="164"/>
      <c r="C262" s="165"/>
      <c r="D262" s="39" t="s">
        <v>4</v>
      </c>
      <c r="E262" s="40">
        <f t="shared" si="342"/>
        <v>1269583.2000000002</v>
      </c>
      <c r="F262" s="40">
        <f t="shared" si="342"/>
        <v>1258383.2132000001</v>
      </c>
      <c r="G262" s="26">
        <f>F262/E262*100</f>
        <v>99.117821754415147</v>
      </c>
      <c r="H262" s="40">
        <f>H31+H79+H146+H182+H213+H235+H257</f>
        <v>29104</v>
      </c>
      <c r="I262" s="40">
        <f>I31+I79+I146+I182+I213+I235+I257</f>
        <v>29076.1</v>
      </c>
      <c r="J262" s="26">
        <f>I262/H262*100</f>
        <v>99.904136888400217</v>
      </c>
      <c r="K262" s="40">
        <f t="shared" si="345"/>
        <v>97726</v>
      </c>
      <c r="L262" s="40">
        <f t="shared" si="345"/>
        <v>96358.000000000015</v>
      </c>
      <c r="M262" s="26">
        <f>L262/K262*100</f>
        <v>98.60016781613902</v>
      </c>
      <c r="N262" s="40">
        <f t="shared" si="346"/>
        <v>97204.5</v>
      </c>
      <c r="O262" s="40">
        <f t="shared" si="346"/>
        <v>96767.699600000007</v>
      </c>
      <c r="P262" s="26">
        <f>O262/N262*100</f>
        <v>99.550637676239276</v>
      </c>
      <c r="Q262" s="40">
        <f t="shared" si="347"/>
        <v>110448.70000000001</v>
      </c>
      <c r="R262" s="40">
        <f t="shared" si="347"/>
        <v>110096.29999999999</v>
      </c>
      <c r="S262" s="26">
        <f>R262/Q262*100</f>
        <v>99.680937847163406</v>
      </c>
      <c r="T262" s="40">
        <f t="shared" si="348"/>
        <v>146494.20000000001</v>
      </c>
      <c r="U262" s="40">
        <f t="shared" si="348"/>
        <v>170158.61360000001</v>
      </c>
      <c r="V262" s="26">
        <f>U262/T262*100</f>
        <v>116.15382288172501</v>
      </c>
      <c r="W262" s="40">
        <f t="shared" si="349"/>
        <v>193364</v>
      </c>
      <c r="X262" s="40">
        <f t="shared" si="349"/>
        <v>171910.1</v>
      </c>
      <c r="Y262" s="26">
        <f>X262/W262*100</f>
        <v>88.904915082435195</v>
      </c>
      <c r="Z262" s="40">
        <f t="shared" si="350"/>
        <v>98223.900000000009</v>
      </c>
      <c r="AA262" s="40">
        <f t="shared" si="350"/>
        <v>91046.3</v>
      </c>
      <c r="AB262" s="26">
        <f>AA262/Z262*100</f>
        <v>92.6926135085249</v>
      </c>
      <c r="AC262" s="40">
        <f t="shared" si="351"/>
        <v>51350.9</v>
      </c>
      <c r="AD262" s="40">
        <f t="shared" si="351"/>
        <v>54042.2</v>
      </c>
      <c r="AE262" s="26">
        <f>AD262/AC262*100</f>
        <v>105.24099869719907</v>
      </c>
      <c r="AF262" s="40">
        <f t="shared" si="352"/>
        <v>59419.600000000006</v>
      </c>
      <c r="AG262" s="40">
        <f t="shared" si="352"/>
        <v>62901.900000000016</v>
      </c>
      <c r="AH262" s="26">
        <f>AG262/AF262*100</f>
        <v>105.86052413681682</v>
      </c>
      <c r="AI262" s="40">
        <f t="shared" si="353"/>
        <v>129266.70000000001</v>
      </c>
      <c r="AJ262" s="40">
        <f t="shared" si="353"/>
        <v>100689</v>
      </c>
      <c r="AK262" s="26">
        <f>AJ262/AI262*100</f>
        <v>77.892450259811682</v>
      </c>
      <c r="AL262" s="40">
        <f t="shared" si="354"/>
        <v>100933.6</v>
      </c>
      <c r="AM262" s="40">
        <f t="shared" si="354"/>
        <v>97093.099999999991</v>
      </c>
      <c r="AN262" s="26">
        <f>AM262/AL262*100</f>
        <v>96.19502326281831</v>
      </c>
      <c r="AO262" s="40">
        <f t="shared" si="355"/>
        <v>156047.1</v>
      </c>
      <c r="AP262" s="40">
        <f t="shared" si="355"/>
        <v>178243.90000000002</v>
      </c>
      <c r="AQ262" s="26">
        <f>AP262/AO262*100</f>
        <v>114.22442326707771</v>
      </c>
      <c r="AR262" s="36"/>
      <c r="AS262" s="36"/>
      <c r="AT262" s="80">
        <f t="shared" si="275"/>
        <v>0.99117821754415147</v>
      </c>
      <c r="AU262" s="85">
        <f t="shared" si="301"/>
        <v>224034.5</v>
      </c>
      <c r="AV262" s="85">
        <f t="shared" si="302"/>
        <v>450306.9</v>
      </c>
      <c r="AW262" s="85">
        <f t="shared" si="303"/>
        <v>208994.40000000002</v>
      </c>
      <c r="AX262" s="85">
        <f t="shared" si="304"/>
        <v>386247.4</v>
      </c>
    </row>
    <row r="263" spans="1:50" ht="15.75" customHeight="1" x14ac:dyDescent="0.3">
      <c r="A263" s="163"/>
      <c r="B263" s="164"/>
      <c r="C263" s="165"/>
      <c r="D263" s="39" t="s">
        <v>44</v>
      </c>
      <c r="E263" s="40">
        <f t="shared" si="342"/>
        <v>379696.2</v>
      </c>
      <c r="F263" s="40">
        <f t="shared" si="342"/>
        <v>371509.1</v>
      </c>
      <c r="G263" s="26">
        <f t="shared" ref="G263" si="356">F263/E263*100</f>
        <v>97.843776155779267</v>
      </c>
      <c r="H263" s="40">
        <f>H32+H80+H147+H183+H214+H236+H258</f>
        <v>7372.3</v>
      </c>
      <c r="I263" s="40">
        <f>I32+I80+I147+I183+I214+I236+I258</f>
        <v>7038.8</v>
      </c>
      <c r="J263" s="26">
        <f t="shared" ref="J263" si="357">I263/H263*100</f>
        <v>95.476309971108066</v>
      </c>
      <c r="K263" s="40">
        <f t="shared" si="345"/>
        <v>33948.9</v>
      </c>
      <c r="L263" s="40">
        <f t="shared" si="345"/>
        <v>33972.199999999997</v>
      </c>
      <c r="M263" s="26">
        <f t="shared" ref="M263" si="358">L263/K263*100</f>
        <v>100.06863256246888</v>
      </c>
      <c r="N263" s="40">
        <f t="shared" si="346"/>
        <v>28262.2</v>
      </c>
      <c r="O263" s="40">
        <f t="shared" si="346"/>
        <v>28172.299999999996</v>
      </c>
      <c r="P263" s="26">
        <f t="shared" ref="P263" si="359">O263/N263*100</f>
        <v>99.681907282518679</v>
      </c>
      <c r="Q263" s="40">
        <f t="shared" si="347"/>
        <v>32810.800000000003</v>
      </c>
      <c r="R263" s="40">
        <f t="shared" si="347"/>
        <v>35064.700000000004</v>
      </c>
      <c r="S263" s="26">
        <f t="shared" ref="S263" si="360">R263/Q263*100</f>
        <v>106.86938447096688</v>
      </c>
      <c r="T263" s="40">
        <f t="shared" si="348"/>
        <v>27752.1</v>
      </c>
      <c r="U263" s="40">
        <f t="shared" si="348"/>
        <v>25693.099999999995</v>
      </c>
      <c r="V263" s="26">
        <f t="shared" ref="V263" si="361">U263/T263*100</f>
        <v>92.580741637569758</v>
      </c>
      <c r="W263" s="40">
        <f t="shared" si="349"/>
        <v>16614.8</v>
      </c>
      <c r="X263" s="40">
        <f t="shared" si="349"/>
        <v>14986.099999999999</v>
      </c>
      <c r="Y263" s="26">
        <f t="shared" ref="Y263" si="362">X263/W263*100</f>
        <v>90.19729397886222</v>
      </c>
      <c r="Z263" s="40">
        <f t="shared" si="350"/>
        <v>23803.4</v>
      </c>
      <c r="AA263" s="40">
        <f t="shared" si="350"/>
        <v>21256.799999999999</v>
      </c>
      <c r="AB263" s="26">
        <f t="shared" ref="AB263" si="363">AA263/Z263*100</f>
        <v>89.301528353092408</v>
      </c>
      <c r="AC263" s="40">
        <f t="shared" si="351"/>
        <v>62841.7</v>
      </c>
      <c r="AD263" s="40">
        <f t="shared" si="351"/>
        <v>17820.100000000002</v>
      </c>
      <c r="AE263" s="26">
        <f t="shared" ref="AE263" si="364">AD263/AC263*100</f>
        <v>28.357125921163817</v>
      </c>
      <c r="AF263" s="40">
        <f t="shared" si="352"/>
        <v>37339.9</v>
      </c>
      <c r="AG263" s="40">
        <f t="shared" si="352"/>
        <v>29731.899999999994</v>
      </c>
      <c r="AH263" s="26">
        <f t="shared" ref="AH263" si="365">AG263/AF263*100</f>
        <v>79.625012386214195</v>
      </c>
      <c r="AI263" s="40">
        <f t="shared" si="353"/>
        <v>45510.000000000007</v>
      </c>
      <c r="AJ263" s="40">
        <f t="shared" si="353"/>
        <v>43411.900000000009</v>
      </c>
      <c r="AK263" s="26">
        <f t="shared" ref="AK263" si="366">AJ263/AI263*100</f>
        <v>95.389804438584932</v>
      </c>
      <c r="AL263" s="40">
        <f t="shared" si="354"/>
        <v>25853.1</v>
      </c>
      <c r="AM263" s="40">
        <f t="shared" si="354"/>
        <v>65083.1</v>
      </c>
      <c r="AN263" s="26">
        <f t="shared" ref="AN263" si="367">AM263/AL263*100</f>
        <v>251.741957444175</v>
      </c>
      <c r="AO263" s="40">
        <f t="shared" si="355"/>
        <v>37586.999999999993</v>
      </c>
      <c r="AP263" s="40">
        <f t="shared" si="355"/>
        <v>49278.100000000006</v>
      </c>
      <c r="AQ263" s="26">
        <f t="shared" ref="AQ263" si="368">AP263/AO263*100</f>
        <v>131.10410514273556</v>
      </c>
      <c r="AR263" s="36"/>
      <c r="AS263" s="36"/>
      <c r="AT263" s="80">
        <f t="shared" si="275"/>
        <v>0.97843776155779272</v>
      </c>
      <c r="AU263" s="85">
        <f t="shared" si="301"/>
        <v>69583.400000000009</v>
      </c>
      <c r="AV263" s="85">
        <f t="shared" si="302"/>
        <v>77177.7</v>
      </c>
      <c r="AW263" s="85">
        <f t="shared" si="303"/>
        <v>123985</v>
      </c>
      <c r="AX263" s="85">
        <f t="shared" si="304"/>
        <v>108950.1</v>
      </c>
    </row>
    <row r="264" spans="1:50" ht="14.25" customHeight="1" x14ac:dyDescent="0.3">
      <c r="A264" s="163"/>
      <c r="B264" s="164"/>
      <c r="C264" s="165"/>
      <c r="D264" s="39" t="s">
        <v>23</v>
      </c>
      <c r="E264" s="40">
        <f t="shared" si="342"/>
        <v>0</v>
      </c>
      <c r="F264" s="40">
        <f t="shared" si="342"/>
        <v>0</v>
      </c>
      <c r="G264" s="26"/>
      <c r="H264" s="40">
        <f>H33+H81+H148+H184+H215+H237+H259</f>
        <v>0</v>
      </c>
      <c r="I264" s="40"/>
      <c r="J264" s="26"/>
      <c r="K264" s="40">
        <f t="shared" si="345"/>
        <v>0</v>
      </c>
      <c r="L264" s="40">
        <f t="shared" si="345"/>
        <v>0</v>
      </c>
      <c r="M264" s="26"/>
      <c r="N264" s="40">
        <f t="shared" si="346"/>
        <v>0</v>
      </c>
      <c r="O264" s="40">
        <f t="shared" si="346"/>
        <v>0</v>
      </c>
      <c r="P264" s="26"/>
      <c r="Q264" s="40">
        <f t="shared" si="347"/>
        <v>0</v>
      </c>
      <c r="R264" s="40">
        <f t="shared" si="347"/>
        <v>0</v>
      </c>
      <c r="S264" s="26"/>
      <c r="T264" s="40">
        <f t="shared" si="348"/>
        <v>0</v>
      </c>
      <c r="U264" s="40">
        <f t="shared" si="348"/>
        <v>0</v>
      </c>
      <c r="V264" s="26"/>
      <c r="W264" s="40">
        <f t="shared" si="349"/>
        <v>0</v>
      </c>
      <c r="X264" s="40">
        <f t="shared" si="349"/>
        <v>0</v>
      </c>
      <c r="Y264" s="26"/>
      <c r="Z264" s="40">
        <f t="shared" si="350"/>
        <v>0</v>
      </c>
      <c r="AA264" s="40">
        <f t="shared" si="350"/>
        <v>0</v>
      </c>
      <c r="AB264" s="26"/>
      <c r="AC264" s="40">
        <f t="shared" si="351"/>
        <v>0</v>
      </c>
      <c r="AD264" s="40">
        <f t="shared" si="351"/>
        <v>0</v>
      </c>
      <c r="AE264" s="26"/>
      <c r="AF264" s="40">
        <f t="shared" si="352"/>
        <v>0</v>
      </c>
      <c r="AG264" s="40">
        <f t="shared" si="352"/>
        <v>0</v>
      </c>
      <c r="AH264" s="26"/>
      <c r="AI264" s="40">
        <f t="shared" si="353"/>
        <v>0</v>
      </c>
      <c r="AJ264" s="40">
        <f t="shared" si="353"/>
        <v>0</v>
      </c>
      <c r="AK264" s="26"/>
      <c r="AL264" s="40">
        <f t="shared" si="354"/>
        <v>0</v>
      </c>
      <c r="AM264" s="40">
        <f t="shared" si="354"/>
        <v>0</v>
      </c>
      <c r="AN264" s="26"/>
      <c r="AO264" s="40">
        <f>AO33+AO81+AO148+AO184+AO215+AO237+AO259</f>
        <v>0</v>
      </c>
      <c r="AP264" s="45"/>
      <c r="AQ264" s="26"/>
      <c r="AR264" s="36"/>
      <c r="AS264" s="36"/>
      <c r="AT264" s="80"/>
      <c r="AU264" s="84">
        <f t="shared" si="301"/>
        <v>0</v>
      </c>
      <c r="AV264" s="84">
        <f t="shared" si="302"/>
        <v>0</v>
      </c>
      <c r="AW264" s="84">
        <f t="shared" si="303"/>
        <v>0</v>
      </c>
      <c r="AX264" s="84">
        <f t="shared" si="304"/>
        <v>0</v>
      </c>
    </row>
    <row r="265" spans="1:50" ht="14.25" customHeight="1" x14ac:dyDescent="0.3">
      <c r="A265" s="166"/>
      <c r="B265" s="167"/>
      <c r="C265" s="168"/>
      <c r="D265" s="39" t="s">
        <v>131</v>
      </c>
      <c r="E265" s="40"/>
      <c r="F265" s="40">
        <f t="shared" si="342"/>
        <v>9421.6</v>
      </c>
      <c r="G265" s="26"/>
      <c r="H265" s="40"/>
      <c r="I265" s="40"/>
      <c r="J265" s="26"/>
      <c r="K265" s="40"/>
      <c r="L265" s="40"/>
      <c r="M265" s="26"/>
      <c r="N265" s="40"/>
      <c r="O265" s="40">
        <f>O82+O238</f>
        <v>4439.2</v>
      </c>
      <c r="P265" s="26"/>
      <c r="Q265" s="40"/>
      <c r="R265" s="40">
        <f>R82+R238</f>
        <v>24</v>
      </c>
      <c r="S265" s="26"/>
      <c r="T265" s="40"/>
      <c r="U265" s="40">
        <f>U82+U238</f>
        <v>0</v>
      </c>
      <c r="V265" s="26"/>
      <c r="W265" s="40"/>
      <c r="X265" s="40">
        <f>X82+X238</f>
        <v>0</v>
      </c>
      <c r="Y265" s="26"/>
      <c r="Z265" s="40"/>
      <c r="AA265" s="40">
        <f>AA82+AA238</f>
        <v>0</v>
      </c>
      <c r="AB265" s="26"/>
      <c r="AC265" s="40"/>
      <c r="AD265" s="40">
        <f>AD82+AD238</f>
        <v>0</v>
      </c>
      <c r="AE265" s="26"/>
      <c r="AF265" s="40"/>
      <c r="AG265" s="40">
        <f>AG82+AG238</f>
        <v>1949.4</v>
      </c>
      <c r="AH265" s="26"/>
      <c r="AI265" s="40"/>
      <c r="AJ265" s="40">
        <f>AJ82+AJ238</f>
        <v>3009</v>
      </c>
      <c r="AK265" s="26"/>
      <c r="AL265" s="40"/>
      <c r="AM265" s="40">
        <f>AM82+AM238</f>
        <v>0</v>
      </c>
      <c r="AN265" s="26"/>
      <c r="AO265" s="40"/>
      <c r="AP265" s="40">
        <f>AP82+AP238</f>
        <v>0</v>
      </c>
      <c r="AQ265" s="26"/>
      <c r="AR265" s="36"/>
      <c r="AS265" s="36"/>
      <c r="AT265" s="80"/>
      <c r="AU265" s="84"/>
      <c r="AV265" s="84"/>
      <c r="AW265" s="84"/>
      <c r="AX265" s="84"/>
    </row>
    <row r="266" spans="1:50" ht="14.25" customHeight="1" x14ac:dyDescent="0.3">
      <c r="A266" s="160" t="s">
        <v>120</v>
      </c>
      <c r="B266" s="161"/>
      <c r="C266" s="162"/>
      <c r="D266" s="39" t="s">
        <v>3</v>
      </c>
      <c r="E266" s="40">
        <f>H266+K266+N266+Q266+T266+W266+Z266+AC266+AF266+AI266+AL266+AO266</f>
        <v>75152.5</v>
      </c>
      <c r="F266" s="40">
        <f t="shared" si="342"/>
        <v>72477.699999999983</v>
      </c>
      <c r="G266" s="26">
        <f>F266/E266*100</f>
        <v>96.440836964838141</v>
      </c>
      <c r="H266" s="40">
        <f>H267+H268+H269+H270</f>
        <v>0</v>
      </c>
      <c r="I266" s="40">
        <f>I267+I268+I269+I270</f>
        <v>0</v>
      </c>
      <c r="J266" s="26"/>
      <c r="K266" s="40">
        <f>K267+K268+K269+K270</f>
        <v>0</v>
      </c>
      <c r="L266" s="40">
        <f>L267+L268+L269+L270</f>
        <v>0</v>
      </c>
      <c r="M266" s="26"/>
      <c r="N266" s="40">
        <f>N267+N268+N269+N270</f>
        <v>46.3</v>
      </c>
      <c r="O266" s="40">
        <f>O267+O268+O269+O270</f>
        <v>0</v>
      </c>
      <c r="P266" s="26"/>
      <c r="Q266" s="40">
        <f>Q267+Q268+Q269+Q270</f>
        <v>0</v>
      </c>
      <c r="R266" s="40">
        <f>R267+R268+R269+R270</f>
        <v>46.3</v>
      </c>
      <c r="S266" s="26"/>
      <c r="T266" s="40">
        <f>T267+T268+T269+T270</f>
        <v>0</v>
      </c>
      <c r="U266" s="40">
        <f>U267+U268+U269+U270</f>
        <v>0</v>
      </c>
      <c r="V266" s="26"/>
      <c r="W266" s="40">
        <f>W267+W268+W269+W270</f>
        <v>0</v>
      </c>
      <c r="X266" s="40">
        <f>X267+X268+X269+X270</f>
        <v>0</v>
      </c>
      <c r="Y266" s="26"/>
      <c r="Z266" s="40">
        <f>Z267+Z268+Z269+Z270</f>
        <v>0</v>
      </c>
      <c r="AA266" s="40">
        <f>AA267+AA268+AA269+AA270</f>
        <v>0</v>
      </c>
      <c r="AB266" s="26"/>
      <c r="AC266" s="40">
        <f>AC267+AC268+AC269+AC270</f>
        <v>41796.300000000003</v>
      </c>
      <c r="AD266" s="40">
        <f>AD267+AD268+AD269+AD270</f>
        <v>0</v>
      </c>
      <c r="AE266" s="26">
        <f>AD266/AC266*100</f>
        <v>0</v>
      </c>
      <c r="AF266" s="40">
        <f>AF267+AF268+AF269+AF270</f>
        <v>28708.9</v>
      </c>
      <c r="AG266" s="40">
        <f>AG267+AG268+AG269+AG270</f>
        <v>16490.099999999999</v>
      </c>
      <c r="AH266" s="26"/>
      <c r="AI266" s="40">
        <f>AI267+AI268+AI269+AI270</f>
        <v>3362.6000000000004</v>
      </c>
      <c r="AJ266" s="40">
        <f>AJ267+AJ268+AJ269+AJ270</f>
        <v>10161.4</v>
      </c>
      <c r="AK266" s="26">
        <f>AJ266/AI266*100</f>
        <v>302.18878248974005</v>
      </c>
      <c r="AL266" s="40">
        <f>AL267+AL268+AL269+AL270</f>
        <v>0</v>
      </c>
      <c r="AM266" s="40">
        <f>AM267+AM268+AM269+AM270</f>
        <v>40859.5</v>
      </c>
      <c r="AN266" s="26"/>
      <c r="AO266" s="40">
        <f>AO267+AO268+AO269+AO270</f>
        <v>1238.4000000000001</v>
      </c>
      <c r="AP266" s="50">
        <f>AP267+AP268+AP269+AP270</f>
        <v>4920.3999999999996</v>
      </c>
      <c r="AQ266" s="26">
        <f>AP266/AO266*100</f>
        <v>397.31912144702835</v>
      </c>
      <c r="AR266" s="36"/>
      <c r="AS266" s="36"/>
      <c r="AT266" s="80">
        <f t="shared" ref="AT266:AT294" si="369">(I266+L266+O266+R266+U266+X266+AA266+AD266+AG266+AJ266+AM266+AP266)/(H266+K266+N266+Q266+T266+W266+Z266+AC266+AF266+AI266+AL266+AO266)</f>
        <v>0.96440836964838139</v>
      </c>
      <c r="AU266" s="84">
        <f t="shared" si="301"/>
        <v>46.3</v>
      </c>
      <c r="AV266" s="84">
        <f t="shared" si="302"/>
        <v>0</v>
      </c>
      <c r="AW266" s="84">
        <f t="shared" si="303"/>
        <v>70505.200000000012</v>
      </c>
      <c r="AX266" s="84">
        <f t="shared" si="304"/>
        <v>4601</v>
      </c>
    </row>
    <row r="267" spans="1:50" ht="14.25" customHeight="1" x14ac:dyDescent="0.3">
      <c r="A267" s="163"/>
      <c r="B267" s="164"/>
      <c r="C267" s="165"/>
      <c r="D267" s="39" t="s">
        <v>22</v>
      </c>
      <c r="E267" s="40">
        <f t="shared" ref="E267:E270" si="370">H267+K267+N267+Q267+T267+W267+Z267+AC267+AF267+AI267+AL267+AO267</f>
        <v>0</v>
      </c>
      <c r="F267" s="40">
        <f t="shared" si="342"/>
        <v>0</v>
      </c>
      <c r="G267" s="26"/>
      <c r="H267" s="40">
        <f t="shared" ref="H267:I270" si="371">H41+H47</f>
        <v>0</v>
      </c>
      <c r="I267" s="40">
        <f t="shared" si="371"/>
        <v>0</v>
      </c>
      <c r="J267" s="26"/>
      <c r="K267" s="40">
        <f t="shared" ref="K267:L270" si="372">K41+K47</f>
        <v>0</v>
      </c>
      <c r="L267" s="40">
        <f t="shared" si="372"/>
        <v>0</v>
      </c>
      <c r="M267" s="26"/>
      <c r="N267" s="40">
        <f t="shared" ref="N267:O270" si="373">N41+N47</f>
        <v>0</v>
      </c>
      <c r="O267" s="40">
        <f t="shared" si="373"/>
        <v>0</v>
      </c>
      <c r="P267" s="26"/>
      <c r="Q267" s="40">
        <f t="shared" ref="Q267:R270" si="374">Q41+Q47</f>
        <v>0</v>
      </c>
      <c r="R267" s="40">
        <f t="shared" si="374"/>
        <v>0</v>
      </c>
      <c r="S267" s="26"/>
      <c r="T267" s="40">
        <f t="shared" ref="T267:U270" si="375">T41+T47</f>
        <v>0</v>
      </c>
      <c r="U267" s="40">
        <f t="shared" si="375"/>
        <v>0</v>
      </c>
      <c r="V267" s="26"/>
      <c r="W267" s="40">
        <f t="shared" ref="W267:X270" si="376">W41+W47</f>
        <v>0</v>
      </c>
      <c r="X267" s="40">
        <f t="shared" si="376"/>
        <v>0</v>
      </c>
      <c r="Y267" s="26"/>
      <c r="Z267" s="40">
        <f t="shared" ref="Z267:AA270" si="377">Z41+Z47</f>
        <v>0</v>
      </c>
      <c r="AA267" s="40">
        <f t="shared" si="377"/>
        <v>0</v>
      </c>
      <c r="AB267" s="26"/>
      <c r="AC267" s="40">
        <f t="shared" ref="AC267:AD270" si="378">AC41+AC47</f>
        <v>0</v>
      </c>
      <c r="AD267" s="40">
        <f t="shared" si="378"/>
        <v>0</v>
      </c>
      <c r="AE267" s="26"/>
      <c r="AF267" s="40">
        <f t="shared" ref="AF267:AG270" si="379">AF41+AF47</f>
        <v>0</v>
      </c>
      <c r="AG267" s="40">
        <f t="shared" si="379"/>
        <v>0</v>
      </c>
      <c r="AH267" s="26"/>
      <c r="AI267" s="40">
        <f t="shared" ref="AI267:AJ270" si="380">AI41+AI47</f>
        <v>0</v>
      </c>
      <c r="AJ267" s="40">
        <f t="shared" si="380"/>
        <v>0</v>
      </c>
      <c r="AK267" s="26"/>
      <c r="AL267" s="40">
        <f t="shared" ref="AL267:AM270" si="381">AL41+AL47</f>
        <v>0</v>
      </c>
      <c r="AM267" s="40">
        <f t="shared" si="381"/>
        <v>0</v>
      </c>
      <c r="AN267" s="26"/>
      <c r="AO267" s="40">
        <f t="shared" ref="AO267:AP270" si="382">AO41+AO47</f>
        <v>0</v>
      </c>
      <c r="AP267" s="50">
        <f t="shared" si="382"/>
        <v>0</v>
      </c>
      <c r="AQ267" s="26"/>
      <c r="AR267" s="36"/>
      <c r="AS267" s="36"/>
      <c r="AT267" s="80"/>
      <c r="AU267" s="84">
        <f t="shared" si="301"/>
        <v>0</v>
      </c>
      <c r="AV267" s="84">
        <f t="shared" si="302"/>
        <v>0</v>
      </c>
      <c r="AW267" s="84">
        <f t="shared" si="303"/>
        <v>0</v>
      </c>
      <c r="AX267" s="84">
        <f t="shared" si="304"/>
        <v>0</v>
      </c>
    </row>
    <row r="268" spans="1:50" ht="24" customHeight="1" x14ac:dyDescent="0.3">
      <c r="A268" s="163"/>
      <c r="B268" s="164"/>
      <c r="C268" s="165"/>
      <c r="D268" s="39" t="s">
        <v>4</v>
      </c>
      <c r="E268" s="40">
        <f t="shared" si="370"/>
        <v>0</v>
      </c>
      <c r="F268" s="40">
        <f t="shared" si="342"/>
        <v>0</v>
      </c>
      <c r="G268" s="26"/>
      <c r="H268" s="40">
        <f t="shared" si="371"/>
        <v>0</v>
      </c>
      <c r="I268" s="40">
        <f t="shared" si="371"/>
        <v>0</v>
      </c>
      <c r="J268" s="26"/>
      <c r="K268" s="40">
        <f t="shared" si="372"/>
        <v>0</v>
      </c>
      <c r="L268" s="40">
        <f t="shared" si="372"/>
        <v>0</v>
      </c>
      <c r="M268" s="26"/>
      <c r="N268" s="40">
        <f t="shared" si="373"/>
        <v>0</v>
      </c>
      <c r="O268" s="40">
        <f t="shared" si="373"/>
        <v>0</v>
      </c>
      <c r="P268" s="26"/>
      <c r="Q268" s="40">
        <f t="shared" si="374"/>
        <v>0</v>
      </c>
      <c r="R268" s="40">
        <f t="shared" si="374"/>
        <v>0</v>
      </c>
      <c r="S268" s="26"/>
      <c r="T268" s="40">
        <f t="shared" si="375"/>
        <v>0</v>
      </c>
      <c r="U268" s="40">
        <f t="shared" si="375"/>
        <v>0</v>
      </c>
      <c r="V268" s="26"/>
      <c r="W268" s="40">
        <f t="shared" si="376"/>
        <v>0</v>
      </c>
      <c r="X268" s="40">
        <f t="shared" si="376"/>
        <v>0</v>
      </c>
      <c r="Y268" s="26"/>
      <c r="Z268" s="40">
        <f t="shared" si="377"/>
        <v>0</v>
      </c>
      <c r="AA268" s="40">
        <f t="shared" si="377"/>
        <v>0</v>
      </c>
      <c r="AB268" s="26"/>
      <c r="AC268" s="40">
        <f t="shared" si="378"/>
        <v>0</v>
      </c>
      <c r="AD268" s="40">
        <f t="shared" si="378"/>
        <v>0</v>
      </c>
      <c r="AE268" s="26"/>
      <c r="AF268" s="40">
        <f t="shared" si="379"/>
        <v>0</v>
      </c>
      <c r="AG268" s="40">
        <f t="shared" si="379"/>
        <v>0</v>
      </c>
      <c r="AH268" s="26"/>
      <c r="AI268" s="40">
        <f t="shared" si="380"/>
        <v>0</v>
      </c>
      <c r="AJ268" s="40">
        <f t="shared" si="380"/>
        <v>0</v>
      </c>
      <c r="AK268" s="26"/>
      <c r="AL268" s="40">
        <f t="shared" si="381"/>
        <v>0</v>
      </c>
      <c r="AM268" s="40">
        <f t="shared" si="381"/>
        <v>0</v>
      </c>
      <c r="AN268" s="26"/>
      <c r="AO268" s="40">
        <f t="shared" si="382"/>
        <v>0</v>
      </c>
      <c r="AP268" s="50">
        <f t="shared" si="382"/>
        <v>0</v>
      </c>
      <c r="AQ268" s="26"/>
      <c r="AR268" s="36"/>
      <c r="AS268" s="36"/>
      <c r="AT268" s="80"/>
      <c r="AU268" s="84">
        <f t="shared" si="301"/>
        <v>0</v>
      </c>
      <c r="AV268" s="84">
        <f t="shared" si="302"/>
        <v>0</v>
      </c>
      <c r="AW268" s="84">
        <f t="shared" si="303"/>
        <v>0</v>
      </c>
      <c r="AX268" s="84">
        <f t="shared" si="304"/>
        <v>0</v>
      </c>
    </row>
    <row r="269" spans="1:50" ht="13.5" customHeight="1" x14ac:dyDescent="0.3">
      <c r="A269" s="163"/>
      <c r="B269" s="164"/>
      <c r="C269" s="165"/>
      <c r="D269" s="39" t="s">
        <v>44</v>
      </c>
      <c r="E269" s="40">
        <f t="shared" si="370"/>
        <v>75152.5</v>
      </c>
      <c r="F269" s="40">
        <f t="shared" si="342"/>
        <v>72477.699999999983</v>
      </c>
      <c r="G269" s="26">
        <f t="shared" ref="G269" si="383">F269/E269*100</f>
        <v>96.440836964838141</v>
      </c>
      <c r="H269" s="40">
        <f t="shared" si="371"/>
        <v>0</v>
      </c>
      <c r="I269" s="40">
        <f t="shared" si="371"/>
        <v>0</v>
      </c>
      <c r="J269" s="26"/>
      <c r="K269" s="40">
        <f t="shared" si="372"/>
        <v>0</v>
      </c>
      <c r="L269" s="40">
        <f t="shared" si="372"/>
        <v>0</v>
      </c>
      <c r="M269" s="26"/>
      <c r="N269" s="40">
        <f t="shared" si="373"/>
        <v>46.3</v>
      </c>
      <c r="O269" s="40">
        <f t="shared" si="373"/>
        <v>0</v>
      </c>
      <c r="P269" s="26"/>
      <c r="Q269" s="40">
        <f t="shared" si="374"/>
        <v>0</v>
      </c>
      <c r="R269" s="40">
        <f t="shared" si="374"/>
        <v>46.3</v>
      </c>
      <c r="S269" s="26"/>
      <c r="T269" s="40">
        <f t="shared" si="375"/>
        <v>0</v>
      </c>
      <c r="U269" s="40">
        <f t="shared" si="375"/>
        <v>0</v>
      </c>
      <c r="V269" s="26"/>
      <c r="W269" s="40">
        <f t="shared" si="376"/>
        <v>0</v>
      </c>
      <c r="X269" s="40">
        <f t="shared" si="376"/>
        <v>0</v>
      </c>
      <c r="Y269" s="26"/>
      <c r="Z269" s="40">
        <f t="shared" si="377"/>
        <v>0</v>
      </c>
      <c r="AA269" s="40">
        <f t="shared" si="377"/>
        <v>0</v>
      </c>
      <c r="AB269" s="26"/>
      <c r="AC269" s="40">
        <f t="shared" si="378"/>
        <v>41796.300000000003</v>
      </c>
      <c r="AD269" s="40">
        <f t="shared" si="378"/>
        <v>0</v>
      </c>
      <c r="AE269" s="26">
        <f t="shared" ref="AE269" si="384">AD269/AC269*100</f>
        <v>0</v>
      </c>
      <c r="AF269" s="40">
        <f t="shared" si="379"/>
        <v>28708.9</v>
      </c>
      <c r="AG269" s="40">
        <f t="shared" si="379"/>
        <v>16490.099999999999</v>
      </c>
      <c r="AH269" s="26"/>
      <c r="AI269" s="40">
        <f t="shared" si="380"/>
        <v>3362.6000000000004</v>
      </c>
      <c r="AJ269" s="40">
        <f t="shared" si="380"/>
        <v>10161.4</v>
      </c>
      <c r="AK269" s="26">
        <f t="shared" ref="AK269" si="385">AJ269/AI269*100</f>
        <v>302.18878248974005</v>
      </c>
      <c r="AL269" s="40">
        <f t="shared" si="381"/>
        <v>0</v>
      </c>
      <c r="AM269" s="40">
        <f t="shared" si="381"/>
        <v>40859.5</v>
      </c>
      <c r="AN269" s="26"/>
      <c r="AO269" s="40">
        <f t="shared" si="382"/>
        <v>1238.4000000000001</v>
      </c>
      <c r="AP269" s="50">
        <f t="shared" si="382"/>
        <v>4920.3999999999996</v>
      </c>
      <c r="AQ269" s="26">
        <f t="shared" ref="AQ269" si="386">AP269/AO269*100</f>
        <v>397.31912144702835</v>
      </c>
      <c r="AR269" s="36"/>
      <c r="AS269" s="36"/>
      <c r="AT269" s="80">
        <f t="shared" si="369"/>
        <v>0.96440836964838139</v>
      </c>
      <c r="AU269" s="84">
        <f t="shared" si="301"/>
        <v>46.3</v>
      </c>
      <c r="AV269" s="84">
        <f t="shared" si="302"/>
        <v>0</v>
      </c>
      <c r="AW269" s="84">
        <f t="shared" si="303"/>
        <v>70505.200000000012</v>
      </c>
      <c r="AX269" s="84">
        <f t="shared" si="304"/>
        <v>4601</v>
      </c>
    </row>
    <row r="270" spans="1:50" ht="15.6" x14ac:dyDescent="0.3">
      <c r="A270" s="163"/>
      <c r="B270" s="164"/>
      <c r="C270" s="165"/>
      <c r="D270" s="39" t="s">
        <v>23</v>
      </c>
      <c r="E270" s="40">
        <f t="shared" si="370"/>
        <v>0</v>
      </c>
      <c r="F270" s="40">
        <f t="shared" si="342"/>
        <v>0</v>
      </c>
      <c r="G270" s="26"/>
      <c r="H270" s="40">
        <f t="shared" si="371"/>
        <v>0</v>
      </c>
      <c r="I270" s="40">
        <f t="shared" si="371"/>
        <v>0</v>
      </c>
      <c r="J270" s="26"/>
      <c r="K270" s="40">
        <f t="shared" si="372"/>
        <v>0</v>
      </c>
      <c r="L270" s="40">
        <f t="shared" si="372"/>
        <v>0</v>
      </c>
      <c r="M270" s="26"/>
      <c r="N270" s="40">
        <f t="shared" si="373"/>
        <v>0</v>
      </c>
      <c r="O270" s="40">
        <f t="shared" si="373"/>
        <v>0</v>
      </c>
      <c r="P270" s="26"/>
      <c r="Q270" s="40">
        <f t="shared" si="374"/>
        <v>0</v>
      </c>
      <c r="R270" s="40">
        <f t="shared" si="374"/>
        <v>0</v>
      </c>
      <c r="S270" s="26"/>
      <c r="T270" s="40">
        <f t="shared" si="375"/>
        <v>0</v>
      </c>
      <c r="U270" s="40">
        <f t="shared" si="375"/>
        <v>0</v>
      </c>
      <c r="V270" s="26"/>
      <c r="W270" s="40">
        <f t="shared" si="376"/>
        <v>0</v>
      </c>
      <c r="X270" s="40">
        <f t="shared" si="376"/>
        <v>0</v>
      </c>
      <c r="Y270" s="26"/>
      <c r="Z270" s="40">
        <f t="shared" si="377"/>
        <v>0</v>
      </c>
      <c r="AA270" s="40">
        <f t="shared" si="377"/>
        <v>0</v>
      </c>
      <c r="AB270" s="26"/>
      <c r="AC270" s="40">
        <f t="shared" si="378"/>
        <v>0</v>
      </c>
      <c r="AD270" s="40">
        <f t="shared" si="378"/>
        <v>0</v>
      </c>
      <c r="AE270" s="26"/>
      <c r="AF270" s="40">
        <f t="shared" si="379"/>
        <v>0</v>
      </c>
      <c r="AG270" s="40">
        <f t="shared" si="379"/>
        <v>0</v>
      </c>
      <c r="AH270" s="26"/>
      <c r="AI270" s="40">
        <f t="shared" si="380"/>
        <v>0</v>
      </c>
      <c r="AJ270" s="40">
        <f t="shared" si="380"/>
        <v>0</v>
      </c>
      <c r="AK270" s="26"/>
      <c r="AL270" s="40">
        <f t="shared" si="381"/>
        <v>0</v>
      </c>
      <c r="AM270" s="40">
        <f t="shared" si="381"/>
        <v>0</v>
      </c>
      <c r="AN270" s="26"/>
      <c r="AO270" s="40">
        <f t="shared" si="382"/>
        <v>0</v>
      </c>
      <c r="AP270" s="50">
        <f t="shared" si="382"/>
        <v>0</v>
      </c>
      <c r="AQ270" s="26"/>
      <c r="AR270" s="36"/>
      <c r="AS270" s="36"/>
      <c r="AT270" s="80"/>
      <c r="AU270" s="84">
        <f t="shared" si="301"/>
        <v>0</v>
      </c>
      <c r="AV270" s="84">
        <f t="shared" si="302"/>
        <v>0</v>
      </c>
      <c r="AW270" s="84">
        <f t="shared" si="303"/>
        <v>0</v>
      </c>
      <c r="AX270" s="84">
        <f t="shared" si="304"/>
        <v>0</v>
      </c>
    </row>
    <row r="271" spans="1:50" ht="14.25" customHeight="1" x14ac:dyDescent="0.3">
      <c r="A271" s="166"/>
      <c r="B271" s="167"/>
      <c r="C271" s="168"/>
      <c r="D271" s="39" t="s">
        <v>131</v>
      </c>
      <c r="E271" s="40"/>
      <c r="F271" s="40">
        <f t="shared" si="342"/>
        <v>6372.6</v>
      </c>
      <c r="G271" s="26"/>
      <c r="H271" s="40"/>
      <c r="I271" s="40"/>
      <c r="J271" s="26"/>
      <c r="K271" s="40"/>
      <c r="L271" s="40"/>
      <c r="M271" s="26"/>
      <c r="N271" s="40"/>
      <c r="O271" s="40">
        <f>O45</f>
        <v>4399.2</v>
      </c>
      <c r="P271" s="26"/>
      <c r="Q271" s="40"/>
      <c r="R271" s="40">
        <f>R45</f>
        <v>24</v>
      </c>
      <c r="S271" s="26"/>
      <c r="T271" s="40"/>
      <c r="U271" s="40"/>
      <c r="V271" s="26"/>
      <c r="W271" s="40"/>
      <c r="X271" s="40"/>
      <c r="Y271" s="26"/>
      <c r="Z271" s="40"/>
      <c r="AA271" s="40"/>
      <c r="AB271" s="26"/>
      <c r="AC271" s="40"/>
      <c r="AD271" s="40"/>
      <c r="AE271" s="26"/>
      <c r="AF271" s="40"/>
      <c r="AG271" s="40">
        <f>AG45</f>
        <v>1949.4</v>
      </c>
      <c r="AH271" s="26"/>
      <c r="AI271" s="40"/>
      <c r="AJ271" s="40"/>
      <c r="AK271" s="26"/>
      <c r="AL271" s="40"/>
      <c r="AM271" s="40"/>
      <c r="AN271" s="26"/>
      <c r="AO271" s="40"/>
      <c r="AP271" s="50"/>
      <c r="AQ271" s="26"/>
      <c r="AR271" s="36"/>
      <c r="AS271" s="36"/>
      <c r="AT271" s="80"/>
      <c r="AU271" s="84"/>
      <c r="AV271" s="84"/>
      <c r="AW271" s="84"/>
      <c r="AX271" s="84"/>
    </row>
    <row r="272" spans="1:50" ht="15.6" customHeight="1" x14ac:dyDescent="0.3">
      <c r="A272" s="160" t="s">
        <v>121</v>
      </c>
      <c r="B272" s="161"/>
      <c r="C272" s="162"/>
      <c r="D272" s="39" t="s">
        <v>3</v>
      </c>
      <c r="E272" s="40">
        <f>H272+K272+N272+Q272+T272+W272+Z272+AC272+AF272+AI272+AL272+AO272</f>
        <v>1589193.2</v>
      </c>
      <c r="F272" s="40">
        <f t="shared" si="342"/>
        <v>1571404.4132000001</v>
      </c>
      <c r="G272" s="26">
        <f>F272/E272*100</f>
        <v>98.880640390356575</v>
      </c>
      <c r="H272" s="40">
        <f>H273+H274+H275+H276</f>
        <v>36476.300000000003</v>
      </c>
      <c r="I272" s="40">
        <f>I273+I274+I275+I276</f>
        <v>36114.9</v>
      </c>
      <c r="J272" s="26">
        <f>I272/H272*100</f>
        <v>99.009219685110608</v>
      </c>
      <c r="K272" s="40">
        <f>K273+K274+K275+K276</f>
        <v>131674.9</v>
      </c>
      <c r="L272" s="40">
        <f>L273+L274+L275+L276</f>
        <v>130330.20000000001</v>
      </c>
      <c r="M272" s="26">
        <f>L272/K272*100</f>
        <v>98.978772719781844</v>
      </c>
      <c r="N272" s="40">
        <f>N273+N274+N275+N276</f>
        <v>125420.4</v>
      </c>
      <c r="O272" s="40">
        <f>O273+O274+O275+O276</f>
        <v>124939.99960000001</v>
      </c>
      <c r="P272" s="26">
        <f>O272/N272*100</f>
        <v>99.616967893580323</v>
      </c>
      <c r="Q272" s="40">
        <f>Q273+Q274+Q275+Q276</f>
        <v>143259.5</v>
      </c>
      <c r="R272" s="40">
        <f>R273+R274+R275+R276</f>
        <v>145114.69999999998</v>
      </c>
      <c r="S272" s="26">
        <f>R272/Q272*100</f>
        <v>101.29499265319227</v>
      </c>
      <c r="T272" s="40">
        <f>T273+T274+T275+T276</f>
        <v>174246.30000000002</v>
      </c>
      <c r="U272" s="40">
        <f>U273+U274+U275+U276</f>
        <v>195851.71360000002</v>
      </c>
      <c r="V272" s="26">
        <f>U272/T272*100</f>
        <v>112.39935287004658</v>
      </c>
      <c r="W272" s="40">
        <f>W273+W274+W275+W276</f>
        <v>209978.8</v>
      </c>
      <c r="X272" s="40">
        <f>X273+X274+X275+X276</f>
        <v>186896.2</v>
      </c>
      <c r="Y272" s="26">
        <f>X272/W272*100</f>
        <v>89.00717596252575</v>
      </c>
      <c r="Z272" s="40">
        <f>Z273+Z274+Z275+Z276</f>
        <v>122027.30000000002</v>
      </c>
      <c r="AA272" s="40">
        <f>AA273+AA274+AA275+AA276</f>
        <v>112303.1</v>
      </c>
      <c r="AB272" s="26">
        <f>AA272/Z272*100</f>
        <v>92.031127460822276</v>
      </c>
      <c r="AC272" s="40">
        <f>AC273+AC274+AC275+AC276</f>
        <v>72396.299999999988</v>
      </c>
      <c r="AD272" s="40">
        <f>AD273+AD274+AD275+AD276</f>
        <v>71862.3</v>
      </c>
      <c r="AE272" s="26">
        <f>AD272/AC272*100</f>
        <v>99.262393243853637</v>
      </c>
      <c r="AF272" s="40">
        <f>AF273+AF274+AF275+AF276</f>
        <v>71261.5</v>
      </c>
      <c r="AG272" s="40">
        <f>AG273+AG274+AG275+AG276</f>
        <v>79354.600000000006</v>
      </c>
      <c r="AH272" s="26">
        <f>AG272/AF272*100</f>
        <v>111.35690379798349</v>
      </c>
      <c r="AI272" s="40">
        <f>AI273+AI274+AI275+AI276</f>
        <v>176498.7</v>
      </c>
      <c r="AJ272" s="40">
        <f>AJ273+AJ274+AJ275+AJ276</f>
        <v>138068.80000000002</v>
      </c>
      <c r="AK272" s="26">
        <f>AJ272/AI272*100</f>
        <v>78.226525181205304</v>
      </c>
      <c r="AL272" s="40">
        <f>AL273+AL274+AL275+AL276</f>
        <v>130148.70000000001</v>
      </c>
      <c r="AM272" s="40">
        <f>AM273+AM274+AM275+AM276</f>
        <v>124651.09999999998</v>
      </c>
      <c r="AN272" s="26">
        <f>AM272/AL272*100</f>
        <v>95.775908633739689</v>
      </c>
      <c r="AO272" s="40">
        <f>AO273+AO274+AO275+AO276</f>
        <v>195804.5</v>
      </c>
      <c r="AP272" s="40">
        <f>AP273+AP274+AP275+AP276</f>
        <v>225916.80000000005</v>
      </c>
      <c r="AQ272" s="26">
        <f>AP272/AO272*100</f>
        <v>115.37875789371543</v>
      </c>
      <c r="AR272" s="36"/>
      <c r="AS272" s="36"/>
      <c r="AT272" s="80">
        <f t="shared" si="369"/>
        <v>0.98880640390356578</v>
      </c>
      <c r="AU272" s="84">
        <f t="shared" si="301"/>
        <v>293571.59999999998</v>
      </c>
      <c r="AV272" s="84">
        <f t="shared" si="302"/>
        <v>527484.60000000009</v>
      </c>
      <c r="AW272" s="84">
        <f t="shared" si="303"/>
        <v>265685.09999999998</v>
      </c>
      <c r="AX272" s="84">
        <f t="shared" si="304"/>
        <v>502451.9</v>
      </c>
    </row>
    <row r="273" spans="1:50" ht="15.6" x14ac:dyDescent="0.3">
      <c r="A273" s="163"/>
      <c r="B273" s="164"/>
      <c r="C273" s="165"/>
      <c r="D273" s="39" t="s">
        <v>22</v>
      </c>
      <c r="E273" s="40">
        <f t="shared" ref="E273:E276" si="387">H273+K273+N273+Q273+T273+W273+Z273+AC273+AF273+AI273+AL273+AO273</f>
        <v>15066.3</v>
      </c>
      <c r="F273" s="40">
        <f t="shared" si="342"/>
        <v>13989.8</v>
      </c>
      <c r="G273" s="26">
        <f>F273/E273*100</f>
        <v>92.854914610753809</v>
      </c>
      <c r="H273" s="40">
        <f t="shared" ref="H273:I276" si="388">H261-H267</f>
        <v>0</v>
      </c>
      <c r="I273" s="40">
        <f t="shared" si="388"/>
        <v>0</v>
      </c>
      <c r="J273" s="26"/>
      <c r="K273" s="40">
        <f t="shared" ref="K273:L276" si="389">K261-K267</f>
        <v>0</v>
      </c>
      <c r="L273" s="40">
        <f t="shared" si="389"/>
        <v>0</v>
      </c>
      <c r="M273" s="26"/>
      <c r="N273" s="40">
        <f t="shared" ref="N273:O276" si="390">N261-N267</f>
        <v>0</v>
      </c>
      <c r="O273" s="40">
        <f t="shared" si="390"/>
        <v>0</v>
      </c>
      <c r="P273" s="26"/>
      <c r="Q273" s="40">
        <f t="shared" ref="Q273:R276" si="391">Q261-Q267</f>
        <v>0</v>
      </c>
      <c r="R273" s="40">
        <f t="shared" si="391"/>
        <v>0</v>
      </c>
      <c r="S273" s="26"/>
      <c r="T273" s="40">
        <f t="shared" ref="T273:U276" si="392">T261-T267</f>
        <v>0</v>
      </c>
      <c r="U273" s="40">
        <f t="shared" si="392"/>
        <v>0</v>
      </c>
      <c r="V273" s="26"/>
      <c r="W273" s="40">
        <f t="shared" ref="W273:X276" si="393">W261-W267</f>
        <v>0</v>
      </c>
      <c r="X273" s="40">
        <f t="shared" si="393"/>
        <v>0</v>
      </c>
      <c r="Y273" s="26"/>
      <c r="Z273" s="40">
        <f t="shared" ref="Z273:AA276" si="394">Z261-Z267</f>
        <v>0</v>
      </c>
      <c r="AA273" s="40">
        <f t="shared" si="394"/>
        <v>0</v>
      </c>
      <c r="AB273" s="26"/>
      <c r="AC273" s="40">
        <f t="shared" ref="AC273:AD276" si="395">AC261-AC267</f>
        <v>0</v>
      </c>
      <c r="AD273" s="40">
        <f t="shared" si="395"/>
        <v>0</v>
      </c>
      <c r="AE273" s="26"/>
      <c r="AF273" s="40">
        <f t="shared" ref="AF273:AG276" si="396">AF261-AF267</f>
        <v>3210.8999999999996</v>
      </c>
      <c r="AG273" s="40">
        <f t="shared" si="396"/>
        <v>3210.8999999999996</v>
      </c>
      <c r="AH273" s="26"/>
      <c r="AI273" s="40">
        <f t="shared" ref="AI273:AJ276" si="397">AI261-AI267</f>
        <v>5084.6000000000004</v>
      </c>
      <c r="AJ273" s="40">
        <f t="shared" si="397"/>
        <v>4129.3</v>
      </c>
      <c r="AK273" s="26">
        <f>AJ273/AI273*100</f>
        <v>81.211894740982572</v>
      </c>
      <c r="AL273" s="40">
        <f t="shared" ref="AL273:AM276" si="398">AL261-AL267</f>
        <v>3362</v>
      </c>
      <c r="AM273" s="40">
        <f t="shared" si="398"/>
        <v>3334.3999999999996</v>
      </c>
      <c r="AN273" s="26">
        <f>AM273/AL273*100</f>
        <v>99.179060083283758</v>
      </c>
      <c r="AO273" s="40">
        <f t="shared" ref="AO273:AP276" si="399">AO261-AO267</f>
        <v>3408.8</v>
      </c>
      <c r="AP273" s="50">
        <f t="shared" si="399"/>
        <v>3315.2000000000003</v>
      </c>
      <c r="AQ273" s="26">
        <f>AP273/AO273*100</f>
        <v>97.254165688805443</v>
      </c>
      <c r="AR273" s="36"/>
      <c r="AS273" s="36"/>
      <c r="AT273" s="80">
        <f t="shared" si="369"/>
        <v>0.92854914610753803</v>
      </c>
      <c r="AU273" s="84">
        <f t="shared" si="301"/>
        <v>0</v>
      </c>
      <c r="AV273" s="84">
        <f t="shared" si="302"/>
        <v>0</v>
      </c>
      <c r="AW273" s="84">
        <f t="shared" si="303"/>
        <v>3210.8999999999996</v>
      </c>
      <c r="AX273" s="84">
        <f t="shared" si="304"/>
        <v>11855.400000000001</v>
      </c>
    </row>
    <row r="274" spans="1:50" ht="25.5" customHeight="1" x14ac:dyDescent="0.3">
      <c r="A274" s="163"/>
      <c r="B274" s="164"/>
      <c r="C274" s="165"/>
      <c r="D274" s="39" t="s">
        <v>4</v>
      </c>
      <c r="E274" s="40">
        <f t="shared" si="387"/>
        <v>1269583.2000000002</v>
      </c>
      <c r="F274" s="40">
        <f t="shared" si="342"/>
        <v>1258383.2132000001</v>
      </c>
      <c r="G274" s="26">
        <f>F274/E274*100</f>
        <v>99.117821754415147</v>
      </c>
      <c r="H274" s="40">
        <f t="shared" si="388"/>
        <v>29104</v>
      </c>
      <c r="I274" s="40">
        <f t="shared" si="388"/>
        <v>29076.1</v>
      </c>
      <c r="J274" s="26">
        <f>I274/H274*100</f>
        <v>99.904136888400217</v>
      </c>
      <c r="K274" s="40">
        <f t="shared" si="389"/>
        <v>97726</v>
      </c>
      <c r="L274" s="40">
        <f t="shared" si="389"/>
        <v>96358.000000000015</v>
      </c>
      <c r="M274" s="26">
        <f>L274/K274*100</f>
        <v>98.60016781613902</v>
      </c>
      <c r="N274" s="40">
        <f t="shared" si="390"/>
        <v>97204.5</v>
      </c>
      <c r="O274" s="40">
        <f t="shared" si="390"/>
        <v>96767.699600000007</v>
      </c>
      <c r="P274" s="26">
        <f>O274/N274*100</f>
        <v>99.550637676239276</v>
      </c>
      <c r="Q274" s="40">
        <f t="shared" si="391"/>
        <v>110448.70000000001</v>
      </c>
      <c r="R274" s="40">
        <f t="shared" si="391"/>
        <v>110096.29999999999</v>
      </c>
      <c r="S274" s="26">
        <f>R274/Q274*100</f>
        <v>99.680937847163406</v>
      </c>
      <c r="T274" s="40">
        <f t="shared" si="392"/>
        <v>146494.20000000001</v>
      </c>
      <c r="U274" s="40">
        <f t="shared" si="392"/>
        <v>170158.61360000001</v>
      </c>
      <c r="V274" s="26">
        <f>U274/T274*100</f>
        <v>116.15382288172501</v>
      </c>
      <c r="W274" s="40">
        <f t="shared" si="393"/>
        <v>193364</v>
      </c>
      <c r="X274" s="40">
        <f t="shared" si="393"/>
        <v>171910.1</v>
      </c>
      <c r="Y274" s="26">
        <f>X274/W274*100</f>
        <v>88.904915082435195</v>
      </c>
      <c r="Z274" s="40">
        <f t="shared" si="394"/>
        <v>98223.900000000009</v>
      </c>
      <c r="AA274" s="40">
        <f t="shared" si="394"/>
        <v>91046.3</v>
      </c>
      <c r="AB274" s="26">
        <f>AA274/Z274*100</f>
        <v>92.6926135085249</v>
      </c>
      <c r="AC274" s="40">
        <f t="shared" si="395"/>
        <v>51350.9</v>
      </c>
      <c r="AD274" s="40">
        <f t="shared" si="395"/>
        <v>54042.2</v>
      </c>
      <c r="AE274" s="26">
        <f>AD274/AC274*100</f>
        <v>105.24099869719907</v>
      </c>
      <c r="AF274" s="40">
        <f t="shared" si="396"/>
        <v>59419.600000000006</v>
      </c>
      <c r="AG274" s="40">
        <f t="shared" si="396"/>
        <v>62901.900000000016</v>
      </c>
      <c r="AH274" s="26">
        <f>AG274/AF274*100</f>
        <v>105.86052413681682</v>
      </c>
      <c r="AI274" s="40">
        <f t="shared" si="397"/>
        <v>129266.70000000001</v>
      </c>
      <c r="AJ274" s="40">
        <f t="shared" si="397"/>
        <v>100689</v>
      </c>
      <c r="AK274" s="26">
        <f>AJ274/AI274*100</f>
        <v>77.892450259811682</v>
      </c>
      <c r="AL274" s="40">
        <f t="shared" si="398"/>
        <v>100933.6</v>
      </c>
      <c r="AM274" s="40">
        <f t="shared" si="398"/>
        <v>97093.099999999991</v>
      </c>
      <c r="AN274" s="26">
        <f>AM274/AL274*100</f>
        <v>96.19502326281831</v>
      </c>
      <c r="AO274" s="40">
        <f t="shared" si="399"/>
        <v>156047.1</v>
      </c>
      <c r="AP274" s="50">
        <f t="shared" si="399"/>
        <v>178243.90000000002</v>
      </c>
      <c r="AQ274" s="26">
        <f>AP274/AO274*100</f>
        <v>114.22442326707771</v>
      </c>
      <c r="AR274" s="36"/>
      <c r="AS274" s="36"/>
      <c r="AT274" s="80">
        <f t="shared" si="369"/>
        <v>0.99117821754415147</v>
      </c>
      <c r="AU274" s="84">
        <f t="shared" si="301"/>
        <v>224034.5</v>
      </c>
      <c r="AV274" s="84">
        <f t="shared" si="302"/>
        <v>450306.9</v>
      </c>
      <c r="AW274" s="84">
        <f t="shared" si="303"/>
        <v>208994.40000000002</v>
      </c>
      <c r="AX274" s="84">
        <f t="shared" si="304"/>
        <v>386247.4</v>
      </c>
    </row>
    <row r="275" spans="1:50" ht="12.75" customHeight="1" x14ac:dyDescent="0.3">
      <c r="A275" s="163"/>
      <c r="B275" s="164"/>
      <c r="C275" s="165"/>
      <c r="D275" s="39" t="s">
        <v>44</v>
      </c>
      <c r="E275" s="40">
        <f t="shared" si="387"/>
        <v>304543.69999999995</v>
      </c>
      <c r="F275" s="40">
        <f t="shared" si="342"/>
        <v>299031.39999999997</v>
      </c>
      <c r="G275" s="26">
        <f t="shared" ref="G275" si="400">F275/E275*100</f>
        <v>98.189980616903256</v>
      </c>
      <c r="H275" s="40">
        <f t="shared" si="388"/>
        <v>7372.3</v>
      </c>
      <c r="I275" s="40">
        <f t="shared" si="388"/>
        <v>7038.8</v>
      </c>
      <c r="J275" s="26">
        <f t="shared" ref="J275" si="401">I275/H275*100</f>
        <v>95.476309971108066</v>
      </c>
      <c r="K275" s="40">
        <f t="shared" si="389"/>
        <v>33948.9</v>
      </c>
      <c r="L275" s="40">
        <f t="shared" si="389"/>
        <v>33972.199999999997</v>
      </c>
      <c r="M275" s="26">
        <f t="shared" ref="M275" si="402">L275/K275*100</f>
        <v>100.06863256246888</v>
      </c>
      <c r="N275" s="40">
        <f t="shared" si="390"/>
        <v>28215.9</v>
      </c>
      <c r="O275" s="40">
        <f t="shared" si="390"/>
        <v>28172.299999999996</v>
      </c>
      <c r="P275" s="26">
        <f t="shared" ref="P275" si="403">O275/N275*100</f>
        <v>99.845477195481962</v>
      </c>
      <c r="Q275" s="40">
        <f t="shared" si="391"/>
        <v>32810.800000000003</v>
      </c>
      <c r="R275" s="40">
        <f t="shared" si="391"/>
        <v>35018.400000000001</v>
      </c>
      <c r="S275" s="26">
        <f t="shared" ref="S275" si="404">R275/Q275*100</f>
        <v>106.72827239811282</v>
      </c>
      <c r="T275" s="40">
        <f t="shared" si="392"/>
        <v>27752.1</v>
      </c>
      <c r="U275" s="40">
        <f t="shared" si="392"/>
        <v>25693.099999999995</v>
      </c>
      <c r="V275" s="26">
        <f t="shared" ref="V275" si="405">U275/T275*100</f>
        <v>92.580741637569758</v>
      </c>
      <c r="W275" s="40">
        <f t="shared" si="393"/>
        <v>16614.8</v>
      </c>
      <c r="X275" s="40">
        <f t="shared" si="393"/>
        <v>14986.099999999999</v>
      </c>
      <c r="Y275" s="26">
        <f t="shared" ref="Y275" si="406">X275/W275*100</f>
        <v>90.19729397886222</v>
      </c>
      <c r="Z275" s="40">
        <f t="shared" si="394"/>
        <v>23803.4</v>
      </c>
      <c r="AA275" s="40">
        <f t="shared" si="394"/>
        <v>21256.799999999999</v>
      </c>
      <c r="AB275" s="26">
        <f t="shared" ref="AB275" si="407">AA275/Z275*100</f>
        <v>89.301528353092408</v>
      </c>
      <c r="AC275" s="40">
        <f t="shared" si="395"/>
        <v>21045.399999999994</v>
      </c>
      <c r="AD275" s="40">
        <f t="shared" si="395"/>
        <v>17820.100000000002</v>
      </c>
      <c r="AE275" s="26">
        <f t="shared" ref="AE275" si="408">AD275/AC275*100</f>
        <v>84.674560711604471</v>
      </c>
      <c r="AF275" s="40">
        <f t="shared" si="396"/>
        <v>8631</v>
      </c>
      <c r="AG275" s="40">
        <f t="shared" si="396"/>
        <v>13241.799999999996</v>
      </c>
      <c r="AH275" s="26">
        <f t="shared" ref="AH275" si="409">AG275/AF275*100</f>
        <v>153.42138801992812</v>
      </c>
      <c r="AI275" s="40">
        <f t="shared" si="397"/>
        <v>42147.400000000009</v>
      </c>
      <c r="AJ275" s="40">
        <f t="shared" si="397"/>
        <v>33250.500000000007</v>
      </c>
      <c r="AK275" s="26">
        <f t="shared" ref="AK275" si="410">AJ275/AI275*100</f>
        <v>78.89098734441508</v>
      </c>
      <c r="AL275" s="40">
        <f t="shared" si="398"/>
        <v>25853.1</v>
      </c>
      <c r="AM275" s="40">
        <f t="shared" si="398"/>
        <v>24223.599999999999</v>
      </c>
      <c r="AN275" s="26">
        <f t="shared" ref="AN275" si="411">AM275/AL275*100</f>
        <v>93.697080814293059</v>
      </c>
      <c r="AO275" s="40">
        <f t="shared" si="399"/>
        <v>36348.599999999991</v>
      </c>
      <c r="AP275" s="50">
        <f t="shared" si="399"/>
        <v>44357.700000000004</v>
      </c>
      <c r="AQ275" s="26">
        <f t="shared" ref="AQ275" si="412">AP275/AO275*100</f>
        <v>122.03413611528372</v>
      </c>
      <c r="AR275" s="36"/>
      <c r="AS275" s="36"/>
      <c r="AT275" s="80">
        <f t="shared" si="369"/>
        <v>0.98189980616903261</v>
      </c>
      <c r="AU275" s="84">
        <f t="shared" si="301"/>
        <v>69537.100000000006</v>
      </c>
      <c r="AV275" s="84">
        <f t="shared" si="302"/>
        <v>77177.7</v>
      </c>
      <c r="AW275" s="84">
        <f t="shared" si="303"/>
        <v>53479.799999999996</v>
      </c>
      <c r="AX275" s="84">
        <f t="shared" si="304"/>
        <v>104349.09999999999</v>
      </c>
    </row>
    <row r="276" spans="1:50" ht="15.6" x14ac:dyDescent="0.3">
      <c r="A276" s="163"/>
      <c r="B276" s="164"/>
      <c r="C276" s="165"/>
      <c r="D276" s="39" t="s">
        <v>23</v>
      </c>
      <c r="E276" s="40">
        <f t="shared" si="387"/>
        <v>0</v>
      </c>
      <c r="F276" s="40">
        <f t="shared" si="342"/>
        <v>0</v>
      </c>
      <c r="G276" s="26"/>
      <c r="H276" s="40">
        <f t="shared" si="388"/>
        <v>0</v>
      </c>
      <c r="I276" s="40">
        <f t="shared" si="388"/>
        <v>0</v>
      </c>
      <c r="J276" s="26"/>
      <c r="K276" s="40">
        <f t="shared" si="389"/>
        <v>0</v>
      </c>
      <c r="L276" s="40">
        <f t="shared" si="389"/>
        <v>0</v>
      </c>
      <c r="M276" s="26"/>
      <c r="N276" s="40">
        <f t="shared" si="390"/>
        <v>0</v>
      </c>
      <c r="O276" s="40">
        <f t="shared" si="390"/>
        <v>0</v>
      </c>
      <c r="P276" s="26"/>
      <c r="Q276" s="40">
        <f t="shared" si="391"/>
        <v>0</v>
      </c>
      <c r="R276" s="40">
        <f t="shared" si="391"/>
        <v>0</v>
      </c>
      <c r="S276" s="26"/>
      <c r="T276" s="40">
        <f t="shared" si="392"/>
        <v>0</v>
      </c>
      <c r="U276" s="40">
        <f t="shared" si="392"/>
        <v>0</v>
      </c>
      <c r="V276" s="26"/>
      <c r="W276" s="40">
        <f t="shared" si="393"/>
        <v>0</v>
      </c>
      <c r="X276" s="40">
        <f t="shared" si="393"/>
        <v>0</v>
      </c>
      <c r="Y276" s="26"/>
      <c r="Z276" s="40">
        <f t="shared" si="394"/>
        <v>0</v>
      </c>
      <c r="AA276" s="40">
        <f t="shared" si="394"/>
        <v>0</v>
      </c>
      <c r="AB276" s="26"/>
      <c r="AC276" s="40">
        <f t="shared" si="395"/>
        <v>0</v>
      </c>
      <c r="AD276" s="40">
        <f t="shared" si="395"/>
        <v>0</v>
      </c>
      <c r="AE276" s="26"/>
      <c r="AF276" s="40">
        <f t="shared" si="396"/>
        <v>0</v>
      </c>
      <c r="AG276" s="40">
        <f t="shared" si="396"/>
        <v>0</v>
      </c>
      <c r="AH276" s="26"/>
      <c r="AI276" s="40">
        <f t="shared" si="397"/>
        <v>0</v>
      </c>
      <c r="AJ276" s="40">
        <f t="shared" si="397"/>
        <v>0</v>
      </c>
      <c r="AK276" s="26"/>
      <c r="AL276" s="40">
        <f t="shared" si="398"/>
        <v>0</v>
      </c>
      <c r="AM276" s="40">
        <f t="shared" si="398"/>
        <v>0</v>
      </c>
      <c r="AN276" s="26"/>
      <c r="AO276" s="40">
        <f t="shared" si="399"/>
        <v>0</v>
      </c>
      <c r="AP276" s="50">
        <f t="shared" si="399"/>
        <v>0</v>
      </c>
      <c r="AQ276" s="26"/>
      <c r="AR276" s="36"/>
      <c r="AS276" s="36"/>
      <c r="AT276" s="80"/>
      <c r="AU276" s="84">
        <f t="shared" si="301"/>
        <v>0</v>
      </c>
      <c r="AV276" s="84">
        <f t="shared" si="302"/>
        <v>0</v>
      </c>
      <c r="AW276" s="84">
        <f t="shared" si="303"/>
        <v>0</v>
      </c>
      <c r="AX276" s="84">
        <f t="shared" si="304"/>
        <v>0</v>
      </c>
    </row>
    <row r="277" spans="1:50" ht="15.75" customHeight="1" x14ac:dyDescent="0.3">
      <c r="A277" s="166"/>
      <c r="B277" s="167"/>
      <c r="C277" s="168"/>
      <c r="D277" s="39" t="s">
        <v>131</v>
      </c>
      <c r="E277" s="40"/>
      <c r="F277" s="40">
        <f t="shared" si="342"/>
        <v>3049</v>
      </c>
      <c r="G277" s="26"/>
      <c r="H277" s="40"/>
      <c r="I277" s="40"/>
      <c r="J277" s="26"/>
      <c r="K277" s="40"/>
      <c r="L277" s="40"/>
      <c r="M277" s="26"/>
      <c r="N277" s="40"/>
      <c r="O277" s="40">
        <f>O232</f>
        <v>40</v>
      </c>
      <c r="P277" s="26"/>
      <c r="Q277" s="40"/>
      <c r="R277" s="40"/>
      <c r="S277" s="26"/>
      <c r="T277" s="40"/>
      <c r="U277" s="40"/>
      <c r="V277" s="26"/>
      <c r="W277" s="40"/>
      <c r="X277" s="40"/>
      <c r="Y277" s="26"/>
      <c r="Z277" s="40"/>
      <c r="AA277" s="40"/>
      <c r="AB277" s="26"/>
      <c r="AC277" s="40"/>
      <c r="AD277" s="40"/>
      <c r="AE277" s="26"/>
      <c r="AF277" s="40"/>
      <c r="AG277" s="40"/>
      <c r="AH277" s="26"/>
      <c r="AI277" s="40"/>
      <c r="AJ277" s="40">
        <f>AJ82</f>
        <v>3009</v>
      </c>
      <c r="AK277" s="26"/>
      <c r="AL277" s="40"/>
      <c r="AM277" s="40"/>
      <c r="AN277" s="26"/>
      <c r="AO277" s="40"/>
      <c r="AP277" s="50"/>
      <c r="AQ277" s="26"/>
      <c r="AR277" s="36"/>
      <c r="AS277" s="36"/>
      <c r="AT277" s="80"/>
      <c r="AU277" s="84"/>
      <c r="AV277" s="84"/>
      <c r="AW277" s="84"/>
      <c r="AX277" s="84"/>
    </row>
    <row r="278" spans="1:50" ht="15.75" customHeight="1" x14ac:dyDescent="0.3">
      <c r="A278" s="171" t="s">
        <v>122</v>
      </c>
      <c r="B278" s="172"/>
      <c r="C278" s="173"/>
      <c r="D278" s="39"/>
      <c r="E278" s="40"/>
      <c r="F278" s="40"/>
      <c r="G278" s="26"/>
      <c r="H278" s="40"/>
      <c r="I278" s="40"/>
      <c r="J278" s="26"/>
      <c r="K278" s="40"/>
      <c r="L278" s="40"/>
      <c r="M278" s="26"/>
      <c r="N278" s="40"/>
      <c r="O278" s="40"/>
      <c r="P278" s="26"/>
      <c r="Q278" s="40"/>
      <c r="R278" s="40"/>
      <c r="S278" s="26"/>
      <c r="T278" s="40"/>
      <c r="U278" s="40"/>
      <c r="V278" s="26"/>
      <c r="W278" s="40"/>
      <c r="X278" s="40"/>
      <c r="Y278" s="26"/>
      <c r="Z278" s="40"/>
      <c r="AA278" s="40"/>
      <c r="AB278" s="26"/>
      <c r="AC278" s="40"/>
      <c r="AD278" s="40"/>
      <c r="AE278" s="26"/>
      <c r="AF278" s="40"/>
      <c r="AG278" s="40"/>
      <c r="AH278" s="26"/>
      <c r="AI278" s="40"/>
      <c r="AJ278" s="40"/>
      <c r="AK278" s="26"/>
      <c r="AL278" s="40"/>
      <c r="AM278" s="40"/>
      <c r="AN278" s="26"/>
      <c r="AO278" s="40"/>
      <c r="AP278" s="45"/>
      <c r="AQ278" s="26"/>
      <c r="AR278" s="36"/>
      <c r="AS278" s="36"/>
      <c r="AT278" s="80"/>
      <c r="AU278" s="84">
        <f t="shared" si="301"/>
        <v>0</v>
      </c>
      <c r="AV278" s="84">
        <f t="shared" si="302"/>
        <v>0</v>
      </c>
      <c r="AW278" s="84">
        <f t="shared" si="303"/>
        <v>0</v>
      </c>
      <c r="AX278" s="84">
        <f t="shared" si="304"/>
        <v>0</v>
      </c>
    </row>
    <row r="279" spans="1:50" ht="15.6" customHeight="1" x14ac:dyDescent="0.3">
      <c r="A279" s="160" t="s">
        <v>124</v>
      </c>
      <c r="B279" s="161"/>
      <c r="C279" s="162"/>
      <c r="D279" s="39" t="s">
        <v>3</v>
      </c>
      <c r="E279" s="40">
        <f>H279+K279+N279+Q279+T279+W279+Z279+AC279+AF279+AI279+AL279+AO279</f>
        <v>1587736.4</v>
      </c>
      <c r="F279" s="40">
        <f t="shared" ref="F279:F295" si="413">I279+L279+O279+R279+U279+X279+AA279+AD279+AG279+AJ279+AM279+AP279</f>
        <v>1569947.6132000003</v>
      </c>
      <c r="G279" s="26">
        <f>F279/E279*100</f>
        <v>98.879613341358194</v>
      </c>
      <c r="H279" s="40">
        <f>H280+H281+H282+H283</f>
        <v>36476.300000000003</v>
      </c>
      <c r="I279" s="40">
        <f>I280+I281+I282+I283</f>
        <v>36114.9</v>
      </c>
      <c r="J279" s="26">
        <f>I279/H279*100</f>
        <v>99.009219685110608</v>
      </c>
      <c r="K279" s="40">
        <f>K280+K281+K282+K283</f>
        <v>131674.9</v>
      </c>
      <c r="L279" s="40">
        <f>L280+L281+L282+L283</f>
        <v>130330.20000000001</v>
      </c>
      <c r="M279" s="26">
        <f>L279/K279*100</f>
        <v>98.978772719781844</v>
      </c>
      <c r="N279" s="40">
        <f>N280+N281+N282+N283</f>
        <v>125420.4</v>
      </c>
      <c r="O279" s="40">
        <f>O280+O281+O282+O283</f>
        <v>124939.99960000001</v>
      </c>
      <c r="P279" s="26">
        <f>O279/N279*100</f>
        <v>99.616967893580323</v>
      </c>
      <c r="Q279" s="40">
        <f>Q280+Q281+Q282+Q283</f>
        <v>143259.5</v>
      </c>
      <c r="R279" s="40">
        <f>R280+R281+R282+R283</f>
        <v>145114.69999999998</v>
      </c>
      <c r="S279" s="26">
        <f>R279/Q279*100</f>
        <v>101.29499265319227</v>
      </c>
      <c r="T279" s="40">
        <f>T280+T281+T282+T283</f>
        <v>173008.7</v>
      </c>
      <c r="U279" s="40">
        <f>U280+U281+U282+U283</f>
        <v>195851.71360000002</v>
      </c>
      <c r="V279" s="26">
        <f>U279/T279*100</f>
        <v>113.20339011853162</v>
      </c>
      <c r="W279" s="40">
        <f>W280+W281+W282+W283</f>
        <v>209978.8</v>
      </c>
      <c r="X279" s="40">
        <f>X280+X281+X282+X283</f>
        <v>186896.2</v>
      </c>
      <c r="Y279" s="26">
        <f>X279/W279*100</f>
        <v>89.00717596252575</v>
      </c>
      <c r="Z279" s="40">
        <f>Z280+Z281+Z282+Z283</f>
        <v>122027.30000000002</v>
      </c>
      <c r="AA279" s="40">
        <f>AA280+AA281+AA282+AA283</f>
        <v>112303.1</v>
      </c>
      <c r="AB279" s="26">
        <f>AA279/Z279*100</f>
        <v>92.031127460822276</v>
      </c>
      <c r="AC279" s="40">
        <f>AC280+AC281+AC282+AC283</f>
        <v>72177.099999999991</v>
      </c>
      <c r="AD279" s="40">
        <f>AD280+AD281+AD282+AD283</f>
        <v>70405.5</v>
      </c>
      <c r="AE279" s="26">
        <f>AD279/AC279*100</f>
        <v>97.545481877215906</v>
      </c>
      <c r="AF279" s="40">
        <f>AF280+AF281+AF282+AF283</f>
        <v>71261.5</v>
      </c>
      <c r="AG279" s="40">
        <f>AG280+AG281+AG282+AG283</f>
        <v>79354.600000000006</v>
      </c>
      <c r="AH279" s="26">
        <f>AG279/AF279*100</f>
        <v>111.35690379798349</v>
      </c>
      <c r="AI279" s="40">
        <f>AI280+AI281+AI282+AI283</f>
        <v>176498.7</v>
      </c>
      <c r="AJ279" s="40">
        <f>AJ280+AJ281+AJ282+AJ283</f>
        <v>138068.80000000002</v>
      </c>
      <c r="AK279" s="26">
        <f>AJ279/AI279*100</f>
        <v>78.226525181205304</v>
      </c>
      <c r="AL279" s="40">
        <f>AL280+AL281+AL282+AL283</f>
        <v>130148.70000000001</v>
      </c>
      <c r="AM279" s="40">
        <f>AM280+AM281+AM282+AM283</f>
        <v>124651.09999999998</v>
      </c>
      <c r="AN279" s="26">
        <f>AM279/AL279*100</f>
        <v>95.775908633739689</v>
      </c>
      <c r="AO279" s="40">
        <f>AO280+AO281+AO282+AO283</f>
        <v>195804.5</v>
      </c>
      <c r="AP279" s="40">
        <f>AP280+AP281+AP282+AP283</f>
        <v>225916.80000000005</v>
      </c>
      <c r="AQ279" s="26">
        <f>AP279/AO279*100</f>
        <v>115.37875789371543</v>
      </c>
      <c r="AR279" s="36"/>
      <c r="AS279" s="36"/>
      <c r="AT279" s="80">
        <f t="shared" si="369"/>
        <v>0.98879613341358197</v>
      </c>
      <c r="AU279" s="84">
        <f t="shared" si="301"/>
        <v>293571.59999999998</v>
      </c>
      <c r="AV279" s="84">
        <f t="shared" si="302"/>
        <v>526247</v>
      </c>
      <c r="AW279" s="84">
        <f t="shared" si="303"/>
        <v>265465.90000000002</v>
      </c>
      <c r="AX279" s="84">
        <f t="shared" si="304"/>
        <v>502451.9</v>
      </c>
    </row>
    <row r="280" spans="1:50" ht="15.6" x14ac:dyDescent="0.3">
      <c r="A280" s="163"/>
      <c r="B280" s="164"/>
      <c r="C280" s="165"/>
      <c r="D280" s="39" t="s">
        <v>22</v>
      </c>
      <c r="E280" s="40">
        <f t="shared" ref="E280:E283" si="414">H280+K280+N280+Q280+T280+W280+Z280+AC280+AF280+AI280+AL280+AO280</f>
        <v>15066.3</v>
      </c>
      <c r="F280" s="40">
        <f>I280+L280+O280+R280+U280+X280+AA280+AD280+AG280+AJ280+AM280+AP280</f>
        <v>13989.8</v>
      </c>
      <c r="G280" s="26">
        <f>F280/E280*100</f>
        <v>92.854914610753809</v>
      </c>
      <c r="H280" s="40">
        <f t="shared" ref="H280:AP283" si="415">H261-H286-H292</f>
        <v>0</v>
      </c>
      <c r="I280" s="40">
        <f t="shared" si="415"/>
        <v>0</v>
      </c>
      <c r="J280" s="40">
        <f t="shared" si="415"/>
        <v>0</v>
      </c>
      <c r="K280" s="40">
        <f t="shared" si="415"/>
        <v>0</v>
      </c>
      <c r="L280" s="40">
        <f t="shared" si="415"/>
        <v>0</v>
      </c>
      <c r="M280" s="40">
        <f t="shared" si="415"/>
        <v>0</v>
      </c>
      <c r="N280" s="40">
        <f t="shared" si="415"/>
        <v>0</v>
      </c>
      <c r="O280" s="40">
        <f t="shared" si="415"/>
        <v>0</v>
      </c>
      <c r="P280" s="40">
        <f t="shared" si="415"/>
        <v>0</v>
      </c>
      <c r="Q280" s="40">
        <f t="shared" si="415"/>
        <v>0</v>
      </c>
      <c r="R280" s="40">
        <f t="shared" si="415"/>
        <v>0</v>
      </c>
      <c r="S280" s="40">
        <f t="shared" si="415"/>
        <v>0</v>
      </c>
      <c r="T280" s="40">
        <f t="shared" si="415"/>
        <v>0</v>
      </c>
      <c r="U280" s="40">
        <f t="shared" si="415"/>
        <v>0</v>
      </c>
      <c r="V280" s="40">
        <f t="shared" si="415"/>
        <v>0</v>
      </c>
      <c r="W280" s="40">
        <f t="shared" si="415"/>
        <v>0</v>
      </c>
      <c r="X280" s="40">
        <f t="shared" si="415"/>
        <v>0</v>
      </c>
      <c r="Y280" s="40">
        <f t="shared" si="415"/>
        <v>0</v>
      </c>
      <c r="Z280" s="40">
        <f t="shared" si="415"/>
        <v>0</v>
      </c>
      <c r="AA280" s="40">
        <f t="shared" si="415"/>
        <v>0</v>
      </c>
      <c r="AB280" s="40">
        <f t="shared" si="415"/>
        <v>0</v>
      </c>
      <c r="AC280" s="40">
        <f t="shared" si="415"/>
        <v>0</v>
      </c>
      <c r="AD280" s="40">
        <f t="shared" si="415"/>
        <v>0</v>
      </c>
      <c r="AE280" s="40">
        <f t="shared" si="415"/>
        <v>0</v>
      </c>
      <c r="AF280" s="40">
        <f t="shared" si="415"/>
        <v>3210.8999999999996</v>
      </c>
      <c r="AG280" s="40">
        <f t="shared" si="415"/>
        <v>3210.8999999999996</v>
      </c>
      <c r="AH280" s="40">
        <f t="shared" si="415"/>
        <v>0</v>
      </c>
      <c r="AI280" s="40">
        <f t="shared" si="415"/>
        <v>5084.6000000000004</v>
      </c>
      <c r="AJ280" s="40">
        <f t="shared" si="415"/>
        <v>4129.3</v>
      </c>
      <c r="AK280" s="40">
        <f t="shared" si="415"/>
        <v>173.28225469839663</v>
      </c>
      <c r="AL280" s="40">
        <f t="shared" si="415"/>
        <v>3362</v>
      </c>
      <c r="AM280" s="40">
        <f t="shared" si="415"/>
        <v>3334.3999999999996</v>
      </c>
      <c r="AN280" s="26">
        <f t="shared" ref="AN280:AN282" si="416">AM280/AL280*100</f>
        <v>99.179060083283758</v>
      </c>
      <c r="AO280" s="40">
        <f t="shared" si="415"/>
        <v>3408.8</v>
      </c>
      <c r="AP280" s="40">
        <f t="shared" si="415"/>
        <v>3315.2000000000003</v>
      </c>
      <c r="AQ280" s="26">
        <f>AP280/AO280*100</f>
        <v>97.254165688805443</v>
      </c>
      <c r="AR280" s="36"/>
      <c r="AS280" s="36"/>
      <c r="AT280" s="80">
        <f t="shared" si="369"/>
        <v>0.92854914610753803</v>
      </c>
      <c r="AU280" s="84">
        <f t="shared" si="301"/>
        <v>0</v>
      </c>
      <c r="AV280" s="84">
        <f t="shared" si="302"/>
        <v>0</v>
      </c>
      <c r="AW280" s="84">
        <f t="shared" si="303"/>
        <v>3210.8999999999996</v>
      </c>
      <c r="AX280" s="84">
        <f t="shared" si="304"/>
        <v>11855.400000000001</v>
      </c>
    </row>
    <row r="281" spans="1:50" ht="12" customHeight="1" x14ac:dyDescent="0.3">
      <c r="A281" s="163"/>
      <c r="B281" s="164"/>
      <c r="C281" s="165"/>
      <c r="D281" s="39" t="s">
        <v>4</v>
      </c>
      <c r="E281" s="40">
        <f t="shared" si="414"/>
        <v>1269001.9000000001</v>
      </c>
      <c r="F281" s="40">
        <f t="shared" si="413"/>
        <v>1257801.9132000003</v>
      </c>
      <c r="G281" s="26">
        <f>F281/E281*100</f>
        <v>99.117417649256495</v>
      </c>
      <c r="H281" s="40">
        <f t="shared" si="415"/>
        <v>29104</v>
      </c>
      <c r="I281" s="40">
        <f t="shared" si="415"/>
        <v>29076.1</v>
      </c>
      <c r="J281" s="40">
        <f t="shared" si="415"/>
        <v>99.904136888400217</v>
      </c>
      <c r="K281" s="40">
        <f t="shared" si="415"/>
        <v>97726</v>
      </c>
      <c r="L281" s="40">
        <f t="shared" si="415"/>
        <v>96358.000000000015</v>
      </c>
      <c r="M281" s="40">
        <f t="shared" si="415"/>
        <v>98.60016781613902</v>
      </c>
      <c r="N281" s="40">
        <f t="shared" si="415"/>
        <v>97204.5</v>
      </c>
      <c r="O281" s="40">
        <f t="shared" si="415"/>
        <v>96767.699600000007</v>
      </c>
      <c r="P281" s="40">
        <f t="shared" si="415"/>
        <v>99.550637676239276</v>
      </c>
      <c r="Q281" s="40">
        <f t="shared" si="415"/>
        <v>110448.70000000001</v>
      </c>
      <c r="R281" s="40">
        <f t="shared" si="415"/>
        <v>110096.29999999999</v>
      </c>
      <c r="S281" s="40">
        <f t="shared" si="415"/>
        <v>99.680937847163406</v>
      </c>
      <c r="T281" s="40">
        <f t="shared" si="415"/>
        <v>146004.70000000001</v>
      </c>
      <c r="U281" s="40">
        <f t="shared" si="415"/>
        <v>170158.61360000001</v>
      </c>
      <c r="V281" s="40">
        <f t="shared" si="415"/>
        <v>116.15382288172501</v>
      </c>
      <c r="W281" s="40">
        <f t="shared" si="415"/>
        <v>193364</v>
      </c>
      <c r="X281" s="40">
        <f t="shared" si="415"/>
        <v>171910.1</v>
      </c>
      <c r="Y281" s="40">
        <f t="shared" si="415"/>
        <v>88.904915082435195</v>
      </c>
      <c r="Z281" s="40">
        <f t="shared" si="415"/>
        <v>98223.900000000009</v>
      </c>
      <c r="AA281" s="40">
        <f t="shared" si="415"/>
        <v>91046.3</v>
      </c>
      <c r="AB281" s="40">
        <f t="shared" si="415"/>
        <v>92.6926135085249</v>
      </c>
      <c r="AC281" s="40">
        <f t="shared" si="415"/>
        <v>51259.1</v>
      </c>
      <c r="AD281" s="40">
        <f t="shared" si="415"/>
        <v>53460.899999999994</v>
      </c>
      <c r="AE281" s="40">
        <f t="shared" si="415"/>
        <v>-527.98340217426062</v>
      </c>
      <c r="AF281" s="40">
        <f t="shared" si="415"/>
        <v>59419.600000000006</v>
      </c>
      <c r="AG281" s="40">
        <f t="shared" si="415"/>
        <v>62901.900000000016</v>
      </c>
      <c r="AH281" s="40">
        <f t="shared" si="415"/>
        <v>105.86052413681682</v>
      </c>
      <c r="AI281" s="40">
        <f t="shared" si="415"/>
        <v>129266.70000000001</v>
      </c>
      <c r="AJ281" s="40">
        <f t="shared" si="415"/>
        <v>100689</v>
      </c>
      <c r="AK281" s="40">
        <f t="shared" si="415"/>
        <v>77.892450259811682</v>
      </c>
      <c r="AL281" s="40">
        <f t="shared" si="415"/>
        <v>100933.6</v>
      </c>
      <c r="AM281" s="40">
        <f t="shared" si="415"/>
        <v>97093.099999999991</v>
      </c>
      <c r="AN281" s="26">
        <f t="shared" si="416"/>
        <v>96.19502326281831</v>
      </c>
      <c r="AO281" s="40">
        <f t="shared" si="415"/>
        <v>156047.1</v>
      </c>
      <c r="AP281" s="40">
        <f t="shared" si="415"/>
        <v>178243.90000000002</v>
      </c>
      <c r="AQ281" s="26">
        <f>AP281/AO281*100</f>
        <v>114.22442326707771</v>
      </c>
      <c r="AR281" s="36"/>
      <c r="AS281" s="36"/>
      <c r="AT281" s="80">
        <f t="shared" si="369"/>
        <v>0.9911741764925649</v>
      </c>
      <c r="AU281" s="84">
        <f t="shared" si="301"/>
        <v>224034.5</v>
      </c>
      <c r="AV281" s="84">
        <f t="shared" si="302"/>
        <v>449817.4</v>
      </c>
      <c r="AW281" s="84">
        <f t="shared" si="303"/>
        <v>208902.6</v>
      </c>
      <c r="AX281" s="84">
        <f t="shared" si="304"/>
        <v>386247.4</v>
      </c>
    </row>
    <row r="282" spans="1:50" ht="12.75" customHeight="1" x14ac:dyDescent="0.3">
      <c r="A282" s="163"/>
      <c r="B282" s="164"/>
      <c r="C282" s="165"/>
      <c r="D282" s="39" t="s">
        <v>44</v>
      </c>
      <c r="E282" s="40">
        <f t="shared" si="414"/>
        <v>303668.19999999995</v>
      </c>
      <c r="F282" s="40">
        <f t="shared" si="413"/>
        <v>298155.89999999997</v>
      </c>
      <c r="G282" s="26">
        <f t="shared" ref="G282" si="417">F282/E282*100</f>
        <v>98.184762184515861</v>
      </c>
      <c r="H282" s="40">
        <f t="shared" si="415"/>
        <v>7372.3</v>
      </c>
      <c r="I282" s="40">
        <f t="shared" si="415"/>
        <v>7038.8</v>
      </c>
      <c r="J282" s="40">
        <f t="shared" si="415"/>
        <v>95.476309971108066</v>
      </c>
      <c r="K282" s="40">
        <f t="shared" si="415"/>
        <v>33948.9</v>
      </c>
      <c r="L282" s="40">
        <f t="shared" si="415"/>
        <v>33972.199999999997</v>
      </c>
      <c r="M282" s="40">
        <f t="shared" si="415"/>
        <v>100.06863256246888</v>
      </c>
      <c r="N282" s="40">
        <f t="shared" si="415"/>
        <v>28215.9</v>
      </c>
      <c r="O282" s="40">
        <f t="shared" si="415"/>
        <v>28172.299999999996</v>
      </c>
      <c r="P282" s="40">
        <f t="shared" si="415"/>
        <v>99.681907282518679</v>
      </c>
      <c r="Q282" s="40">
        <f t="shared" si="415"/>
        <v>32810.800000000003</v>
      </c>
      <c r="R282" s="40">
        <f t="shared" si="415"/>
        <v>35018.400000000001</v>
      </c>
      <c r="S282" s="40">
        <f t="shared" si="415"/>
        <v>106.86938447096688</v>
      </c>
      <c r="T282" s="40">
        <f t="shared" si="415"/>
        <v>27004</v>
      </c>
      <c r="U282" s="40">
        <f t="shared" si="415"/>
        <v>25693.099999999995</v>
      </c>
      <c r="V282" s="40">
        <f t="shared" si="415"/>
        <v>92.580741637569758</v>
      </c>
      <c r="W282" s="40">
        <f t="shared" si="415"/>
        <v>16614.8</v>
      </c>
      <c r="X282" s="40">
        <f t="shared" si="415"/>
        <v>14986.099999999999</v>
      </c>
      <c r="Y282" s="40">
        <f t="shared" si="415"/>
        <v>90.19729397886222</v>
      </c>
      <c r="Z282" s="40">
        <f t="shared" si="415"/>
        <v>23803.4</v>
      </c>
      <c r="AA282" s="40">
        <f t="shared" si="415"/>
        <v>21256.799999999999</v>
      </c>
      <c r="AB282" s="40">
        <f t="shared" si="415"/>
        <v>89.301528353092408</v>
      </c>
      <c r="AC282" s="40">
        <f t="shared" si="415"/>
        <v>20917.999999999993</v>
      </c>
      <c r="AD282" s="40">
        <f t="shared" si="415"/>
        <v>16944.600000000002</v>
      </c>
      <c r="AE282" s="40">
        <f t="shared" si="415"/>
        <v>-658.8485255702019</v>
      </c>
      <c r="AF282" s="40">
        <f t="shared" si="415"/>
        <v>8631</v>
      </c>
      <c r="AG282" s="40">
        <f t="shared" si="415"/>
        <v>13241.799999999996</v>
      </c>
      <c r="AH282" s="40">
        <f t="shared" si="415"/>
        <v>79.625012386214195</v>
      </c>
      <c r="AI282" s="40">
        <f t="shared" si="415"/>
        <v>42147.400000000009</v>
      </c>
      <c r="AJ282" s="40">
        <f t="shared" si="415"/>
        <v>33250.500000000007</v>
      </c>
      <c r="AK282" s="40">
        <f t="shared" si="415"/>
        <v>-206.79897805115513</v>
      </c>
      <c r="AL282" s="40">
        <f t="shared" si="415"/>
        <v>25853.1</v>
      </c>
      <c r="AM282" s="40">
        <f t="shared" si="415"/>
        <v>24223.599999999999</v>
      </c>
      <c r="AN282" s="26">
        <f t="shared" si="416"/>
        <v>93.697080814293059</v>
      </c>
      <c r="AO282" s="40">
        <f t="shared" si="415"/>
        <v>36348.599999999991</v>
      </c>
      <c r="AP282" s="40">
        <f t="shared" si="415"/>
        <v>44357.700000000004</v>
      </c>
      <c r="AQ282" s="26">
        <f t="shared" ref="AQ282" si="418">AP282/AO282*100</f>
        <v>122.03413611528372</v>
      </c>
      <c r="AR282" s="36"/>
      <c r="AS282" s="36"/>
      <c r="AT282" s="80">
        <f t="shared" si="369"/>
        <v>0.98184762184515861</v>
      </c>
      <c r="AU282" s="84">
        <f t="shared" si="301"/>
        <v>69537.100000000006</v>
      </c>
      <c r="AV282" s="84">
        <f t="shared" si="302"/>
        <v>76429.600000000006</v>
      </c>
      <c r="AW282" s="84">
        <f t="shared" si="303"/>
        <v>53352.399999999994</v>
      </c>
      <c r="AX282" s="84">
        <f t="shared" si="304"/>
        <v>104349.09999999999</v>
      </c>
    </row>
    <row r="283" spans="1:50" ht="15.6" x14ac:dyDescent="0.3">
      <c r="A283" s="163"/>
      <c r="B283" s="164"/>
      <c r="C283" s="165"/>
      <c r="D283" s="39" t="s">
        <v>23</v>
      </c>
      <c r="E283" s="40">
        <f t="shared" si="414"/>
        <v>0</v>
      </c>
      <c r="F283" s="40">
        <f t="shared" si="413"/>
        <v>0</v>
      </c>
      <c r="G283" s="26"/>
      <c r="H283" s="40">
        <f t="shared" si="415"/>
        <v>0</v>
      </c>
      <c r="I283" s="40">
        <f t="shared" si="415"/>
        <v>0</v>
      </c>
      <c r="J283" s="40">
        <f t="shared" si="415"/>
        <v>0</v>
      </c>
      <c r="K283" s="40">
        <f t="shared" si="415"/>
        <v>0</v>
      </c>
      <c r="L283" s="40">
        <f t="shared" si="415"/>
        <v>0</v>
      </c>
      <c r="M283" s="40">
        <f t="shared" si="415"/>
        <v>0</v>
      </c>
      <c r="N283" s="40">
        <f t="shared" si="415"/>
        <v>0</v>
      </c>
      <c r="O283" s="40">
        <f t="shared" si="415"/>
        <v>0</v>
      </c>
      <c r="P283" s="40">
        <f t="shared" si="415"/>
        <v>0</v>
      </c>
      <c r="Q283" s="40">
        <f t="shared" si="415"/>
        <v>0</v>
      </c>
      <c r="R283" s="40">
        <f t="shared" si="415"/>
        <v>0</v>
      </c>
      <c r="S283" s="40">
        <f t="shared" si="415"/>
        <v>0</v>
      </c>
      <c r="T283" s="40">
        <f t="shared" si="415"/>
        <v>0</v>
      </c>
      <c r="U283" s="40">
        <f t="shared" si="415"/>
        <v>0</v>
      </c>
      <c r="V283" s="40">
        <f t="shared" si="415"/>
        <v>0</v>
      </c>
      <c r="W283" s="40">
        <f t="shared" si="415"/>
        <v>0</v>
      </c>
      <c r="X283" s="40">
        <f t="shared" si="415"/>
        <v>0</v>
      </c>
      <c r="Y283" s="40">
        <f t="shared" si="415"/>
        <v>0</v>
      </c>
      <c r="Z283" s="40">
        <f t="shared" si="415"/>
        <v>0</v>
      </c>
      <c r="AA283" s="40">
        <f t="shared" si="415"/>
        <v>0</v>
      </c>
      <c r="AB283" s="40">
        <f t="shared" si="415"/>
        <v>0</v>
      </c>
      <c r="AC283" s="40">
        <f t="shared" si="415"/>
        <v>0</v>
      </c>
      <c r="AD283" s="40">
        <f t="shared" si="415"/>
        <v>0</v>
      </c>
      <c r="AE283" s="40">
        <f t="shared" si="415"/>
        <v>0</v>
      </c>
      <c r="AF283" s="40">
        <f t="shared" si="415"/>
        <v>0</v>
      </c>
      <c r="AG283" s="40">
        <f t="shared" si="415"/>
        <v>0</v>
      </c>
      <c r="AH283" s="40">
        <f t="shared" si="415"/>
        <v>0</v>
      </c>
      <c r="AI283" s="40">
        <f t="shared" si="415"/>
        <v>0</v>
      </c>
      <c r="AJ283" s="40">
        <f t="shared" si="415"/>
        <v>0</v>
      </c>
      <c r="AK283" s="40">
        <f t="shared" si="415"/>
        <v>0</v>
      </c>
      <c r="AL283" s="40">
        <f t="shared" si="415"/>
        <v>0</v>
      </c>
      <c r="AM283" s="40">
        <f t="shared" si="415"/>
        <v>0</v>
      </c>
      <c r="AN283" s="40">
        <f t="shared" si="415"/>
        <v>0</v>
      </c>
      <c r="AO283" s="40">
        <f t="shared" si="415"/>
        <v>0</v>
      </c>
      <c r="AP283" s="50"/>
      <c r="AQ283" s="26"/>
      <c r="AR283" s="36"/>
      <c r="AS283" s="36"/>
      <c r="AT283" s="80"/>
      <c r="AU283" s="84">
        <f t="shared" si="301"/>
        <v>0</v>
      </c>
      <c r="AV283" s="84">
        <f t="shared" si="302"/>
        <v>0</v>
      </c>
      <c r="AW283" s="84">
        <f t="shared" si="303"/>
        <v>0</v>
      </c>
      <c r="AX283" s="84">
        <f t="shared" si="304"/>
        <v>0</v>
      </c>
    </row>
    <row r="284" spans="1:50" ht="15.6" x14ac:dyDescent="0.3">
      <c r="A284" s="166"/>
      <c r="B284" s="167"/>
      <c r="C284" s="168"/>
      <c r="D284" s="39" t="s">
        <v>131</v>
      </c>
      <c r="E284" s="40"/>
      <c r="F284" s="40">
        <f t="shared" si="413"/>
        <v>3049</v>
      </c>
      <c r="G284" s="26"/>
      <c r="H284" s="40"/>
      <c r="I284" s="40"/>
      <c r="J284" s="40"/>
      <c r="K284" s="40"/>
      <c r="L284" s="40"/>
      <c r="M284" s="40"/>
      <c r="N284" s="40"/>
      <c r="O284" s="40">
        <f>O232</f>
        <v>40</v>
      </c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>
        <f>AJ82</f>
        <v>3009</v>
      </c>
      <c r="AK284" s="40"/>
      <c r="AL284" s="40"/>
      <c r="AM284" s="40"/>
      <c r="AN284" s="40"/>
      <c r="AO284" s="40"/>
      <c r="AP284" s="50"/>
      <c r="AQ284" s="26"/>
      <c r="AR284" s="36"/>
      <c r="AS284" s="36"/>
      <c r="AT284" s="80"/>
      <c r="AU284" s="84"/>
      <c r="AV284" s="84"/>
      <c r="AW284" s="84"/>
      <c r="AX284" s="84"/>
    </row>
    <row r="285" spans="1:50" ht="15.75" customHeight="1" x14ac:dyDescent="0.3">
      <c r="A285" s="160" t="s">
        <v>123</v>
      </c>
      <c r="B285" s="161"/>
      <c r="C285" s="162"/>
      <c r="D285" s="39" t="s">
        <v>3</v>
      </c>
      <c r="E285" s="40">
        <f>H285+K285+N285+Q285+T285+W285+Z285+AC285+AF285+AI285+AL285+AO285</f>
        <v>75152.5</v>
      </c>
      <c r="F285" s="40">
        <f t="shared" si="413"/>
        <v>72477.699999999983</v>
      </c>
      <c r="G285" s="26">
        <f>F285/E285*100</f>
        <v>96.440836964838141</v>
      </c>
      <c r="H285" s="40">
        <f>H286+H287+H288+H289</f>
        <v>0</v>
      </c>
      <c r="I285" s="40">
        <f>I286+I287+I288+I289</f>
        <v>0</v>
      </c>
      <c r="J285" s="26"/>
      <c r="K285" s="40">
        <f>K286+K287+K288+K289</f>
        <v>0</v>
      </c>
      <c r="L285" s="40">
        <f>L286+L287+L288+L289</f>
        <v>0</v>
      </c>
      <c r="M285" s="26"/>
      <c r="N285" s="40">
        <f>N286+N287+N288+N289</f>
        <v>46.3</v>
      </c>
      <c r="O285" s="40">
        <f>O286+O287+O288+O289</f>
        <v>0</v>
      </c>
      <c r="P285" s="26"/>
      <c r="Q285" s="40">
        <f>Q286+Q287+Q288+Q289</f>
        <v>0</v>
      </c>
      <c r="R285" s="40">
        <f>R286+R287+R288+R289</f>
        <v>46.3</v>
      </c>
      <c r="S285" s="26"/>
      <c r="T285" s="40">
        <f>T286+T287+T288+T289</f>
        <v>0</v>
      </c>
      <c r="U285" s="40">
        <f>U286+U287+U288+U289</f>
        <v>0</v>
      </c>
      <c r="V285" s="26"/>
      <c r="W285" s="40">
        <f>W286+W287+W288+W289</f>
        <v>0</v>
      </c>
      <c r="X285" s="40">
        <f>X286+X287+X288+X289</f>
        <v>0</v>
      </c>
      <c r="Y285" s="26"/>
      <c r="Z285" s="40">
        <f>Z286+Z287+Z288+Z289</f>
        <v>0</v>
      </c>
      <c r="AA285" s="40">
        <f>AA286+AA287+AA288+AA289</f>
        <v>0</v>
      </c>
      <c r="AB285" s="26"/>
      <c r="AC285" s="40">
        <f>AC286+AC287+AC288+AC289</f>
        <v>41796.300000000003</v>
      </c>
      <c r="AD285" s="40">
        <f>AD286+AD287+AD288+AD289</f>
        <v>0</v>
      </c>
      <c r="AE285" s="26"/>
      <c r="AF285" s="40">
        <f>AF286+AF287+AF288+AF289</f>
        <v>28708.9</v>
      </c>
      <c r="AG285" s="40">
        <f>AG286+AG287+AG288+AG289</f>
        <v>16490.099999999999</v>
      </c>
      <c r="AH285" s="26"/>
      <c r="AI285" s="40">
        <f>AI286+AI287+AI288+AI289</f>
        <v>3362.6000000000004</v>
      </c>
      <c r="AJ285" s="40">
        <f>AJ286+AJ287+AJ288+AJ289</f>
        <v>10161.4</v>
      </c>
      <c r="AK285" s="26">
        <f>AJ285/AI285*100</f>
        <v>302.18878248974005</v>
      </c>
      <c r="AL285" s="40">
        <f>AL286+AL287+AL288+AL289</f>
        <v>0</v>
      </c>
      <c r="AM285" s="40">
        <f>AM286+AM287+AM288+AM289</f>
        <v>40859.5</v>
      </c>
      <c r="AN285" s="26"/>
      <c r="AO285" s="40">
        <f>AO286+AO287+AO288+AO289</f>
        <v>1238.4000000000001</v>
      </c>
      <c r="AP285" s="40">
        <f>AP286+AP287+AP288+AP289</f>
        <v>4920.3999999999996</v>
      </c>
      <c r="AQ285" s="26">
        <f>AP285/AO285*100</f>
        <v>397.31912144702835</v>
      </c>
      <c r="AR285" s="36"/>
      <c r="AS285" s="36"/>
      <c r="AT285" s="80">
        <f t="shared" si="369"/>
        <v>0.96440836964838139</v>
      </c>
      <c r="AU285" s="84">
        <f t="shared" si="301"/>
        <v>46.3</v>
      </c>
      <c r="AV285" s="84">
        <f t="shared" si="302"/>
        <v>0</v>
      </c>
      <c r="AW285" s="84">
        <f t="shared" si="303"/>
        <v>70505.200000000012</v>
      </c>
      <c r="AX285" s="84">
        <f t="shared" si="304"/>
        <v>4601</v>
      </c>
    </row>
    <row r="286" spans="1:50" ht="14.25" customHeight="1" x14ac:dyDescent="0.3">
      <c r="A286" s="163"/>
      <c r="B286" s="164"/>
      <c r="C286" s="165"/>
      <c r="D286" s="39" t="s">
        <v>22</v>
      </c>
      <c r="E286" s="40">
        <f t="shared" ref="E286:E289" si="419">H286+K286+N286+Q286+T286+W286+Z286+AC286+AF286+AI286+AL286+AO286</f>
        <v>0</v>
      </c>
      <c r="F286" s="40">
        <f t="shared" si="413"/>
        <v>0</v>
      </c>
      <c r="G286" s="26"/>
      <c r="H286" s="40"/>
      <c r="I286" s="40"/>
      <c r="J286" s="26"/>
      <c r="K286" s="40"/>
      <c r="L286" s="40"/>
      <c r="M286" s="26"/>
      <c r="N286" s="40"/>
      <c r="O286" s="40"/>
      <c r="P286" s="26"/>
      <c r="Q286" s="40"/>
      <c r="R286" s="40"/>
      <c r="S286" s="26"/>
      <c r="T286" s="40"/>
      <c r="U286" s="40"/>
      <c r="V286" s="26"/>
      <c r="W286" s="40"/>
      <c r="X286" s="40"/>
      <c r="Y286" s="26"/>
      <c r="Z286" s="40"/>
      <c r="AA286" s="40"/>
      <c r="AB286" s="26"/>
      <c r="AC286" s="40"/>
      <c r="AD286" s="40"/>
      <c r="AE286" s="26"/>
      <c r="AF286" s="40"/>
      <c r="AG286" s="40"/>
      <c r="AH286" s="26"/>
      <c r="AI286" s="40"/>
      <c r="AJ286" s="40"/>
      <c r="AK286" s="26"/>
      <c r="AL286" s="40"/>
      <c r="AM286" s="40"/>
      <c r="AN286" s="26"/>
      <c r="AO286" s="40"/>
      <c r="AP286" s="45"/>
      <c r="AQ286" s="26"/>
      <c r="AR286" s="36"/>
      <c r="AS286" s="36"/>
      <c r="AT286" s="80"/>
      <c r="AU286" s="84">
        <f t="shared" si="301"/>
        <v>0</v>
      </c>
      <c r="AV286" s="84">
        <f t="shared" si="302"/>
        <v>0</v>
      </c>
      <c r="AW286" s="84">
        <f t="shared" si="303"/>
        <v>0</v>
      </c>
      <c r="AX286" s="84">
        <f t="shared" si="304"/>
        <v>0</v>
      </c>
    </row>
    <row r="287" spans="1:50" ht="23.25" customHeight="1" x14ac:dyDescent="0.3">
      <c r="A287" s="163"/>
      <c r="B287" s="164"/>
      <c r="C287" s="165"/>
      <c r="D287" s="39" t="s">
        <v>4</v>
      </c>
      <c r="E287" s="40">
        <f t="shared" si="419"/>
        <v>0</v>
      </c>
      <c r="F287" s="40">
        <f t="shared" si="413"/>
        <v>0</v>
      </c>
      <c r="G287" s="26"/>
      <c r="H287" s="40"/>
      <c r="I287" s="40"/>
      <c r="J287" s="26"/>
      <c r="K287" s="40"/>
      <c r="L287" s="40"/>
      <c r="M287" s="26"/>
      <c r="N287" s="40"/>
      <c r="O287" s="40"/>
      <c r="P287" s="26"/>
      <c r="Q287" s="40"/>
      <c r="R287" s="40"/>
      <c r="S287" s="26"/>
      <c r="T287" s="40"/>
      <c r="U287" s="40"/>
      <c r="V287" s="26"/>
      <c r="W287" s="40"/>
      <c r="X287" s="40"/>
      <c r="Y287" s="26"/>
      <c r="Z287" s="40"/>
      <c r="AA287" s="40"/>
      <c r="AB287" s="26"/>
      <c r="AC287" s="40"/>
      <c r="AD287" s="40"/>
      <c r="AE287" s="26"/>
      <c r="AF287" s="40"/>
      <c r="AG287" s="40"/>
      <c r="AH287" s="26"/>
      <c r="AI287" s="40"/>
      <c r="AJ287" s="40"/>
      <c r="AK287" s="26"/>
      <c r="AL287" s="40"/>
      <c r="AM287" s="40"/>
      <c r="AN287" s="26"/>
      <c r="AO287" s="40"/>
      <c r="AP287" s="45"/>
      <c r="AQ287" s="26"/>
      <c r="AR287" s="36"/>
      <c r="AS287" s="36"/>
      <c r="AT287" s="80"/>
      <c r="AU287" s="84">
        <f t="shared" si="301"/>
        <v>0</v>
      </c>
      <c r="AV287" s="84">
        <f t="shared" si="302"/>
        <v>0</v>
      </c>
      <c r="AW287" s="84">
        <f t="shared" si="303"/>
        <v>0</v>
      </c>
      <c r="AX287" s="84">
        <f t="shared" si="304"/>
        <v>0</v>
      </c>
    </row>
    <row r="288" spans="1:50" ht="14.25" customHeight="1" x14ac:dyDescent="0.3">
      <c r="A288" s="163"/>
      <c r="B288" s="164"/>
      <c r="C288" s="165"/>
      <c r="D288" s="39" t="s">
        <v>44</v>
      </c>
      <c r="E288" s="40">
        <f t="shared" si="419"/>
        <v>75152.5</v>
      </c>
      <c r="F288" s="40">
        <f t="shared" si="413"/>
        <v>72477.699999999983</v>
      </c>
      <c r="G288" s="26">
        <f>F288/E288*100</f>
        <v>96.440836964838141</v>
      </c>
      <c r="H288" s="40"/>
      <c r="I288" s="40"/>
      <c r="J288" s="26"/>
      <c r="K288" s="40"/>
      <c r="L288" s="40"/>
      <c r="M288" s="26"/>
      <c r="N288" s="40">
        <f>N43+N64</f>
        <v>46.3</v>
      </c>
      <c r="O288" s="40">
        <f>O43+O64</f>
        <v>0</v>
      </c>
      <c r="P288" s="26"/>
      <c r="Q288" s="40">
        <f>Q43+Q64</f>
        <v>0</v>
      </c>
      <c r="R288" s="40">
        <f>R43+R64</f>
        <v>46.3</v>
      </c>
      <c r="S288" s="26"/>
      <c r="T288" s="40">
        <f>T43+T64</f>
        <v>0</v>
      </c>
      <c r="U288" s="40">
        <f>U43+U64</f>
        <v>0</v>
      </c>
      <c r="V288" s="26"/>
      <c r="W288" s="40">
        <f>W43+W64</f>
        <v>0</v>
      </c>
      <c r="X288" s="40">
        <f>X43+X64</f>
        <v>0</v>
      </c>
      <c r="Y288" s="26"/>
      <c r="Z288" s="40">
        <f>Z43+Z64</f>
        <v>0</v>
      </c>
      <c r="AA288" s="40">
        <f>AA43+AA64</f>
        <v>0</v>
      </c>
      <c r="AB288" s="26"/>
      <c r="AC288" s="40">
        <f>AC43+AC64</f>
        <v>41796.300000000003</v>
      </c>
      <c r="AD288" s="40">
        <f>AD43+AD64</f>
        <v>0</v>
      </c>
      <c r="AE288" s="26"/>
      <c r="AF288" s="40">
        <f>AF43+AF64</f>
        <v>28708.9</v>
      </c>
      <c r="AG288" s="40">
        <f>AG43+AG64</f>
        <v>16490.099999999999</v>
      </c>
      <c r="AH288" s="26"/>
      <c r="AI288" s="40">
        <f>AI43+AI64</f>
        <v>3362.6000000000004</v>
      </c>
      <c r="AJ288" s="40">
        <f>AJ43+AJ64</f>
        <v>10161.4</v>
      </c>
      <c r="AK288" s="26">
        <f>AJ288/AI288*100</f>
        <v>302.18878248974005</v>
      </c>
      <c r="AL288" s="40">
        <f>AL43+AL64</f>
        <v>0</v>
      </c>
      <c r="AM288" s="40">
        <f>AM43+AM64</f>
        <v>40859.5</v>
      </c>
      <c r="AN288" s="26"/>
      <c r="AO288" s="40">
        <f>AO43+AO64</f>
        <v>1238.4000000000001</v>
      </c>
      <c r="AP288" s="45">
        <f>AP43+AP64</f>
        <v>4920.3999999999996</v>
      </c>
      <c r="AQ288" s="26">
        <f t="shared" ref="AQ288" si="420">AP288/AO288*100</f>
        <v>397.31912144702835</v>
      </c>
      <c r="AR288" s="36"/>
      <c r="AS288" s="36"/>
      <c r="AT288" s="80">
        <f t="shared" si="369"/>
        <v>0.96440836964838139</v>
      </c>
      <c r="AU288" s="84">
        <f t="shared" si="301"/>
        <v>46.3</v>
      </c>
      <c r="AV288" s="84">
        <f t="shared" si="302"/>
        <v>0</v>
      </c>
      <c r="AW288" s="84">
        <f t="shared" si="303"/>
        <v>70505.200000000012</v>
      </c>
      <c r="AX288" s="84">
        <f t="shared" si="304"/>
        <v>4601</v>
      </c>
    </row>
    <row r="289" spans="1:73" ht="14.25" customHeight="1" x14ac:dyDescent="0.3">
      <c r="A289" s="163"/>
      <c r="B289" s="164"/>
      <c r="C289" s="165"/>
      <c r="D289" s="39" t="s">
        <v>23</v>
      </c>
      <c r="E289" s="40">
        <f t="shared" si="419"/>
        <v>0</v>
      </c>
      <c r="F289" s="40">
        <f t="shared" si="413"/>
        <v>0</v>
      </c>
      <c r="G289" s="26"/>
      <c r="H289" s="40"/>
      <c r="I289" s="40"/>
      <c r="J289" s="26"/>
      <c r="K289" s="40"/>
      <c r="L289" s="40"/>
      <c r="M289" s="26"/>
      <c r="N289" s="40"/>
      <c r="O289" s="40"/>
      <c r="P289" s="26"/>
      <c r="Q289" s="40"/>
      <c r="R289" s="40"/>
      <c r="S289" s="26"/>
      <c r="T289" s="40"/>
      <c r="U289" s="40"/>
      <c r="V289" s="26"/>
      <c r="W289" s="40"/>
      <c r="X289" s="40"/>
      <c r="Y289" s="26"/>
      <c r="Z289" s="40"/>
      <c r="AA289" s="40"/>
      <c r="AB289" s="26"/>
      <c r="AC289" s="40"/>
      <c r="AD289" s="40"/>
      <c r="AE289" s="26"/>
      <c r="AF289" s="40"/>
      <c r="AG289" s="40"/>
      <c r="AH289" s="26"/>
      <c r="AI289" s="40"/>
      <c r="AJ289" s="40"/>
      <c r="AK289" s="26"/>
      <c r="AL289" s="40"/>
      <c r="AM289" s="40"/>
      <c r="AN289" s="26"/>
      <c r="AO289" s="40"/>
      <c r="AP289" s="45"/>
      <c r="AQ289" s="26"/>
      <c r="AR289" s="36"/>
      <c r="AS289" s="36"/>
      <c r="AT289" s="80"/>
      <c r="AU289" s="84">
        <f t="shared" si="301"/>
        <v>0</v>
      </c>
      <c r="AV289" s="84">
        <f t="shared" si="302"/>
        <v>0</v>
      </c>
      <c r="AW289" s="84">
        <f t="shared" si="303"/>
        <v>0</v>
      </c>
      <c r="AX289" s="84">
        <f t="shared" si="304"/>
        <v>0</v>
      </c>
    </row>
    <row r="290" spans="1:73" ht="14.25" customHeight="1" x14ac:dyDescent="0.3">
      <c r="A290" s="166"/>
      <c r="B290" s="167"/>
      <c r="C290" s="168"/>
      <c r="D290" s="39" t="s">
        <v>131</v>
      </c>
      <c r="E290" s="40"/>
      <c r="F290" s="40">
        <f t="shared" si="413"/>
        <v>6372.6</v>
      </c>
      <c r="G290" s="26"/>
      <c r="H290" s="40"/>
      <c r="I290" s="40"/>
      <c r="J290" s="26"/>
      <c r="K290" s="40"/>
      <c r="L290" s="40"/>
      <c r="M290" s="26"/>
      <c r="N290" s="40"/>
      <c r="O290" s="40">
        <f>O45</f>
        <v>4399.2</v>
      </c>
      <c r="P290" s="26"/>
      <c r="Q290" s="40"/>
      <c r="R290" s="40">
        <f>R45</f>
        <v>24</v>
      </c>
      <c r="S290" s="26"/>
      <c r="T290" s="40"/>
      <c r="U290" s="40"/>
      <c r="V290" s="26"/>
      <c r="W290" s="40"/>
      <c r="X290" s="40"/>
      <c r="Y290" s="26"/>
      <c r="Z290" s="40"/>
      <c r="AA290" s="40"/>
      <c r="AB290" s="26"/>
      <c r="AC290" s="40"/>
      <c r="AD290" s="40"/>
      <c r="AE290" s="26"/>
      <c r="AF290" s="40"/>
      <c r="AG290" s="40">
        <f>AG45</f>
        <v>1949.4</v>
      </c>
      <c r="AH290" s="26"/>
      <c r="AI290" s="40"/>
      <c r="AJ290" s="40"/>
      <c r="AK290" s="26"/>
      <c r="AL290" s="40"/>
      <c r="AM290" s="40"/>
      <c r="AN290" s="26"/>
      <c r="AO290" s="40"/>
      <c r="AP290" s="45"/>
      <c r="AQ290" s="26"/>
      <c r="AR290" s="36"/>
      <c r="AS290" s="36"/>
      <c r="AT290" s="80"/>
      <c r="AU290" s="84"/>
      <c r="AV290" s="84"/>
      <c r="AW290" s="84"/>
      <c r="AX290" s="84"/>
    </row>
    <row r="291" spans="1:73" ht="14.25" customHeight="1" x14ac:dyDescent="0.3">
      <c r="A291" s="169" t="s">
        <v>128</v>
      </c>
      <c r="B291" s="169"/>
      <c r="C291" s="169"/>
      <c r="D291" s="39" t="s">
        <v>3</v>
      </c>
      <c r="E291" s="40">
        <f>H291+K291+N291+Q291+T291+W291+Z291+AC291+AF291+AI291+AL291+AO291</f>
        <v>1456.8</v>
      </c>
      <c r="F291" s="40">
        <f t="shared" si="413"/>
        <v>1456.8</v>
      </c>
      <c r="G291" s="26">
        <f>F291/E291*100</f>
        <v>100</v>
      </c>
      <c r="H291" s="40">
        <f>H292+H293+H294+H295</f>
        <v>0</v>
      </c>
      <c r="I291" s="40">
        <f>I292+I293+I294+I295</f>
        <v>0</v>
      </c>
      <c r="J291" s="26"/>
      <c r="K291" s="40">
        <f>K292+K293+K294+K295</f>
        <v>0</v>
      </c>
      <c r="L291" s="40">
        <f>L292+L293+L294+L295</f>
        <v>0</v>
      </c>
      <c r="M291" s="26"/>
      <c r="N291" s="40">
        <f>N292+N293+N294+N295</f>
        <v>0</v>
      </c>
      <c r="O291" s="40">
        <f>O292+O293+O294+O295</f>
        <v>0</v>
      </c>
      <c r="P291" s="26"/>
      <c r="Q291" s="40">
        <f>Q292+Q293+Q294+Q295</f>
        <v>0</v>
      </c>
      <c r="R291" s="40">
        <f>R292+R293+R294+R295</f>
        <v>0</v>
      </c>
      <c r="S291" s="26"/>
      <c r="T291" s="40">
        <f>T292+T293+T294+T295</f>
        <v>1237.5999999999999</v>
      </c>
      <c r="U291" s="40">
        <f>U292+U293+U294+U295</f>
        <v>0</v>
      </c>
      <c r="V291" s="26"/>
      <c r="W291" s="40">
        <f>W292+W293+W294+W295</f>
        <v>0</v>
      </c>
      <c r="X291" s="40">
        <f>X292+X293+X294+X295</f>
        <v>0</v>
      </c>
      <c r="Y291" s="26"/>
      <c r="Z291" s="40">
        <f>Z292+Z293+Z294+Z295</f>
        <v>0</v>
      </c>
      <c r="AA291" s="40">
        <f>AA292+AA293+AA294+AA295</f>
        <v>0</v>
      </c>
      <c r="AB291" s="26"/>
      <c r="AC291" s="40">
        <f>AC292+AC293+AC294+AC295</f>
        <v>219.2</v>
      </c>
      <c r="AD291" s="40">
        <f>AD292+AD293+AD294+AD295</f>
        <v>1456.8</v>
      </c>
      <c r="AE291" s="26">
        <f>AD291/AC291*100</f>
        <v>664.59854014598545</v>
      </c>
      <c r="AF291" s="40">
        <f>AF292+AF293+AF294+AF295</f>
        <v>0</v>
      </c>
      <c r="AG291" s="40">
        <f>AG292+AG293+AG294+AG295</f>
        <v>0</v>
      </c>
      <c r="AH291" s="26"/>
      <c r="AI291" s="40">
        <f>AI292+AI293+AI294+AI295</f>
        <v>0</v>
      </c>
      <c r="AJ291" s="40">
        <f>AJ292+AJ293+AJ294+AJ295</f>
        <v>0</v>
      </c>
      <c r="AK291" s="26"/>
      <c r="AL291" s="40">
        <f>AL292+AL293+AL294+AL295</f>
        <v>0</v>
      </c>
      <c r="AM291" s="40">
        <f>AM292+AM293+AM294+AM295</f>
        <v>0</v>
      </c>
      <c r="AN291" s="26"/>
      <c r="AO291" s="40">
        <f>AO292+AO293+AO294+AO295</f>
        <v>0</v>
      </c>
      <c r="AP291" s="45"/>
      <c r="AQ291" s="26"/>
      <c r="AR291" s="36"/>
      <c r="AS291" s="36"/>
      <c r="AT291" s="80">
        <f t="shared" si="369"/>
        <v>1</v>
      </c>
      <c r="AU291" s="84">
        <f t="shared" si="301"/>
        <v>0</v>
      </c>
      <c r="AV291" s="84">
        <f t="shared" si="302"/>
        <v>1237.5999999999999</v>
      </c>
      <c r="AW291" s="84">
        <f t="shared" si="303"/>
        <v>219.2</v>
      </c>
      <c r="AX291" s="84">
        <f t="shared" si="304"/>
        <v>0</v>
      </c>
    </row>
    <row r="292" spans="1:73" ht="14.25" customHeight="1" x14ac:dyDescent="0.3">
      <c r="A292" s="169"/>
      <c r="B292" s="169"/>
      <c r="C292" s="169"/>
      <c r="D292" s="39" t="s">
        <v>22</v>
      </c>
      <c r="E292" s="40">
        <f t="shared" ref="E292:E295" si="421">H292+K292+N292+Q292+T292+W292+Z292+AC292+AF292+AI292+AL292+AO292</f>
        <v>0</v>
      </c>
      <c r="F292" s="40">
        <f t="shared" si="413"/>
        <v>0</v>
      </c>
      <c r="G292" s="26"/>
      <c r="H292" s="40"/>
      <c r="I292" s="40"/>
      <c r="J292" s="26"/>
      <c r="K292" s="40"/>
      <c r="L292" s="40"/>
      <c r="M292" s="26"/>
      <c r="N292" s="40"/>
      <c r="O292" s="40"/>
      <c r="P292" s="26"/>
      <c r="Q292" s="40"/>
      <c r="R292" s="40"/>
      <c r="S292" s="26"/>
      <c r="T292" s="40"/>
      <c r="U292" s="40"/>
      <c r="V292" s="26"/>
      <c r="W292" s="40"/>
      <c r="X292" s="40"/>
      <c r="Y292" s="26"/>
      <c r="Z292" s="40"/>
      <c r="AA292" s="40"/>
      <c r="AB292" s="26"/>
      <c r="AC292" s="40"/>
      <c r="AD292" s="40"/>
      <c r="AE292" s="26"/>
      <c r="AF292" s="40"/>
      <c r="AG292" s="40"/>
      <c r="AH292" s="26"/>
      <c r="AI292" s="40"/>
      <c r="AJ292" s="40"/>
      <c r="AK292" s="26"/>
      <c r="AL292" s="40"/>
      <c r="AM292" s="40"/>
      <c r="AN292" s="26"/>
      <c r="AO292" s="40"/>
      <c r="AP292" s="45"/>
      <c r="AQ292" s="26"/>
      <c r="AR292" s="36"/>
      <c r="AS292" s="36"/>
      <c r="AT292" s="80"/>
      <c r="AU292" s="84">
        <f t="shared" si="301"/>
        <v>0</v>
      </c>
      <c r="AV292" s="84">
        <f t="shared" si="302"/>
        <v>0</v>
      </c>
      <c r="AW292" s="84">
        <f t="shared" si="303"/>
        <v>0</v>
      </c>
      <c r="AX292" s="84">
        <f t="shared" si="304"/>
        <v>0</v>
      </c>
    </row>
    <row r="293" spans="1:73" ht="26.25" customHeight="1" x14ac:dyDescent="0.3">
      <c r="A293" s="169"/>
      <c r="B293" s="169"/>
      <c r="C293" s="169"/>
      <c r="D293" s="39" t="s">
        <v>4</v>
      </c>
      <c r="E293" s="40">
        <f t="shared" si="421"/>
        <v>581.29999999999995</v>
      </c>
      <c r="F293" s="40">
        <f t="shared" si="413"/>
        <v>581.29999999999995</v>
      </c>
      <c r="G293" s="26">
        <f>F293/E293*100</f>
        <v>100</v>
      </c>
      <c r="H293" s="40"/>
      <c r="I293" s="40"/>
      <c r="J293" s="26"/>
      <c r="K293" s="40"/>
      <c r="L293" s="40"/>
      <c r="M293" s="26"/>
      <c r="N293" s="40">
        <f>169.9-169.9</f>
        <v>0</v>
      </c>
      <c r="O293" s="40"/>
      <c r="P293" s="26"/>
      <c r="Q293" s="40"/>
      <c r="R293" s="40"/>
      <c r="S293" s="26"/>
      <c r="T293" s="40">
        <v>489.5</v>
      </c>
      <c r="U293" s="40"/>
      <c r="V293" s="26"/>
      <c r="W293" s="40"/>
      <c r="X293" s="40"/>
      <c r="Y293" s="26"/>
      <c r="Z293" s="40"/>
      <c r="AA293" s="40"/>
      <c r="AB293" s="26"/>
      <c r="AC293" s="40">
        <v>91.8</v>
      </c>
      <c r="AD293" s="40">
        <v>581.29999999999995</v>
      </c>
      <c r="AE293" s="26">
        <f>AD293/AC293*100</f>
        <v>633.22440087145969</v>
      </c>
      <c r="AF293" s="40"/>
      <c r="AG293" s="40"/>
      <c r="AH293" s="26"/>
      <c r="AI293" s="40"/>
      <c r="AJ293" s="40"/>
      <c r="AK293" s="26"/>
      <c r="AL293" s="40"/>
      <c r="AM293" s="40"/>
      <c r="AN293" s="26"/>
      <c r="AO293" s="40"/>
      <c r="AP293" s="45"/>
      <c r="AQ293" s="26"/>
      <c r="AR293" s="36"/>
      <c r="AS293" s="36"/>
      <c r="AT293" s="80">
        <f t="shared" si="369"/>
        <v>1</v>
      </c>
      <c r="AU293" s="84">
        <f t="shared" si="301"/>
        <v>0</v>
      </c>
      <c r="AV293" s="84">
        <f t="shared" si="302"/>
        <v>489.5</v>
      </c>
      <c r="AW293" s="84">
        <f t="shared" si="303"/>
        <v>91.8</v>
      </c>
      <c r="AX293" s="84">
        <f t="shared" si="304"/>
        <v>0</v>
      </c>
    </row>
    <row r="294" spans="1:73" ht="14.25" customHeight="1" x14ac:dyDescent="0.3">
      <c r="A294" s="169"/>
      <c r="B294" s="169"/>
      <c r="C294" s="169"/>
      <c r="D294" s="39" t="s">
        <v>44</v>
      </c>
      <c r="E294" s="40">
        <f t="shared" si="421"/>
        <v>875.5</v>
      </c>
      <c r="F294" s="40">
        <f t="shared" si="413"/>
        <v>875.5</v>
      </c>
      <c r="G294" s="26">
        <f t="shared" ref="G294" si="422">F294/E294*100</f>
        <v>100</v>
      </c>
      <c r="H294" s="40"/>
      <c r="I294" s="40"/>
      <c r="J294" s="26"/>
      <c r="K294" s="40"/>
      <c r="L294" s="40"/>
      <c r="M294" s="26"/>
      <c r="N294" s="40"/>
      <c r="O294" s="40"/>
      <c r="P294" s="26"/>
      <c r="Q294" s="40"/>
      <c r="R294" s="40"/>
      <c r="S294" s="26"/>
      <c r="T294" s="40">
        <v>748.1</v>
      </c>
      <c r="U294" s="40"/>
      <c r="V294" s="26"/>
      <c r="W294" s="40"/>
      <c r="X294" s="40"/>
      <c r="Y294" s="26"/>
      <c r="Z294" s="40"/>
      <c r="AA294" s="40"/>
      <c r="AB294" s="26"/>
      <c r="AC294" s="40">
        <v>127.4</v>
      </c>
      <c r="AD294" s="40">
        <v>875.5</v>
      </c>
      <c r="AE294" s="26">
        <f>AD294/AC294*100</f>
        <v>687.20565149136576</v>
      </c>
      <c r="AF294" s="40"/>
      <c r="AG294" s="40"/>
      <c r="AH294" s="26"/>
      <c r="AI294" s="40"/>
      <c r="AJ294" s="40"/>
      <c r="AK294" s="26"/>
      <c r="AL294" s="40"/>
      <c r="AM294" s="40"/>
      <c r="AN294" s="26"/>
      <c r="AO294" s="40"/>
      <c r="AP294" s="45"/>
      <c r="AQ294" s="26"/>
      <c r="AR294" s="36"/>
      <c r="AS294" s="36"/>
      <c r="AT294" s="80">
        <f t="shared" si="369"/>
        <v>1</v>
      </c>
      <c r="AU294" s="84">
        <f t="shared" si="301"/>
        <v>0</v>
      </c>
      <c r="AV294" s="84">
        <f t="shared" si="302"/>
        <v>748.1</v>
      </c>
      <c r="AW294" s="84">
        <f t="shared" si="303"/>
        <v>127.4</v>
      </c>
      <c r="AX294" s="84">
        <f t="shared" si="304"/>
        <v>0</v>
      </c>
    </row>
    <row r="295" spans="1:73" ht="14.25" customHeight="1" x14ac:dyDescent="0.3">
      <c r="A295" s="169"/>
      <c r="B295" s="169"/>
      <c r="C295" s="169"/>
      <c r="D295" s="39" t="s">
        <v>23</v>
      </c>
      <c r="E295" s="40">
        <f t="shared" si="421"/>
        <v>0</v>
      </c>
      <c r="F295" s="40">
        <f t="shared" si="413"/>
        <v>0</v>
      </c>
      <c r="G295" s="26"/>
      <c r="H295" s="40"/>
      <c r="I295" s="40"/>
      <c r="J295" s="26"/>
      <c r="K295" s="40"/>
      <c r="L295" s="40"/>
      <c r="M295" s="26"/>
      <c r="N295" s="40"/>
      <c r="O295" s="40"/>
      <c r="P295" s="26"/>
      <c r="Q295" s="40"/>
      <c r="R295" s="40"/>
      <c r="S295" s="26"/>
      <c r="T295" s="40"/>
      <c r="U295" s="40"/>
      <c r="V295" s="26"/>
      <c r="W295" s="40"/>
      <c r="X295" s="40"/>
      <c r="Y295" s="26"/>
      <c r="Z295" s="40"/>
      <c r="AA295" s="40"/>
      <c r="AB295" s="26"/>
      <c r="AC295" s="40"/>
      <c r="AD295" s="40"/>
      <c r="AE295" s="26"/>
      <c r="AF295" s="40"/>
      <c r="AG295" s="40"/>
      <c r="AH295" s="26"/>
      <c r="AI295" s="40"/>
      <c r="AJ295" s="40"/>
      <c r="AK295" s="26"/>
      <c r="AL295" s="40"/>
      <c r="AM295" s="40"/>
      <c r="AN295" s="26"/>
      <c r="AO295" s="40"/>
      <c r="AP295" s="45"/>
      <c r="AQ295" s="26"/>
      <c r="AR295" s="36"/>
      <c r="AS295" s="36"/>
      <c r="AT295" s="27"/>
      <c r="AU295" s="84">
        <f t="shared" si="301"/>
        <v>0</v>
      </c>
      <c r="AV295" s="84">
        <f t="shared" si="302"/>
        <v>0</v>
      </c>
      <c r="AW295" s="84">
        <f t="shared" si="303"/>
        <v>0</v>
      </c>
      <c r="AX295" s="84">
        <f t="shared" si="304"/>
        <v>0</v>
      </c>
    </row>
    <row r="296" spans="1:73" ht="15.6" x14ac:dyDescent="0.3">
      <c r="A296" s="51"/>
    </row>
    <row r="297" spans="1:73" ht="15.6" x14ac:dyDescent="0.3">
      <c r="A297" s="51"/>
      <c r="D297" s="66"/>
      <c r="E297" s="66"/>
      <c r="F297" s="66"/>
      <c r="G297" s="66"/>
      <c r="H297" s="66"/>
      <c r="N297" s="61"/>
    </row>
    <row r="298" spans="1:73" s="8" customFormat="1" ht="68.25" customHeight="1" x14ac:dyDescent="0.3">
      <c r="A298" s="1"/>
      <c r="B298" s="89" t="s">
        <v>291</v>
      </c>
      <c r="C298" s="2"/>
      <c r="D298" s="76"/>
      <c r="E298" s="77"/>
      <c r="F298" s="77"/>
      <c r="G298" s="77"/>
      <c r="H298" s="78"/>
      <c r="I298" s="21"/>
      <c r="J298" s="21"/>
      <c r="K298" s="3" t="s">
        <v>290</v>
      </c>
      <c r="L298" s="3"/>
      <c r="M298" s="3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"/>
      <c r="AG298" s="2"/>
      <c r="AH298" s="2"/>
      <c r="AI298" s="2"/>
      <c r="AJ298" s="2"/>
      <c r="AK298" s="2"/>
      <c r="AL298" s="5"/>
      <c r="AM298" s="5"/>
      <c r="AN298" s="5"/>
      <c r="AO298" s="5" t="s">
        <v>38</v>
      </c>
      <c r="AP298" s="5"/>
      <c r="AQ298" s="5"/>
      <c r="AR298" s="12"/>
      <c r="AS298" s="12"/>
      <c r="AT298" s="12"/>
      <c r="AU298" s="6"/>
      <c r="AV298" s="6"/>
      <c r="AW298" s="6"/>
      <c r="AX298" s="2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7"/>
      <c r="BS298" s="7"/>
      <c r="BT298" s="7"/>
      <c r="BU298" s="7"/>
    </row>
    <row r="299" spans="1:73" s="8" customFormat="1" ht="83.25" customHeight="1" x14ac:dyDescent="0.3">
      <c r="A299" s="1"/>
      <c r="B299" s="89"/>
      <c r="C299" s="67"/>
      <c r="D299" s="70"/>
      <c r="E299" s="71"/>
      <c r="F299" s="71"/>
      <c r="G299" s="71"/>
      <c r="H299" s="68"/>
      <c r="I299" s="68"/>
      <c r="J299" s="68"/>
      <c r="K299" s="69"/>
      <c r="L299" s="70"/>
      <c r="M299" s="70"/>
      <c r="N299" s="71"/>
      <c r="O299" s="71"/>
      <c r="P299" s="71"/>
      <c r="Q299" s="71"/>
      <c r="R299" s="71"/>
      <c r="S299" s="71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67"/>
      <c r="AG299" s="67"/>
      <c r="AH299" s="67"/>
      <c r="AI299" s="67"/>
      <c r="AJ299" s="67"/>
      <c r="AK299" s="67"/>
      <c r="AL299" s="71"/>
      <c r="AM299" s="71"/>
      <c r="AN299" s="71"/>
      <c r="AO299" s="73" t="s">
        <v>39</v>
      </c>
      <c r="AR299" s="12"/>
      <c r="AS299" s="12"/>
      <c r="AT299" s="12"/>
      <c r="AU299" s="6"/>
      <c r="AV299" s="6"/>
      <c r="AW299" s="6"/>
      <c r="AX299" s="2"/>
      <c r="AY299" s="5"/>
      <c r="AZ299" s="6"/>
      <c r="BA299" s="6"/>
      <c r="BB299" s="6"/>
      <c r="BC299" s="6"/>
      <c r="BD299" s="6"/>
      <c r="BE299" s="6"/>
      <c r="BF299" s="6"/>
      <c r="BG299" s="6"/>
      <c r="BH299" s="9"/>
      <c r="BI299" s="9"/>
      <c r="BJ299" s="9"/>
      <c r="BK299" s="9"/>
      <c r="BL299" s="9"/>
      <c r="BM299" s="9"/>
      <c r="BN299" s="9"/>
      <c r="BO299" s="10"/>
      <c r="BP299" s="10"/>
      <c r="BQ299" s="10"/>
      <c r="BR299" s="7"/>
      <c r="BS299" s="7"/>
      <c r="BT299" s="7"/>
      <c r="BU299" s="7"/>
    </row>
    <row r="300" spans="1:73" ht="46.5" customHeight="1" x14ac:dyDescent="0.3"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74"/>
      <c r="AK300" s="114"/>
      <c r="AL300" s="114"/>
      <c r="AM300" s="114"/>
      <c r="AN300" s="74"/>
      <c r="AO300" s="75" t="s">
        <v>129</v>
      </c>
    </row>
    <row r="301" spans="1:73" ht="15.75" customHeight="1" x14ac:dyDescent="0.3"/>
    <row r="302" spans="1:73" s="13" customFormat="1" ht="14.25" customHeight="1" x14ac:dyDescent="0.25">
      <c r="A302" s="15" t="s">
        <v>40</v>
      </c>
      <c r="B302" s="15"/>
      <c r="C302" s="122"/>
      <c r="D302" s="14"/>
      <c r="E302" s="16"/>
      <c r="F302" s="16"/>
      <c r="G302" s="16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2"/>
      <c r="AS302" s="12"/>
      <c r="AT302" s="12"/>
      <c r="AU302" s="6"/>
      <c r="AV302" s="6"/>
      <c r="AW302" s="6"/>
      <c r="AX302" s="6"/>
      <c r="AY302" s="11"/>
      <c r="AZ302" s="6"/>
      <c r="BA302" s="6"/>
      <c r="BB302" s="6"/>
      <c r="BC302" s="6"/>
      <c r="BD302" s="6"/>
      <c r="BE302" s="6"/>
      <c r="BF302" s="6"/>
      <c r="BG302" s="6"/>
      <c r="BH302" s="12"/>
      <c r="BI302" s="12"/>
      <c r="BJ302" s="12"/>
      <c r="BK302" s="6"/>
      <c r="BL302" s="6"/>
      <c r="BM302" s="6"/>
      <c r="BN302" s="10"/>
      <c r="BO302" s="10"/>
      <c r="BP302" s="10"/>
      <c r="BQ302" s="10"/>
      <c r="BR302" s="7"/>
      <c r="BS302" s="7"/>
      <c r="BT302" s="7"/>
      <c r="BU302" s="17"/>
    </row>
    <row r="303" spans="1:73" s="13" customFormat="1" ht="13.8" x14ac:dyDescent="0.3">
      <c r="A303" s="170" t="s">
        <v>130</v>
      </c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22"/>
      <c r="M303" s="122"/>
      <c r="N303" s="19"/>
      <c r="O303" s="19"/>
      <c r="P303" s="19"/>
      <c r="Q303" s="12"/>
      <c r="R303" s="12"/>
      <c r="S303" s="12"/>
      <c r="T303" s="12"/>
      <c r="U303" s="12"/>
      <c r="V303" s="12"/>
      <c r="W303" s="20"/>
      <c r="X303" s="20"/>
      <c r="Y303" s="20"/>
      <c r="Z303" s="12"/>
      <c r="AA303" s="12"/>
      <c r="AB303" s="12"/>
      <c r="AC303" s="12"/>
      <c r="AD303" s="12"/>
      <c r="AE303" s="12"/>
      <c r="AF303" s="19"/>
      <c r="AG303" s="19"/>
      <c r="AH303" s="19"/>
      <c r="AI303" s="12"/>
      <c r="AJ303" s="12"/>
      <c r="AK303" s="12"/>
      <c r="AL303" s="12"/>
      <c r="AM303" s="12"/>
      <c r="AN303" s="12"/>
      <c r="AO303" s="19"/>
      <c r="AP303" s="19"/>
      <c r="AQ303" s="19"/>
      <c r="AR303" s="12"/>
      <c r="AS303" s="12"/>
      <c r="AT303" s="12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12"/>
      <c r="BI303" s="12"/>
      <c r="BJ303" s="12"/>
      <c r="BK303" s="6"/>
      <c r="BL303" s="6"/>
      <c r="BM303" s="6"/>
      <c r="BN303" s="10"/>
      <c r="BO303" s="10"/>
      <c r="BP303" s="10"/>
      <c r="BQ303" s="10"/>
      <c r="BR303" s="7"/>
      <c r="BS303" s="7"/>
      <c r="BT303" s="7"/>
    </row>
  </sheetData>
  <mergeCells count="166">
    <mergeCell ref="A303:K303"/>
    <mergeCell ref="A250:A254"/>
    <mergeCell ref="B250:B254"/>
    <mergeCell ref="C250:C254"/>
    <mergeCell ref="A255:C259"/>
    <mergeCell ref="A260:C265"/>
    <mergeCell ref="A266:C271"/>
    <mergeCell ref="A272:C277"/>
    <mergeCell ref="A278:C278"/>
    <mergeCell ref="A279:C284"/>
    <mergeCell ref="A227:A232"/>
    <mergeCell ref="B227:B232"/>
    <mergeCell ref="C227:C232"/>
    <mergeCell ref="A233:C238"/>
    <mergeCell ref="A240:A244"/>
    <mergeCell ref="B240:B244"/>
    <mergeCell ref="C240:C244"/>
    <mergeCell ref="A285:C290"/>
    <mergeCell ref="A291:C295"/>
    <mergeCell ref="C206:C210"/>
    <mergeCell ref="A211:C215"/>
    <mergeCell ref="A217:A221"/>
    <mergeCell ref="B217:B221"/>
    <mergeCell ref="C217:C221"/>
    <mergeCell ref="A222:A226"/>
    <mergeCell ref="B222:B226"/>
    <mergeCell ref="C222:C226"/>
    <mergeCell ref="A206:A210"/>
    <mergeCell ref="A119:A123"/>
    <mergeCell ref="B119:B123"/>
    <mergeCell ref="C119:C123"/>
    <mergeCell ref="A124:A128"/>
    <mergeCell ref="B124:B128"/>
    <mergeCell ref="C124:C128"/>
    <mergeCell ref="A129:A133"/>
    <mergeCell ref="B129:B133"/>
    <mergeCell ref="C129:C133"/>
    <mergeCell ref="A104:A108"/>
    <mergeCell ref="B104:B108"/>
    <mergeCell ref="C104:C108"/>
    <mergeCell ref="A109:A113"/>
    <mergeCell ref="B109:B113"/>
    <mergeCell ref="C109:C113"/>
    <mergeCell ref="A114:A118"/>
    <mergeCell ref="B114:B118"/>
    <mergeCell ref="C114:C11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C66:C70"/>
    <mergeCell ref="A72:A76"/>
    <mergeCell ref="B72:B76"/>
    <mergeCell ref="C72:C76"/>
    <mergeCell ref="A77:C82"/>
    <mergeCell ref="A84:A88"/>
    <mergeCell ref="B84:B88"/>
    <mergeCell ref="C84:C88"/>
    <mergeCell ref="B66:B71"/>
    <mergeCell ref="A66:A71"/>
    <mergeCell ref="A46:A50"/>
    <mergeCell ref="B46:B50"/>
    <mergeCell ref="C46:C50"/>
    <mergeCell ref="A61:A65"/>
    <mergeCell ref="B61:B65"/>
    <mergeCell ref="C61:C65"/>
    <mergeCell ref="A29:C33"/>
    <mergeCell ref="A35:A39"/>
    <mergeCell ref="B35:B39"/>
    <mergeCell ref="C35:C39"/>
    <mergeCell ref="A40:A45"/>
    <mergeCell ref="B40:B45"/>
    <mergeCell ref="A51:A55"/>
    <mergeCell ref="B51:B55"/>
    <mergeCell ref="C51:C55"/>
    <mergeCell ref="A56:A60"/>
    <mergeCell ref="B56:B60"/>
    <mergeCell ref="C56:C60"/>
    <mergeCell ref="C40:C45"/>
    <mergeCell ref="B19:B23"/>
    <mergeCell ref="C19:C23"/>
    <mergeCell ref="A24:A28"/>
    <mergeCell ref="B24:B28"/>
    <mergeCell ref="C24:C28"/>
    <mergeCell ref="A9:A13"/>
    <mergeCell ref="B9:B13"/>
    <mergeCell ref="C9:C13"/>
    <mergeCell ref="A14:A18"/>
    <mergeCell ref="B14:B18"/>
    <mergeCell ref="C14:C18"/>
    <mergeCell ref="A19:A23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S242:AS243"/>
    <mergeCell ref="A245:A249"/>
    <mergeCell ref="B245:B249"/>
    <mergeCell ref="C245:C249"/>
    <mergeCell ref="C165:C169"/>
    <mergeCell ref="A170:A174"/>
    <mergeCell ref="B170:B174"/>
    <mergeCell ref="C170:C174"/>
    <mergeCell ref="A175:A179"/>
    <mergeCell ref="B175:B179"/>
    <mergeCell ref="C175:C179"/>
    <mergeCell ref="A180:C184"/>
    <mergeCell ref="A186:A190"/>
    <mergeCell ref="B186:B190"/>
    <mergeCell ref="C186:C190"/>
    <mergeCell ref="A165:A169"/>
    <mergeCell ref="B165:B169"/>
    <mergeCell ref="A191:A195"/>
    <mergeCell ref="B191:B195"/>
    <mergeCell ref="C191:C195"/>
    <mergeCell ref="A196:A200"/>
    <mergeCell ref="B196:B200"/>
    <mergeCell ref="C196:C200"/>
    <mergeCell ref="B206:B210"/>
    <mergeCell ref="AR140:AR142"/>
    <mergeCell ref="AR207:AR209"/>
    <mergeCell ref="AS207:AS209"/>
    <mergeCell ref="AR242:AR243"/>
    <mergeCell ref="AS247:AS248"/>
    <mergeCell ref="A134:A138"/>
    <mergeCell ref="B134:B138"/>
    <mergeCell ref="C134:C138"/>
    <mergeCell ref="A139:A143"/>
    <mergeCell ref="B139:B143"/>
    <mergeCell ref="C139:C143"/>
    <mergeCell ref="A144:C148"/>
    <mergeCell ref="A150:A154"/>
    <mergeCell ref="B150:B154"/>
    <mergeCell ref="C150:C154"/>
    <mergeCell ref="A155:A159"/>
    <mergeCell ref="B155:B159"/>
    <mergeCell ref="C155:C159"/>
    <mergeCell ref="A160:A164"/>
    <mergeCell ref="B160:B164"/>
    <mergeCell ref="C160:C164"/>
    <mergeCell ref="A201:A205"/>
    <mergeCell ref="B201:B205"/>
    <mergeCell ref="C201:C205"/>
  </mergeCells>
  <pageMargins left="0.31496062992125984" right="0.31496062992125984" top="0.94488188976377963" bottom="0.35433070866141736" header="0.31496062992125984" footer="0.31496062992125984"/>
  <pageSetup paperSize="9" scale="27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zoomScale="90" zoomScaleNormal="90" workbookViewId="0">
      <selection activeCell="F17" sqref="F17"/>
    </sheetView>
  </sheetViews>
  <sheetFormatPr defaultRowHeight="14.4" x14ac:dyDescent="0.3"/>
  <cols>
    <col min="1" max="1" width="4.6640625" customWidth="1"/>
    <col min="2" max="2" width="70.5546875" customWidth="1"/>
    <col min="3" max="3" width="9.109375" customWidth="1"/>
    <col min="4" max="5" width="10.44140625" customWidth="1"/>
    <col min="6" max="6" width="13.44140625" customWidth="1"/>
    <col min="7" max="7" width="56.5546875" customWidth="1"/>
  </cols>
  <sheetData>
    <row r="1" spans="1:7" ht="15.6" x14ac:dyDescent="0.3">
      <c r="A1" s="174" t="s">
        <v>195</v>
      </c>
      <c r="B1" s="174"/>
      <c r="C1" s="174"/>
      <c r="D1" s="174"/>
      <c r="E1" s="174"/>
      <c r="F1" s="174"/>
      <c r="G1" s="174"/>
    </row>
    <row r="2" spans="1:7" ht="15.6" x14ac:dyDescent="0.3">
      <c r="A2" s="175" t="s">
        <v>196</v>
      </c>
      <c r="B2" s="175"/>
      <c r="C2" s="175"/>
      <c r="D2" s="175"/>
      <c r="E2" s="175"/>
      <c r="F2" s="175"/>
      <c r="G2" s="175"/>
    </row>
    <row r="3" spans="1:7" ht="15.6" x14ac:dyDescent="0.3">
      <c r="A3" s="175" t="s">
        <v>275</v>
      </c>
      <c r="B3" s="175"/>
      <c r="C3" s="175"/>
      <c r="D3" s="175"/>
      <c r="E3" s="175"/>
      <c r="F3" s="175"/>
      <c r="G3" s="175"/>
    </row>
    <row r="4" spans="1:7" ht="15.6" x14ac:dyDescent="0.3">
      <c r="A4" s="95"/>
    </row>
    <row r="5" spans="1:7" ht="62.25" customHeight="1" x14ac:dyDescent="0.3">
      <c r="A5" s="176" t="s">
        <v>197</v>
      </c>
      <c r="B5" s="178" t="s">
        <v>198</v>
      </c>
      <c r="C5" s="178" t="s">
        <v>199</v>
      </c>
      <c r="D5" s="178" t="s">
        <v>200</v>
      </c>
      <c r="E5" s="178"/>
      <c r="F5" s="178" t="s">
        <v>201</v>
      </c>
      <c r="G5" s="176" t="s">
        <v>202</v>
      </c>
    </row>
    <row r="6" spans="1:7" ht="46.8" x14ac:dyDescent="0.3">
      <c r="A6" s="177"/>
      <c r="B6" s="178"/>
      <c r="C6" s="178"/>
      <c r="D6" s="96" t="s">
        <v>203</v>
      </c>
      <c r="E6" s="96" t="s">
        <v>204</v>
      </c>
      <c r="F6" s="178"/>
      <c r="G6" s="177"/>
    </row>
    <row r="7" spans="1:7" x14ac:dyDescent="0.3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</row>
    <row r="8" spans="1:7" ht="66.75" customHeight="1" x14ac:dyDescent="0.3">
      <c r="A8" s="98" t="s">
        <v>254</v>
      </c>
      <c r="B8" s="99" t="s">
        <v>205</v>
      </c>
      <c r="C8" s="96" t="s">
        <v>206</v>
      </c>
      <c r="D8" s="96">
        <v>413</v>
      </c>
      <c r="E8" s="96">
        <v>392</v>
      </c>
      <c r="F8" s="100">
        <f>E8/D8*100</f>
        <v>94.915254237288138</v>
      </c>
      <c r="G8" s="101" t="s">
        <v>277</v>
      </c>
    </row>
    <row r="9" spans="1:7" ht="50.25" customHeight="1" x14ac:dyDescent="0.3">
      <c r="A9" s="98" t="s">
        <v>255</v>
      </c>
      <c r="B9" s="102" t="s">
        <v>208</v>
      </c>
      <c r="C9" s="103" t="s">
        <v>209</v>
      </c>
      <c r="D9" s="103">
        <v>20.5</v>
      </c>
      <c r="E9" s="103">
        <v>0</v>
      </c>
      <c r="F9" s="104">
        <v>100</v>
      </c>
      <c r="G9" s="102" t="s">
        <v>278</v>
      </c>
    </row>
    <row r="10" spans="1:7" ht="64.5" customHeight="1" x14ac:dyDescent="0.3">
      <c r="A10" s="105" t="s">
        <v>256</v>
      </c>
      <c r="B10" s="101" t="s">
        <v>210</v>
      </c>
      <c r="C10" s="96" t="s">
        <v>209</v>
      </c>
      <c r="D10" s="96">
        <v>66.099999999999994</v>
      </c>
      <c r="E10" s="96">
        <v>71.3</v>
      </c>
      <c r="F10" s="100">
        <f>E10/D10*100</f>
        <v>107.86686838124055</v>
      </c>
      <c r="G10" s="101" t="s">
        <v>207</v>
      </c>
    </row>
    <row r="11" spans="1:7" ht="48.75" customHeight="1" x14ac:dyDescent="0.3">
      <c r="A11" s="105" t="s">
        <v>257</v>
      </c>
      <c r="B11" s="99" t="s">
        <v>211</v>
      </c>
      <c r="C11" s="96" t="s">
        <v>209</v>
      </c>
      <c r="D11" s="96">
        <v>17</v>
      </c>
      <c r="E11" s="96">
        <v>0</v>
      </c>
      <c r="F11" s="100">
        <v>100</v>
      </c>
      <c r="G11" s="99" t="s">
        <v>278</v>
      </c>
    </row>
    <row r="12" spans="1:7" ht="30.75" customHeight="1" x14ac:dyDescent="0.3">
      <c r="A12" s="105" t="s">
        <v>258</v>
      </c>
      <c r="B12" s="99" t="s">
        <v>212</v>
      </c>
      <c r="C12" s="96" t="s">
        <v>209</v>
      </c>
      <c r="D12" s="96">
        <v>100</v>
      </c>
      <c r="E12" s="96">
        <v>100</v>
      </c>
      <c r="F12" s="100">
        <f>E12/D12*100</f>
        <v>100</v>
      </c>
      <c r="G12" s="101"/>
    </row>
    <row r="13" spans="1:7" ht="48.75" customHeight="1" x14ac:dyDescent="0.3">
      <c r="A13" s="105" t="s">
        <v>259</v>
      </c>
      <c r="B13" s="99" t="s">
        <v>213</v>
      </c>
      <c r="C13" s="96" t="s">
        <v>209</v>
      </c>
      <c r="D13" s="96">
        <v>94.8</v>
      </c>
      <c r="E13" s="96">
        <v>95.8</v>
      </c>
      <c r="F13" s="100">
        <f>E13/D13*100</f>
        <v>101.05485232067511</v>
      </c>
      <c r="G13" s="101"/>
    </row>
    <row r="14" spans="1:7" ht="65.25" customHeight="1" x14ac:dyDescent="0.3">
      <c r="A14" s="105" t="s">
        <v>260</v>
      </c>
      <c r="B14" s="99" t="s">
        <v>214</v>
      </c>
      <c r="C14" s="96" t="s">
        <v>209</v>
      </c>
      <c r="D14" s="96">
        <v>20</v>
      </c>
      <c r="E14" s="96">
        <v>27</v>
      </c>
      <c r="F14" s="100">
        <v>65</v>
      </c>
      <c r="G14" s="101" t="s">
        <v>279</v>
      </c>
    </row>
    <row r="15" spans="1:7" ht="48.75" customHeight="1" x14ac:dyDescent="0.3">
      <c r="A15" s="105" t="s">
        <v>261</v>
      </c>
      <c r="B15" s="99" t="s">
        <v>215</v>
      </c>
      <c r="C15" s="96" t="s">
        <v>209</v>
      </c>
      <c r="D15" s="96">
        <v>100</v>
      </c>
      <c r="E15" s="96">
        <v>100</v>
      </c>
      <c r="F15" s="100">
        <f>E15/D15*100</f>
        <v>100</v>
      </c>
      <c r="G15" s="101"/>
    </row>
    <row r="16" spans="1:7" ht="48.75" customHeight="1" x14ac:dyDescent="0.3">
      <c r="A16" s="105" t="s">
        <v>262</v>
      </c>
      <c r="B16" s="101" t="s">
        <v>216</v>
      </c>
      <c r="C16" s="96" t="s">
        <v>209</v>
      </c>
      <c r="D16" s="96">
        <v>50</v>
      </c>
      <c r="E16" s="96">
        <v>16.7</v>
      </c>
      <c r="F16" s="100">
        <v>166.6</v>
      </c>
      <c r="G16" s="101" t="s">
        <v>280</v>
      </c>
    </row>
    <row r="17" spans="1:7" ht="64.5" customHeight="1" x14ac:dyDescent="0.3">
      <c r="A17" s="105" t="s">
        <v>263</v>
      </c>
      <c r="B17" s="101" t="s">
        <v>217</v>
      </c>
      <c r="C17" s="96" t="s">
        <v>209</v>
      </c>
      <c r="D17" s="96">
        <v>37.5</v>
      </c>
      <c r="E17" s="96">
        <v>12.5</v>
      </c>
      <c r="F17" s="100">
        <v>166.7</v>
      </c>
      <c r="G17" s="101" t="s">
        <v>281</v>
      </c>
    </row>
    <row r="18" spans="1:7" ht="48.75" customHeight="1" x14ac:dyDescent="0.3">
      <c r="A18" s="105" t="s">
        <v>264</v>
      </c>
      <c r="B18" s="99" t="s">
        <v>218</v>
      </c>
      <c r="C18" s="96" t="s">
        <v>209</v>
      </c>
      <c r="D18" s="96">
        <v>9.5</v>
      </c>
      <c r="E18" s="96">
        <v>10</v>
      </c>
      <c r="F18" s="100">
        <v>105.3</v>
      </c>
      <c r="G18" s="101"/>
    </row>
    <row r="19" spans="1:7" ht="65.400000000000006" customHeight="1" x14ac:dyDescent="0.3">
      <c r="A19" s="105" t="s">
        <v>265</v>
      </c>
      <c r="B19" s="99" t="s">
        <v>219</v>
      </c>
      <c r="C19" s="96" t="s">
        <v>209</v>
      </c>
      <c r="D19" s="96">
        <v>14.6</v>
      </c>
      <c r="E19" s="96">
        <v>11.5</v>
      </c>
      <c r="F19" s="100">
        <v>78.8</v>
      </c>
      <c r="G19" s="99" t="s">
        <v>282</v>
      </c>
    </row>
    <row r="20" spans="1:7" ht="46.5" customHeight="1" x14ac:dyDescent="0.3">
      <c r="A20" s="105" t="s">
        <v>266</v>
      </c>
      <c r="B20" s="99" t="s">
        <v>220</v>
      </c>
      <c r="C20" s="96" t="s">
        <v>209</v>
      </c>
      <c r="D20" s="115">
        <v>61.4</v>
      </c>
      <c r="E20" s="115">
        <v>75.8</v>
      </c>
      <c r="F20" s="116">
        <v>123.45276872964168</v>
      </c>
      <c r="G20" s="117" t="s">
        <v>221</v>
      </c>
    </row>
    <row r="21" spans="1:7" ht="49.5" customHeight="1" x14ac:dyDescent="0.3">
      <c r="A21" s="105" t="s">
        <v>267</v>
      </c>
      <c r="B21" s="99" t="s">
        <v>222</v>
      </c>
      <c r="C21" s="96" t="s">
        <v>209</v>
      </c>
      <c r="D21" s="96">
        <v>14.3</v>
      </c>
      <c r="E21" s="96">
        <v>28.6</v>
      </c>
      <c r="F21" s="100">
        <f t="shared" ref="F21:F22" si="0">E21/D21*100</f>
        <v>200</v>
      </c>
      <c r="G21" s="101" t="s">
        <v>283</v>
      </c>
    </row>
    <row r="22" spans="1:7" ht="78.75" customHeight="1" x14ac:dyDescent="0.3">
      <c r="A22" s="105" t="s">
        <v>268</v>
      </c>
      <c r="B22" s="99" t="s">
        <v>223</v>
      </c>
      <c r="C22" s="96" t="s">
        <v>209</v>
      </c>
      <c r="D22" s="96">
        <v>100</v>
      </c>
      <c r="E22" s="96">
        <v>93.6</v>
      </c>
      <c r="F22" s="100">
        <f t="shared" si="0"/>
        <v>93.6</v>
      </c>
      <c r="G22" s="101" t="s">
        <v>284</v>
      </c>
    </row>
    <row r="23" spans="1:7" ht="62.4" x14ac:dyDescent="0.3">
      <c r="A23" s="105" t="s">
        <v>269</v>
      </c>
      <c r="B23" s="99" t="s">
        <v>224</v>
      </c>
      <c r="C23" s="96" t="s">
        <v>209</v>
      </c>
      <c r="D23" s="96">
        <v>46</v>
      </c>
      <c r="E23" s="96">
        <v>58.1</v>
      </c>
      <c r="F23" s="100">
        <f>E23/D23*100</f>
        <v>126.30434782608695</v>
      </c>
      <c r="G23" s="101" t="s">
        <v>225</v>
      </c>
    </row>
    <row r="24" spans="1:7" ht="64.5" customHeight="1" x14ac:dyDescent="0.3">
      <c r="A24" s="106" t="s">
        <v>270</v>
      </c>
      <c r="B24" s="101" t="s">
        <v>226</v>
      </c>
      <c r="C24" s="96" t="s">
        <v>209</v>
      </c>
      <c r="D24" s="96">
        <v>67.5</v>
      </c>
      <c r="E24" s="96">
        <v>54.6</v>
      </c>
      <c r="F24" s="100">
        <f>E24/D24*100</f>
        <v>80.888888888888886</v>
      </c>
      <c r="G24" s="107" t="s">
        <v>285</v>
      </c>
    </row>
    <row r="25" spans="1:7" ht="249.6" customHeight="1" x14ac:dyDescent="0.3">
      <c r="A25" s="105" t="s">
        <v>271</v>
      </c>
      <c r="B25" s="101" t="s">
        <v>227</v>
      </c>
      <c r="C25" s="96" t="s">
        <v>228</v>
      </c>
      <c r="D25" s="100">
        <v>144</v>
      </c>
      <c r="E25" s="96">
        <v>140.9</v>
      </c>
      <c r="F25" s="100">
        <f>E25/D25*100</f>
        <v>97.847222222222229</v>
      </c>
      <c r="G25" s="101" t="s">
        <v>276</v>
      </c>
    </row>
    <row r="26" spans="1:7" ht="50.25" customHeight="1" x14ac:dyDescent="0.3">
      <c r="A26" s="105" t="s">
        <v>272</v>
      </c>
      <c r="B26" s="99" t="s">
        <v>229</v>
      </c>
      <c r="C26" s="96" t="s">
        <v>230</v>
      </c>
      <c r="D26" s="96">
        <v>5.6239999999999997E-3</v>
      </c>
      <c r="E26" s="96">
        <v>6.5799999999999999E-3</v>
      </c>
      <c r="F26" s="100">
        <f>E26/D26*100</f>
        <v>116.99857752489331</v>
      </c>
      <c r="G26" s="101" t="s">
        <v>231</v>
      </c>
    </row>
    <row r="27" spans="1:7" ht="50.25" customHeight="1" x14ac:dyDescent="0.3">
      <c r="A27" s="105" t="s">
        <v>273</v>
      </c>
      <c r="B27" s="99" t="s">
        <v>232</v>
      </c>
      <c r="C27" s="96" t="s">
        <v>209</v>
      </c>
      <c r="D27" s="96">
        <v>15</v>
      </c>
      <c r="E27" s="96">
        <v>51.6</v>
      </c>
      <c r="F27" s="100">
        <f>E27/D27*100</f>
        <v>344</v>
      </c>
      <c r="G27" s="101" t="s">
        <v>233</v>
      </c>
    </row>
    <row r="28" spans="1:7" ht="50.25" customHeight="1" x14ac:dyDescent="0.3">
      <c r="A28" s="105" t="s">
        <v>274</v>
      </c>
      <c r="B28" s="99" t="s">
        <v>234</v>
      </c>
      <c r="C28" s="96" t="s">
        <v>209</v>
      </c>
      <c r="D28" s="96">
        <v>55.6</v>
      </c>
      <c r="E28" s="96">
        <v>62.5</v>
      </c>
      <c r="F28" s="100">
        <f t="shared" ref="F28:F34" si="1">E28/D28*100</f>
        <v>112.41007194244604</v>
      </c>
      <c r="G28" s="101" t="s">
        <v>235</v>
      </c>
    </row>
    <row r="29" spans="1:7" ht="63.75" customHeight="1" x14ac:dyDescent="0.3">
      <c r="A29" s="108" t="s">
        <v>236</v>
      </c>
      <c r="B29" s="101" t="s">
        <v>237</v>
      </c>
      <c r="C29" s="96" t="s">
        <v>209</v>
      </c>
      <c r="D29" s="96">
        <v>3.2</v>
      </c>
      <c r="E29" s="96">
        <v>5.3</v>
      </c>
      <c r="F29" s="100">
        <v>165.6</v>
      </c>
      <c r="G29" s="101" t="s">
        <v>286</v>
      </c>
    </row>
    <row r="30" spans="1:7" ht="93.6" customHeight="1" x14ac:dyDescent="0.3">
      <c r="A30" s="105" t="s">
        <v>238</v>
      </c>
      <c r="B30" s="99" t="s">
        <v>239</v>
      </c>
      <c r="C30" s="96" t="s">
        <v>209</v>
      </c>
      <c r="D30" s="96">
        <v>87.5</v>
      </c>
      <c r="E30" s="96">
        <v>89.1</v>
      </c>
      <c r="F30" s="100">
        <f t="shared" si="1"/>
        <v>101.82857142857142</v>
      </c>
      <c r="G30" s="99" t="s">
        <v>240</v>
      </c>
    </row>
    <row r="31" spans="1:7" ht="63" customHeight="1" x14ac:dyDescent="0.3">
      <c r="A31" s="105" t="s">
        <v>241</v>
      </c>
      <c r="B31" s="99" t="s">
        <v>242</v>
      </c>
      <c r="C31" s="96" t="s">
        <v>209</v>
      </c>
      <c r="D31" s="96">
        <v>33</v>
      </c>
      <c r="E31" s="96">
        <v>34.5</v>
      </c>
      <c r="F31" s="100">
        <f t="shared" si="1"/>
        <v>104.54545454545455</v>
      </c>
      <c r="G31" s="101" t="s">
        <v>287</v>
      </c>
    </row>
    <row r="32" spans="1:7" ht="48.75" customHeight="1" x14ac:dyDescent="0.3">
      <c r="A32" s="105" t="s">
        <v>243</v>
      </c>
      <c r="B32" s="99" t="s">
        <v>244</v>
      </c>
      <c r="C32" s="96" t="s">
        <v>209</v>
      </c>
      <c r="D32" s="96">
        <v>48.3</v>
      </c>
      <c r="E32" s="96">
        <v>50.6</v>
      </c>
      <c r="F32" s="100">
        <f t="shared" si="1"/>
        <v>104.76190476190477</v>
      </c>
      <c r="G32" s="101" t="s">
        <v>245</v>
      </c>
    </row>
    <row r="33" spans="1:7" ht="49.2" customHeight="1" x14ac:dyDescent="0.3">
      <c r="A33" s="105" t="s">
        <v>246</v>
      </c>
      <c r="B33" s="99" t="s">
        <v>247</v>
      </c>
      <c r="C33" s="96" t="s">
        <v>209</v>
      </c>
      <c r="D33" s="96">
        <v>16</v>
      </c>
      <c r="E33" s="96">
        <v>32.799999999999997</v>
      </c>
      <c r="F33" s="100">
        <f t="shared" si="1"/>
        <v>204.99999999999997</v>
      </c>
      <c r="G33" s="101" t="s">
        <v>248</v>
      </c>
    </row>
    <row r="34" spans="1:7" ht="48.75" customHeight="1" x14ac:dyDescent="0.3">
      <c r="A34" s="106" t="s">
        <v>249</v>
      </c>
      <c r="B34" s="99" t="s">
        <v>250</v>
      </c>
      <c r="C34" s="96" t="s">
        <v>209</v>
      </c>
      <c r="D34" s="96">
        <v>46.7</v>
      </c>
      <c r="E34" s="96">
        <v>17.600000000000001</v>
      </c>
      <c r="F34" s="100">
        <f t="shared" si="1"/>
        <v>37.687366167023555</v>
      </c>
      <c r="G34" s="107" t="s">
        <v>288</v>
      </c>
    </row>
    <row r="35" spans="1:7" ht="15.6" x14ac:dyDescent="0.3">
      <c r="A35" s="109"/>
    </row>
    <row r="36" spans="1:7" ht="15.6" x14ac:dyDescent="0.3">
      <c r="A36" s="109"/>
    </row>
    <row r="37" spans="1:7" ht="15.6" x14ac:dyDescent="0.3">
      <c r="A37" s="109"/>
    </row>
    <row r="38" spans="1:7" ht="15.6" x14ac:dyDescent="0.3">
      <c r="A38" s="109"/>
    </row>
    <row r="39" spans="1:7" ht="15.6" x14ac:dyDescent="0.3">
      <c r="A39" s="110" t="s">
        <v>251</v>
      </c>
    </row>
    <row r="40" spans="1:7" ht="15.6" x14ac:dyDescent="0.3">
      <c r="A40" s="109"/>
    </row>
    <row r="41" spans="1:7" ht="15.6" x14ac:dyDescent="0.3">
      <c r="A41" s="111" t="s">
        <v>289</v>
      </c>
    </row>
    <row r="42" spans="1:7" x14ac:dyDescent="0.3">
      <c r="A42" s="112"/>
    </row>
    <row r="43" spans="1:7" x14ac:dyDescent="0.3">
      <c r="A43" s="113" t="s">
        <v>252</v>
      </c>
    </row>
    <row r="44" spans="1:7" x14ac:dyDescent="0.3">
      <c r="A44" s="113" t="s">
        <v>253</v>
      </c>
    </row>
  </sheetData>
  <mergeCells count="9">
    <mergeCell ref="A1:G1"/>
    <mergeCell ref="A2:G2"/>
    <mergeCell ref="A3:G3"/>
    <mergeCell ref="A5:A6"/>
    <mergeCell ref="B5:B6"/>
    <mergeCell ref="C5:C6"/>
    <mergeCell ref="D5:E5"/>
    <mergeCell ref="F5:F6"/>
    <mergeCell ref="G5:G6"/>
  </mergeCells>
  <pageMargins left="0.9055118110236221" right="0.39370078740157483" top="0.35433070866141736" bottom="0.35433070866141736" header="0.31496062992125984" footer="0.31496062992125984"/>
  <pageSetup paperSize="9" scale="50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Невская Светлана Евгеньевна</dc:creator>
  <cp:lastModifiedBy>И.Е. Невская</cp:lastModifiedBy>
  <cp:lastPrinted>2021-02-18T10:38:46Z</cp:lastPrinted>
  <dcterms:created xsi:type="dcterms:W3CDTF">2006-09-28T05:33:00Z</dcterms:created>
  <dcterms:modified xsi:type="dcterms:W3CDTF">2021-03-16T06:47:14Z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