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6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1.2018" sheetId="34" r:id="rId4"/>
    <sheet name="на 01.02.2018" sheetId="35" r:id="rId5"/>
    <sheet name="на 01.04.2018" sheetId="37" r:id="rId6"/>
    <sheet name="на 01.10.2020" sheetId="45" r:id="rId7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01.01.2018'!$5:$6</definedName>
    <definedName name="_xlnm.Print_Titles" localSheetId="6">'на 01.10.2020'!$11:$12</definedName>
    <definedName name="_xlnm.Print_Area" localSheetId="2">'Выполнение работ'!$A$1:$Q$81</definedName>
  </definedNames>
  <calcPr calcId="125725" refMode="R1C1"/>
</workbook>
</file>

<file path=xl/calcChain.xml><?xml version="1.0" encoding="utf-8"?>
<calcChain xmlns="http://schemas.openxmlformats.org/spreadsheetml/2006/main">
  <c r="F128" i="45"/>
  <c r="E128"/>
  <c r="F127"/>
  <c r="E127"/>
  <c r="AO126"/>
  <c r="AL126"/>
  <c r="AN126" s="1"/>
  <c r="AK126"/>
  <c r="AH126"/>
  <c r="AE126"/>
  <c r="AB126"/>
  <c r="Y126"/>
  <c r="V126"/>
  <c r="T126"/>
  <c r="S126"/>
  <c r="Q126"/>
  <c r="P126"/>
  <c r="M126"/>
  <c r="F126"/>
  <c r="E126"/>
  <c r="G126" s="1"/>
  <c r="AK125"/>
  <c r="F125"/>
  <c r="E125"/>
  <c r="G125" s="1"/>
  <c r="AP124"/>
  <c r="AM124"/>
  <c r="AL124"/>
  <c r="AN124" s="1"/>
  <c r="AJ124"/>
  <c r="AK124" s="1"/>
  <c r="AI124"/>
  <c r="AG124"/>
  <c r="AF124"/>
  <c r="AH124" s="1"/>
  <c r="AD124"/>
  <c r="AE124" s="1"/>
  <c r="AC124"/>
  <c r="AA124"/>
  <c r="Z124"/>
  <c r="AB124" s="1"/>
  <c r="X124"/>
  <c r="Y124" s="1"/>
  <c r="W124"/>
  <c r="U124"/>
  <c r="T124"/>
  <c r="V124" s="1"/>
  <c r="R124"/>
  <c r="S124" s="1"/>
  <c r="Q124"/>
  <c r="O124"/>
  <c r="N124"/>
  <c r="P124" s="1"/>
  <c r="L124"/>
  <c r="M124" s="1"/>
  <c r="K124"/>
  <c r="I124"/>
  <c r="H124"/>
  <c r="F124"/>
  <c r="F123"/>
  <c r="E123"/>
  <c r="E122"/>
  <c r="V121"/>
  <c r="S121"/>
  <c r="F121"/>
  <c r="E121"/>
  <c r="G121" s="1"/>
  <c r="V120"/>
  <c r="S120"/>
  <c r="F120"/>
  <c r="E120"/>
  <c r="AO119"/>
  <c r="AL119"/>
  <c r="AJ119"/>
  <c r="AI119"/>
  <c r="AG119"/>
  <c r="AF119"/>
  <c r="AD119"/>
  <c r="AC119"/>
  <c r="AA119"/>
  <c r="Z119"/>
  <c r="X119"/>
  <c r="W119"/>
  <c r="U119"/>
  <c r="T119"/>
  <c r="V119" s="1"/>
  <c r="R119"/>
  <c r="S119" s="1"/>
  <c r="Q119"/>
  <c r="O119"/>
  <c r="N119"/>
  <c r="L119"/>
  <c r="K119"/>
  <c r="I119"/>
  <c r="H119"/>
  <c r="F118"/>
  <c r="E118"/>
  <c r="E117"/>
  <c r="AH116"/>
  <c r="F116"/>
  <c r="G116" s="1"/>
  <c r="E116"/>
  <c r="AH115"/>
  <c r="Y115"/>
  <c r="F115"/>
  <c r="E115"/>
  <c r="E114" s="1"/>
  <c r="AO114"/>
  <c r="AL114"/>
  <c r="AJ114"/>
  <c r="AI114"/>
  <c r="AG114"/>
  <c r="AH114" s="1"/>
  <c r="AF114"/>
  <c r="AD114"/>
  <c r="AC114"/>
  <c r="AA114"/>
  <c r="Z114"/>
  <c r="X114"/>
  <c r="W114"/>
  <c r="Y114" s="1"/>
  <c r="U114"/>
  <c r="T114"/>
  <c r="R114"/>
  <c r="Q114"/>
  <c r="O114"/>
  <c r="N114"/>
  <c r="L114"/>
  <c r="K114"/>
  <c r="I114"/>
  <c r="H114"/>
  <c r="F113"/>
  <c r="E113"/>
  <c r="F112"/>
  <c r="E112"/>
  <c r="E111"/>
  <c r="AH110"/>
  <c r="AB110"/>
  <c r="W110"/>
  <c r="W109" s="1"/>
  <c r="T110"/>
  <c r="V110" s="1"/>
  <c r="Q110"/>
  <c r="N110"/>
  <c r="P110" s="1"/>
  <c r="M110"/>
  <c r="E110"/>
  <c r="E109" s="1"/>
  <c r="AO109"/>
  <c r="AL109"/>
  <c r="AI109"/>
  <c r="AG109"/>
  <c r="AF109"/>
  <c r="AH109" s="1"/>
  <c r="AD109"/>
  <c r="AC109"/>
  <c r="AA109"/>
  <c r="AB109" s="1"/>
  <c r="Z109"/>
  <c r="X109"/>
  <c r="U109"/>
  <c r="T109"/>
  <c r="V109" s="1"/>
  <c r="R109"/>
  <c r="O109"/>
  <c r="N109"/>
  <c r="P109" s="1"/>
  <c r="L109"/>
  <c r="M109" s="1"/>
  <c r="K109"/>
  <c r="I109"/>
  <c r="H109"/>
  <c r="F108"/>
  <c r="E108"/>
  <c r="R107"/>
  <c r="E107"/>
  <c r="AP106"/>
  <c r="AN106"/>
  <c r="AM106"/>
  <c r="AJ106"/>
  <c r="X106"/>
  <c r="U106"/>
  <c r="R106"/>
  <c r="O106"/>
  <c r="L106"/>
  <c r="I106"/>
  <c r="AP105"/>
  <c r="AM105"/>
  <c r="AL105"/>
  <c r="AN105" s="1"/>
  <c r="AJ105"/>
  <c r="AK105" s="1"/>
  <c r="AI105"/>
  <c r="AH105"/>
  <c r="AF105"/>
  <c r="AE105"/>
  <c r="AC105"/>
  <c r="AB105"/>
  <c r="Z105"/>
  <c r="Y105"/>
  <c r="X105"/>
  <c r="U105"/>
  <c r="T105"/>
  <c r="V105" s="1"/>
  <c r="R105"/>
  <c r="S105" s="1"/>
  <c r="Q105"/>
  <c r="O105"/>
  <c r="N105"/>
  <c r="P105" s="1"/>
  <c r="L105"/>
  <c r="M105" s="1"/>
  <c r="K105"/>
  <c r="I105"/>
  <c r="H105"/>
  <c r="AP104"/>
  <c r="AM104"/>
  <c r="AJ104"/>
  <c r="AG104"/>
  <c r="AD104"/>
  <c r="AA104"/>
  <c r="X104"/>
  <c r="R104"/>
  <c r="F103"/>
  <c r="E103"/>
  <c r="AP102"/>
  <c r="AP98" s="1"/>
  <c r="AO102"/>
  <c r="AM102"/>
  <c r="AL102"/>
  <c r="AJ102"/>
  <c r="AJ98" s="1"/>
  <c r="AI102"/>
  <c r="AG102"/>
  <c r="AF102"/>
  <c r="AD102"/>
  <c r="AD98" s="1"/>
  <c r="AC102"/>
  <c r="AA102"/>
  <c r="Z102"/>
  <c r="X102"/>
  <c r="X98" s="1"/>
  <c r="W102"/>
  <c r="U102"/>
  <c r="T102"/>
  <c r="R102"/>
  <c r="R98" s="1"/>
  <c r="Q102"/>
  <c r="O102"/>
  <c r="N102"/>
  <c r="L102"/>
  <c r="L98" s="1"/>
  <c r="K102"/>
  <c r="I102"/>
  <c r="H102"/>
  <c r="F102"/>
  <c r="E102"/>
  <c r="F101"/>
  <c r="E101"/>
  <c r="AP100"/>
  <c r="AM100"/>
  <c r="AJ100"/>
  <c r="AI100"/>
  <c r="AG100"/>
  <c r="AF100"/>
  <c r="AD100"/>
  <c r="AA100"/>
  <c r="Z100"/>
  <c r="X100"/>
  <c r="W100"/>
  <c r="Y100" s="1"/>
  <c r="U100"/>
  <c r="V100" s="1"/>
  <c r="T100"/>
  <c r="R100"/>
  <c r="Q100"/>
  <c r="S100" s="1"/>
  <c r="O100"/>
  <c r="L100"/>
  <c r="K100"/>
  <c r="M100" s="1"/>
  <c r="I100"/>
  <c r="I98" s="1"/>
  <c r="H100"/>
  <c r="AP99"/>
  <c r="AO99"/>
  <c r="AM99"/>
  <c r="AL99"/>
  <c r="AJ99"/>
  <c r="AI99"/>
  <c r="AF99"/>
  <c r="AC99"/>
  <c r="AE99" s="1"/>
  <c r="AA99"/>
  <c r="AB99" s="1"/>
  <c r="Z99"/>
  <c r="X99"/>
  <c r="W99"/>
  <c r="Y99" s="1"/>
  <c r="U99"/>
  <c r="V99" s="1"/>
  <c r="T99"/>
  <c r="R99"/>
  <c r="Q99"/>
  <c r="S99" s="1"/>
  <c r="O99"/>
  <c r="P99" s="1"/>
  <c r="N99"/>
  <c r="L99"/>
  <c r="K99"/>
  <c r="M99" s="1"/>
  <c r="I99"/>
  <c r="H99"/>
  <c r="AM98"/>
  <c r="AI98"/>
  <c r="AK98" s="1"/>
  <c r="AG98"/>
  <c r="AA98"/>
  <c r="AB98" s="1"/>
  <c r="Z98"/>
  <c r="U98"/>
  <c r="V98" s="1"/>
  <c r="T98"/>
  <c r="S98"/>
  <c r="Q98"/>
  <c r="O98"/>
  <c r="K98"/>
  <c r="M98" s="1"/>
  <c r="F97"/>
  <c r="E97"/>
  <c r="F91"/>
  <c r="E91"/>
  <c r="E89"/>
  <c r="F85"/>
  <c r="E85"/>
  <c r="F84"/>
  <c r="E84"/>
  <c r="F83"/>
  <c r="E83"/>
  <c r="F82"/>
  <c r="E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F81"/>
  <c r="E81"/>
  <c r="F80"/>
  <c r="E80"/>
  <c r="R79"/>
  <c r="R89" s="1"/>
  <c r="F89" s="1"/>
  <c r="O79"/>
  <c r="L79"/>
  <c r="I79"/>
  <c r="F79"/>
  <c r="E79"/>
  <c r="F74"/>
  <c r="E74"/>
  <c r="F73"/>
  <c r="E73"/>
  <c r="AK72"/>
  <c r="AK106" s="1"/>
  <c r="AI72"/>
  <c r="AH72"/>
  <c r="AE72"/>
  <c r="V72"/>
  <c r="S72"/>
  <c r="N72"/>
  <c r="P72" s="1"/>
  <c r="K72"/>
  <c r="K106" s="1"/>
  <c r="J72"/>
  <c r="F72"/>
  <c r="G72" s="1"/>
  <c r="E72"/>
  <c r="F71"/>
  <c r="E71"/>
  <c r="AQ70"/>
  <c r="AP70"/>
  <c r="AO70"/>
  <c r="AN70"/>
  <c r="AM70"/>
  <c r="AL70"/>
  <c r="AK70"/>
  <c r="AJ70"/>
  <c r="AI70"/>
  <c r="AG70"/>
  <c r="AH70" s="1"/>
  <c r="AF70"/>
  <c r="AD70"/>
  <c r="AE70" s="1"/>
  <c r="AC70"/>
  <c r="AB70"/>
  <c r="AA70"/>
  <c r="Z70"/>
  <c r="Y70"/>
  <c r="X70"/>
  <c r="W70"/>
  <c r="U70"/>
  <c r="T70"/>
  <c r="V70" s="1"/>
  <c r="R70"/>
  <c r="S70" s="1"/>
  <c r="S63" s="1"/>
  <c r="Q70"/>
  <c r="O70"/>
  <c r="N70"/>
  <c r="P70" s="1"/>
  <c r="L70"/>
  <c r="M70" s="1"/>
  <c r="K70"/>
  <c r="I70"/>
  <c r="H70"/>
  <c r="J70" s="1"/>
  <c r="F70"/>
  <c r="G70" s="1"/>
  <c r="E70"/>
  <c r="F67"/>
  <c r="E67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L66"/>
  <c r="K66"/>
  <c r="J66"/>
  <c r="I66"/>
  <c r="H66"/>
  <c r="F66"/>
  <c r="E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O65"/>
  <c r="N65"/>
  <c r="P65" s="1"/>
  <c r="L65"/>
  <c r="M65" s="1"/>
  <c r="K65"/>
  <c r="I65"/>
  <c r="H65"/>
  <c r="J65" s="1"/>
  <c r="F65"/>
  <c r="G65" s="1"/>
  <c r="E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O64"/>
  <c r="N64"/>
  <c r="L64"/>
  <c r="K64"/>
  <c r="I64"/>
  <c r="H64"/>
  <c r="F64"/>
  <c r="E64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R63"/>
  <c r="Q63"/>
  <c r="O63"/>
  <c r="P63" s="1"/>
  <c r="N63"/>
  <c r="L63"/>
  <c r="M63" s="1"/>
  <c r="K63"/>
  <c r="I63"/>
  <c r="H63"/>
  <c r="J63" s="1"/>
  <c r="F63"/>
  <c r="G63" s="1"/>
  <c r="E63"/>
  <c r="F62"/>
  <c r="E62"/>
  <c r="F61"/>
  <c r="E61"/>
  <c r="AQ60"/>
  <c r="AE60"/>
  <c r="Y60"/>
  <c r="K60"/>
  <c r="M60" s="1"/>
  <c r="H60"/>
  <c r="H106" s="1"/>
  <c r="H104" s="1"/>
  <c r="F60"/>
  <c r="G60" s="1"/>
  <c r="E60"/>
  <c r="AQ59"/>
  <c r="AO59"/>
  <c r="AO105" s="1"/>
  <c r="AO104" s="1"/>
  <c r="AN59"/>
  <c r="AK59"/>
  <c r="AH59"/>
  <c r="AE59"/>
  <c r="AB59"/>
  <c r="Y59"/>
  <c r="V59"/>
  <c r="S59"/>
  <c r="P59"/>
  <c r="M59"/>
  <c r="F59"/>
  <c r="G59" s="1"/>
  <c r="E59"/>
  <c r="AP58"/>
  <c r="AQ58" s="1"/>
  <c r="AO58"/>
  <c r="AN58"/>
  <c r="AM58"/>
  <c r="AL58"/>
  <c r="AK58"/>
  <c r="AJ58"/>
  <c r="AI58"/>
  <c r="AG58"/>
  <c r="AH58" s="1"/>
  <c r="AF58"/>
  <c r="AD58"/>
  <c r="AC58"/>
  <c r="AE58" s="1"/>
  <c r="AA58"/>
  <c r="AB58" s="1"/>
  <c r="Z58"/>
  <c r="X58"/>
  <c r="W58"/>
  <c r="Y58" s="1"/>
  <c r="U58"/>
  <c r="V58" s="1"/>
  <c r="T58"/>
  <c r="R58"/>
  <c r="S58" s="1"/>
  <c r="Q58"/>
  <c r="O58"/>
  <c r="P58" s="1"/>
  <c r="N58"/>
  <c r="L58"/>
  <c r="M58" s="1"/>
  <c r="K58"/>
  <c r="I58"/>
  <c r="J58" s="1"/>
  <c r="H58"/>
  <c r="F58"/>
  <c r="G58" s="1"/>
  <c r="E58"/>
  <c r="F56"/>
  <c r="E56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R55"/>
  <c r="Q55"/>
  <c r="P55"/>
  <c r="O55"/>
  <c r="O107" s="1"/>
  <c r="N55"/>
  <c r="L55"/>
  <c r="L107" s="1"/>
  <c r="L104" s="1"/>
  <c r="K55"/>
  <c r="I55"/>
  <c r="I107" s="1"/>
  <c r="F107" s="1"/>
  <c r="H55"/>
  <c r="F55"/>
  <c r="E55"/>
  <c r="AQ54"/>
  <c r="AP54"/>
  <c r="AO54"/>
  <c r="AN54"/>
  <c r="AM54"/>
  <c r="AL54"/>
  <c r="AK54"/>
  <c r="AJ54"/>
  <c r="AI54"/>
  <c r="AH54"/>
  <c r="AG54"/>
  <c r="AF54"/>
  <c r="AD54"/>
  <c r="AC54"/>
  <c r="AE54" s="1"/>
  <c r="AB54"/>
  <c r="AA54"/>
  <c r="Z54"/>
  <c r="Y54"/>
  <c r="X54"/>
  <c r="W54"/>
  <c r="V54"/>
  <c r="U54"/>
  <c r="T54"/>
  <c r="R54"/>
  <c r="Q54"/>
  <c r="O54"/>
  <c r="N54"/>
  <c r="L54"/>
  <c r="K54"/>
  <c r="M54" s="1"/>
  <c r="I54"/>
  <c r="J54" s="1"/>
  <c r="H54"/>
  <c r="F54"/>
  <c r="E54"/>
  <c r="G54" s="1"/>
  <c r="AQ53"/>
  <c r="AP53"/>
  <c r="AO53"/>
  <c r="AN53"/>
  <c r="AM53"/>
  <c r="AL53"/>
  <c r="AK53"/>
  <c r="AJ53"/>
  <c r="AI53"/>
  <c r="AH53"/>
  <c r="AG53"/>
  <c r="AF53"/>
  <c r="AD53"/>
  <c r="AE53" s="1"/>
  <c r="AC53"/>
  <c r="AB53"/>
  <c r="AA53"/>
  <c r="Z53"/>
  <c r="Y53"/>
  <c r="X53"/>
  <c r="W53"/>
  <c r="V53"/>
  <c r="U53"/>
  <c r="T53"/>
  <c r="R53"/>
  <c r="S53" s="1"/>
  <c r="Q53"/>
  <c r="O53"/>
  <c r="N53"/>
  <c r="P53" s="1"/>
  <c r="L53"/>
  <c r="M53" s="1"/>
  <c r="K53"/>
  <c r="I53"/>
  <c r="H53"/>
  <c r="F53"/>
  <c r="E53"/>
  <c r="G53" s="1"/>
  <c r="AP52"/>
  <c r="AQ52" s="1"/>
  <c r="AO52"/>
  <c r="AM52"/>
  <c r="AL52"/>
  <c r="AN52" s="1"/>
  <c r="AJ52"/>
  <c r="AK52" s="1"/>
  <c r="AI52"/>
  <c r="AG52"/>
  <c r="AH52" s="1"/>
  <c r="AF52"/>
  <c r="AD52"/>
  <c r="AE52" s="1"/>
  <c r="AC52"/>
  <c r="AA52"/>
  <c r="AB52" s="1"/>
  <c r="Z52"/>
  <c r="X52"/>
  <c r="Y52" s="1"/>
  <c r="W52"/>
  <c r="U52"/>
  <c r="V52" s="1"/>
  <c r="T52"/>
  <c r="R52"/>
  <c r="S52" s="1"/>
  <c r="Q52"/>
  <c r="O52"/>
  <c r="P52" s="1"/>
  <c r="N52"/>
  <c r="L52"/>
  <c r="M52" s="1"/>
  <c r="K52"/>
  <c r="I52"/>
  <c r="J52" s="1"/>
  <c r="H52"/>
  <c r="F52"/>
  <c r="G52" s="1"/>
  <c r="E52"/>
  <c r="F50"/>
  <c r="E50"/>
  <c r="F49"/>
  <c r="E49"/>
  <c r="F48"/>
  <c r="E48"/>
  <c r="F47"/>
  <c r="E47"/>
  <c r="AP46"/>
  <c r="AO46"/>
  <c r="AM46"/>
  <c r="AL46"/>
  <c r="AJ46"/>
  <c r="AI46"/>
  <c r="AG46"/>
  <c r="AF46"/>
  <c r="AD46"/>
  <c r="AC46"/>
  <c r="AA46"/>
  <c r="Z46"/>
  <c r="Y46"/>
  <c r="X46"/>
  <c r="W46"/>
  <c r="V46"/>
  <c r="U46"/>
  <c r="T46"/>
  <c r="R46"/>
  <c r="Q46"/>
  <c r="O46"/>
  <c r="N46"/>
  <c r="L46"/>
  <c r="K46"/>
  <c r="I46"/>
  <c r="H46"/>
  <c r="F46"/>
  <c r="E46"/>
  <c r="AN45"/>
  <c r="AK45"/>
  <c r="F45"/>
  <c r="E45"/>
  <c r="F44"/>
  <c r="E44"/>
  <c r="F43"/>
  <c r="E43"/>
  <c r="AO42"/>
  <c r="AL42"/>
  <c r="AL106" s="1"/>
  <c r="AL104" s="1"/>
  <c r="AN104" s="1"/>
  <c r="AI42"/>
  <c r="AF42"/>
  <c r="AF106" s="1"/>
  <c r="AH106" s="1"/>
  <c r="AC42"/>
  <c r="AC106" s="1"/>
  <c r="AC104" s="1"/>
  <c r="Z42"/>
  <c r="Z106" s="1"/>
  <c r="AB106" s="1"/>
  <c r="W42"/>
  <c r="W106" s="1"/>
  <c r="T42"/>
  <c r="T106" s="1"/>
  <c r="T104" s="1"/>
  <c r="Q42"/>
  <c r="Q106" s="1"/>
  <c r="N42"/>
  <c r="P42" s="1"/>
  <c r="K42"/>
  <c r="M42" s="1"/>
  <c r="F42"/>
  <c r="F41"/>
  <c r="E41"/>
  <c r="AQ40"/>
  <c r="AP40"/>
  <c r="AO40"/>
  <c r="AN40"/>
  <c r="AM40"/>
  <c r="AL40"/>
  <c r="AK40"/>
  <c r="AJ40"/>
  <c r="AI40"/>
  <c r="AG40"/>
  <c r="AH40" s="1"/>
  <c r="AF40"/>
  <c r="AD40"/>
  <c r="AC40"/>
  <c r="AE40" s="1"/>
  <c r="AA40"/>
  <c r="AB40" s="1"/>
  <c r="Z40"/>
  <c r="X40"/>
  <c r="W40"/>
  <c r="Y40" s="1"/>
  <c r="U40"/>
  <c r="T40"/>
  <c r="R40"/>
  <c r="Q40"/>
  <c r="S40" s="1"/>
  <c r="O40"/>
  <c r="P40" s="1"/>
  <c r="N40"/>
  <c r="L40"/>
  <c r="K40"/>
  <c r="M40" s="1"/>
  <c r="J40"/>
  <c r="I40"/>
  <c r="H40"/>
  <c r="F40"/>
  <c r="AN39"/>
  <c r="AK39"/>
  <c r="F39"/>
  <c r="E39"/>
  <c r="F38"/>
  <c r="E38"/>
  <c r="AO37"/>
  <c r="AQ37" s="1"/>
  <c r="AI37"/>
  <c r="AH37"/>
  <c r="AF37"/>
  <c r="AE37"/>
  <c r="AC37"/>
  <c r="AB37"/>
  <c r="Z37"/>
  <c r="Y37"/>
  <c r="W37"/>
  <c r="V37"/>
  <c r="T37"/>
  <c r="S37"/>
  <c r="Q37"/>
  <c r="P37"/>
  <c r="N37"/>
  <c r="M37"/>
  <c r="K37"/>
  <c r="J37"/>
  <c r="F37"/>
  <c r="G37" s="1"/>
  <c r="E37"/>
  <c r="AQ36"/>
  <c r="AO36"/>
  <c r="AN36"/>
  <c r="AL36"/>
  <c r="AK36"/>
  <c r="AI36"/>
  <c r="AH36"/>
  <c r="AF36"/>
  <c r="AE36"/>
  <c r="AC36"/>
  <c r="AB36"/>
  <c r="Z36"/>
  <c r="Y36"/>
  <c r="W36"/>
  <c r="V36"/>
  <c r="T36"/>
  <c r="S36"/>
  <c r="Q36"/>
  <c r="P36"/>
  <c r="N36"/>
  <c r="M36"/>
  <c r="K36"/>
  <c r="F36"/>
  <c r="E36"/>
  <c r="G36" s="1"/>
  <c r="AP35"/>
  <c r="AQ35" s="1"/>
  <c r="AO35"/>
  <c r="AM35"/>
  <c r="AL35"/>
  <c r="AN35" s="1"/>
  <c r="AJ35"/>
  <c r="AK35" s="1"/>
  <c r="AI35"/>
  <c r="AG35"/>
  <c r="AF35"/>
  <c r="AH35" s="1"/>
  <c r="AD35"/>
  <c r="AE35" s="1"/>
  <c r="AC35"/>
  <c r="AA35"/>
  <c r="Z35"/>
  <c r="AB35" s="1"/>
  <c r="Y35"/>
  <c r="X35"/>
  <c r="W35"/>
  <c r="V35"/>
  <c r="U35"/>
  <c r="T35"/>
  <c r="R35"/>
  <c r="S35" s="1"/>
  <c r="Q35"/>
  <c r="O35"/>
  <c r="N35"/>
  <c r="P35" s="1"/>
  <c r="L35"/>
  <c r="K35"/>
  <c r="I35"/>
  <c r="J35" s="1"/>
  <c r="H35"/>
  <c r="F35"/>
  <c r="E35"/>
  <c r="G35" s="1"/>
  <c r="F34"/>
  <c r="E34"/>
  <c r="F33"/>
  <c r="E33"/>
  <c r="AO32"/>
  <c r="AQ32" s="1"/>
  <c r="AQ30" s="1"/>
  <c r="AN32"/>
  <c r="AK32"/>
  <c r="AK30" s="1"/>
  <c r="AF32"/>
  <c r="AH32" s="1"/>
  <c r="AC32"/>
  <c r="AE32" s="1"/>
  <c r="Z32"/>
  <c r="AB32" s="1"/>
  <c r="W32"/>
  <c r="Y32" s="1"/>
  <c r="Y30" s="1"/>
  <c r="T32"/>
  <c r="V32" s="1"/>
  <c r="Q32"/>
  <c r="S32" s="1"/>
  <c r="P32"/>
  <c r="M32"/>
  <c r="J32"/>
  <c r="F32"/>
  <c r="E32"/>
  <c r="G32" s="1"/>
  <c r="F31"/>
  <c r="E31"/>
  <c r="E30" s="1"/>
  <c r="AP30"/>
  <c r="AN30"/>
  <c r="AM30"/>
  <c r="AL30"/>
  <c r="AJ30"/>
  <c r="AI30"/>
  <c r="AG30"/>
  <c r="AF30"/>
  <c r="AH30" s="1"/>
  <c r="AD30"/>
  <c r="AA30"/>
  <c r="Z30"/>
  <c r="AB30" s="1"/>
  <c r="X30"/>
  <c r="U30"/>
  <c r="T30"/>
  <c r="V30" s="1"/>
  <c r="R30"/>
  <c r="O30"/>
  <c r="N30"/>
  <c r="P30" s="1"/>
  <c r="L30"/>
  <c r="M30" s="1"/>
  <c r="K30"/>
  <c r="I30"/>
  <c r="H30"/>
  <c r="J30" s="1"/>
  <c r="F30"/>
  <c r="G30" s="1"/>
  <c r="AN29"/>
  <c r="AK29"/>
  <c r="F29"/>
  <c r="E29"/>
  <c r="F28"/>
  <c r="E28"/>
  <c r="F27"/>
  <c r="E27"/>
  <c r="AQ26"/>
  <c r="AO26"/>
  <c r="AO100" s="1"/>
  <c r="AN26"/>
  <c r="AN100" s="1"/>
  <c r="AL26"/>
  <c r="AL100" s="1"/>
  <c r="AK26"/>
  <c r="AK100" s="1"/>
  <c r="AH26"/>
  <c r="AH100" s="1"/>
  <c r="AE26"/>
  <c r="AE100" s="1"/>
  <c r="AC26"/>
  <c r="AC100" s="1"/>
  <c r="AC98" s="1"/>
  <c r="AE98" s="1"/>
  <c r="AB26"/>
  <c r="AB100" s="1"/>
  <c r="Y26"/>
  <c r="V26"/>
  <c r="S26"/>
  <c r="P26"/>
  <c r="N26"/>
  <c r="N100" s="1"/>
  <c r="M26"/>
  <c r="J26"/>
  <c r="F26"/>
  <c r="E26"/>
  <c r="G26" s="1"/>
  <c r="AN25"/>
  <c r="AK25"/>
  <c r="AK24" s="1"/>
  <c r="F25"/>
  <c r="E25"/>
  <c r="AP24"/>
  <c r="AQ24" s="1"/>
  <c r="AO24"/>
  <c r="AN24"/>
  <c r="AM24"/>
  <c r="AL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O24"/>
  <c r="N24"/>
  <c r="P24" s="1"/>
  <c r="L24"/>
  <c r="M24" s="1"/>
  <c r="K24"/>
  <c r="I24"/>
  <c r="H24"/>
  <c r="J24" s="1"/>
  <c r="F24"/>
  <c r="G24" s="1"/>
  <c r="E24"/>
  <c r="F23"/>
  <c r="E23"/>
  <c r="AQ22"/>
  <c r="AO22"/>
  <c r="AN22"/>
  <c r="AL22"/>
  <c r="AK22"/>
  <c r="AI22"/>
  <c r="AH22"/>
  <c r="AF22"/>
  <c r="AE22"/>
  <c r="AC22"/>
  <c r="AB22"/>
  <c r="Z22"/>
  <c r="Y22"/>
  <c r="W22"/>
  <c r="V22"/>
  <c r="T22"/>
  <c r="S22"/>
  <c r="Q22"/>
  <c r="P22"/>
  <c r="N22"/>
  <c r="M22"/>
  <c r="K22"/>
  <c r="F22"/>
  <c r="E22"/>
  <c r="G22" s="1"/>
  <c r="AO21"/>
  <c r="AQ21" s="1"/>
  <c r="AN21"/>
  <c r="AK21"/>
  <c r="AI21"/>
  <c r="AH21"/>
  <c r="AF21"/>
  <c r="AE21"/>
  <c r="AC21"/>
  <c r="AB21"/>
  <c r="Z21"/>
  <c r="Y21"/>
  <c r="W21"/>
  <c r="V21"/>
  <c r="T21"/>
  <c r="S21"/>
  <c r="Q21"/>
  <c r="O21"/>
  <c r="N21"/>
  <c r="P21" s="1"/>
  <c r="K21"/>
  <c r="M21" s="1"/>
  <c r="H21"/>
  <c r="J21" s="1"/>
  <c r="F21"/>
  <c r="AQ20"/>
  <c r="AQ19" s="1"/>
  <c r="AO20"/>
  <c r="AN20"/>
  <c r="AL20"/>
  <c r="AK20"/>
  <c r="AI20"/>
  <c r="AH20"/>
  <c r="AF20"/>
  <c r="AE20"/>
  <c r="AC20"/>
  <c r="AB20"/>
  <c r="Z20"/>
  <c r="Y20"/>
  <c r="W20"/>
  <c r="V20"/>
  <c r="T20"/>
  <c r="S20"/>
  <c r="Q20"/>
  <c r="P20"/>
  <c r="N20"/>
  <c r="M20"/>
  <c r="K20"/>
  <c r="J20"/>
  <c r="H20"/>
  <c r="F20"/>
  <c r="E20"/>
  <c r="G20" s="1"/>
  <c r="AP19"/>
  <c r="AO19"/>
  <c r="AN19"/>
  <c r="AM19"/>
  <c r="AL19"/>
  <c r="AK19"/>
  <c r="AJ19"/>
  <c r="AI19"/>
  <c r="AG19"/>
  <c r="AF19"/>
  <c r="AH19" s="1"/>
  <c r="AD19"/>
  <c r="AE19" s="1"/>
  <c r="AC19"/>
  <c r="AA19"/>
  <c r="Z19"/>
  <c r="AB19" s="1"/>
  <c r="Y19"/>
  <c r="X19"/>
  <c r="W19"/>
  <c r="U19"/>
  <c r="T19"/>
  <c r="V19" s="1"/>
  <c r="R19"/>
  <c r="S19" s="1"/>
  <c r="Q19"/>
  <c r="O19"/>
  <c r="N19"/>
  <c r="P19" s="1"/>
  <c r="L19"/>
  <c r="M19" s="1"/>
  <c r="K19"/>
  <c r="I19"/>
  <c r="H19"/>
  <c r="J19" s="1"/>
  <c r="F19"/>
  <c r="F18"/>
  <c r="E18"/>
  <c r="AP17"/>
  <c r="AP78" s="1"/>
  <c r="AO17"/>
  <c r="AO78" s="1"/>
  <c r="AM17"/>
  <c r="AM78" s="1"/>
  <c r="AL17"/>
  <c r="AL78" s="1"/>
  <c r="AJ17"/>
  <c r="AJ78" s="1"/>
  <c r="AI17"/>
  <c r="AI78" s="1"/>
  <c r="AG17"/>
  <c r="AG78" s="1"/>
  <c r="AF17"/>
  <c r="AF78" s="1"/>
  <c r="AD17"/>
  <c r="AD78" s="1"/>
  <c r="AC17"/>
  <c r="AC78" s="1"/>
  <c r="AA17"/>
  <c r="AA78" s="1"/>
  <c r="Z17"/>
  <c r="Z78" s="1"/>
  <c r="X17"/>
  <c r="X78" s="1"/>
  <c r="W17"/>
  <c r="W78" s="1"/>
  <c r="U17"/>
  <c r="U78" s="1"/>
  <c r="T17"/>
  <c r="T78" s="1"/>
  <c r="R17"/>
  <c r="R78" s="1"/>
  <c r="Q17"/>
  <c r="Q78" s="1"/>
  <c r="O17"/>
  <c r="O78" s="1"/>
  <c r="N17"/>
  <c r="N78" s="1"/>
  <c r="L17"/>
  <c r="L78" s="1"/>
  <c r="K17"/>
  <c r="K78" s="1"/>
  <c r="I17"/>
  <c r="I78" s="1"/>
  <c r="H17"/>
  <c r="H78" s="1"/>
  <c r="F17"/>
  <c r="F78" s="1"/>
  <c r="G78" s="1"/>
  <c r="E17"/>
  <c r="E78" s="1"/>
  <c r="R16"/>
  <c r="F16" s="1"/>
  <c r="E16"/>
  <c r="AP15"/>
  <c r="AP77" s="1"/>
  <c r="AO15"/>
  <c r="AO77" s="1"/>
  <c r="AM15"/>
  <c r="AM77" s="1"/>
  <c r="AL15"/>
  <c r="AL77" s="1"/>
  <c r="AJ15"/>
  <c r="AJ77" s="1"/>
  <c r="AI15"/>
  <c r="AI77" s="1"/>
  <c r="AG15"/>
  <c r="AG77" s="1"/>
  <c r="AF15"/>
  <c r="AF77" s="1"/>
  <c r="AD15"/>
  <c r="AD77" s="1"/>
  <c r="AC15"/>
  <c r="AC77" s="1"/>
  <c r="AA15"/>
  <c r="AA77" s="1"/>
  <c r="Z15"/>
  <c r="Z77" s="1"/>
  <c r="X15"/>
  <c r="X77" s="1"/>
  <c r="W15"/>
  <c r="W77" s="1"/>
  <c r="U15"/>
  <c r="U77" s="1"/>
  <c r="T15"/>
  <c r="T77" s="1"/>
  <c r="R15"/>
  <c r="R77" s="1"/>
  <c r="Q15"/>
  <c r="Q77" s="1"/>
  <c r="O15"/>
  <c r="O77" s="1"/>
  <c r="N15"/>
  <c r="N77" s="1"/>
  <c r="L15"/>
  <c r="L77" s="1"/>
  <c r="K15"/>
  <c r="K77" s="1"/>
  <c r="I15"/>
  <c r="I77" s="1"/>
  <c r="H15"/>
  <c r="H77" s="1"/>
  <c r="F15"/>
  <c r="F77" s="1"/>
  <c r="AP14"/>
  <c r="AP76" s="1"/>
  <c r="AO14"/>
  <c r="AO76" s="1"/>
  <c r="AM14"/>
  <c r="AM76" s="1"/>
  <c r="AL14"/>
  <c r="AL76" s="1"/>
  <c r="AJ14"/>
  <c r="AJ76" s="1"/>
  <c r="AI14"/>
  <c r="AI76" s="1"/>
  <c r="AG14"/>
  <c r="AG76" s="1"/>
  <c r="AF14"/>
  <c r="AF76" s="1"/>
  <c r="AD14"/>
  <c r="AD76" s="1"/>
  <c r="AC14"/>
  <c r="AC76" s="1"/>
  <c r="AA14"/>
  <c r="AA76" s="1"/>
  <c r="Z14"/>
  <c r="Z76" s="1"/>
  <c r="X14"/>
  <c r="X76" s="1"/>
  <c r="W14"/>
  <c r="W76" s="1"/>
  <c r="U14"/>
  <c r="U76" s="1"/>
  <c r="T14"/>
  <c r="T76" s="1"/>
  <c r="R14"/>
  <c r="R76" s="1"/>
  <c r="Q14"/>
  <c r="Q76" s="1"/>
  <c r="O14"/>
  <c r="O76" s="1"/>
  <c r="N14"/>
  <c r="N76" s="1"/>
  <c r="L14"/>
  <c r="L76" s="1"/>
  <c r="K14"/>
  <c r="K76" s="1"/>
  <c r="I14"/>
  <c r="I76" s="1"/>
  <c r="H14"/>
  <c r="H76" s="1"/>
  <c r="F14"/>
  <c r="F76" s="1"/>
  <c r="E14"/>
  <c r="E76" s="1"/>
  <c r="AP13"/>
  <c r="AO13"/>
  <c r="AQ13" s="1"/>
  <c r="AM13"/>
  <c r="AL13"/>
  <c r="AN13" s="1"/>
  <c r="AJ13"/>
  <c r="AK13" s="1"/>
  <c r="AI13"/>
  <c r="AG13"/>
  <c r="AF13"/>
  <c r="AH13" s="1"/>
  <c r="AD13"/>
  <c r="AE13" s="1"/>
  <c r="AC13"/>
  <c r="AA13"/>
  <c r="Z13"/>
  <c r="AB13" s="1"/>
  <c r="X13"/>
  <c r="Y13" s="1"/>
  <c r="W13"/>
  <c r="U13"/>
  <c r="T13"/>
  <c r="V13" s="1"/>
  <c r="R13"/>
  <c r="S13" s="1"/>
  <c r="Q13"/>
  <c r="O13"/>
  <c r="N13"/>
  <c r="P13" s="1"/>
  <c r="L13"/>
  <c r="M13" s="1"/>
  <c r="K13"/>
  <c r="I13"/>
  <c r="H13"/>
  <c r="J13" s="1"/>
  <c r="F13"/>
  <c r="G76" l="1"/>
  <c r="F75"/>
  <c r="H94"/>
  <c r="H87"/>
  <c r="H75"/>
  <c r="L94"/>
  <c r="L87"/>
  <c r="M76"/>
  <c r="L75"/>
  <c r="N94"/>
  <c r="N87"/>
  <c r="N75"/>
  <c r="R94"/>
  <c r="R87"/>
  <c r="S76"/>
  <c r="R75"/>
  <c r="T94"/>
  <c r="T87"/>
  <c r="T75"/>
  <c r="X94"/>
  <c r="X87"/>
  <c r="Y76"/>
  <c r="X75"/>
  <c r="Z94"/>
  <c r="Z87"/>
  <c r="Z75"/>
  <c r="AD94"/>
  <c r="AD87"/>
  <c r="AE76"/>
  <c r="AD75"/>
  <c r="AF94"/>
  <c r="AF87"/>
  <c r="AF75"/>
  <c r="AJ87"/>
  <c r="AK76"/>
  <c r="AJ75"/>
  <c r="AL94"/>
  <c r="AL87"/>
  <c r="AL75"/>
  <c r="AP87"/>
  <c r="AQ76"/>
  <c r="AP75"/>
  <c r="I95"/>
  <c r="I88"/>
  <c r="J77"/>
  <c r="K95"/>
  <c r="K88"/>
  <c r="O95"/>
  <c r="O88"/>
  <c r="P77"/>
  <c r="Q95"/>
  <c r="Q88"/>
  <c r="U95"/>
  <c r="U88"/>
  <c r="V77"/>
  <c r="W95"/>
  <c r="W88"/>
  <c r="AA95"/>
  <c r="AA88"/>
  <c r="AB77"/>
  <c r="AC95"/>
  <c r="AC88"/>
  <c r="AG95"/>
  <c r="AG88"/>
  <c r="AH77"/>
  <c r="AI88"/>
  <c r="AM88"/>
  <c r="AN77"/>
  <c r="AO95"/>
  <c r="AO88"/>
  <c r="I90"/>
  <c r="I96"/>
  <c r="L90"/>
  <c r="M78"/>
  <c r="L96"/>
  <c r="N90"/>
  <c r="N96"/>
  <c r="R90"/>
  <c r="R96"/>
  <c r="S78"/>
  <c r="T90"/>
  <c r="T96"/>
  <c r="X90"/>
  <c r="Y78"/>
  <c r="X96"/>
  <c r="Z90"/>
  <c r="Z96"/>
  <c r="AD90"/>
  <c r="AD96"/>
  <c r="AE78"/>
  <c r="AF90"/>
  <c r="AF96"/>
  <c r="AJ90"/>
  <c r="AK78"/>
  <c r="AJ96"/>
  <c r="AL90"/>
  <c r="AL96"/>
  <c r="AP90"/>
  <c r="AP96"/>
  <c r="AQ78"/>
  <c r="N98"/>
  <c r="E100"/>
  <c r="AQ100"/>
  <c r="AO98"/>
  <c r="AQ98" s="1"/>
  <c r="J14"/>
  <c r="P14"/>
  <c r="V14"/>
  <c r="AB14"/>
  <c r="AH14"/>
  <c r="AN14"/>
  <c r="M15"/>
  <c r="S15"/>
  <c r="Y15"/>
  <c r="AE15"/>
  <c r="AK15"/>
  <c r="AQ15"/>
  <c r="G17"/>
  <c r="P17"/>
  <c r="V17"/>
  <c r="AB17"/>
  <c r="AH17"/>
  <c r="AN17"/>
  <c r="E21"/>
  <c r="Q30"/>
  <c r="S30" s="1"/>
  <c r="W30"/>
  <c r="AC30"/>
  <c r="AE30" s="1"/>
  <c r="AO30"/>
  <c r="M35"/>
  <c r="I87"/>
  <c r="J76"/>
  <c r="I75"/>
  <c r="J75" s="1"/>
  <c r="I94"/>
  <c r="K94"/>
  <c r="K75"/>
  <c r="K87"/>
  <c r="O94"/>
  <c r="P76"/>
  <c r="O75"/>
  <c r="P75" s="1"/>
  <c r="O87"/>
  <c r="Q87"/>
  <c r="Q75"/>
  <c r="Q94"/>
  <c r="U87"/>
  <c r="V76"/>
  <c r="U75"/>
  <c r="V75" s="1"/>
  <c r="U94"/>
  <c r="W94"/>
  <c r="W75"/>
  <c r="W87"/>
  <c r="AA94"/>
  <c r="AB76"/>
  <c r="AA75"/>
  <c r="AB75" s="1"/>
  <c r="AA87"/>
  <c r="AC87"/>
  <c r="AC75"/>
  <c r="AC94"/>
  <c r="AG87"/>
  <c r="AH76"/>
  <c r="AG75"/>
  <c r="AH75" s="1"/>
  <c r="AG94"/>
  <c r="AI94"/>
  <c r="AI75"/>
  <c r="AI87"/>
  <c r="AN76"/>
  <c r="AM75"/>
  <c r="AN75" s="1"/>
  <c r="AM87"/>
  <c r="AO87"/>
  <c r="AO75"/>
  <c r="AO94"/>
  <c r="H95"/>
  <c r="H88"/>
  <c r="L95"/>
  <c r="M95" s="1"/>
  <c r="M77"/>
  <c r="L88"/>
  <c r="M88" s="1"/>
  <c r="N88"/>
  <c r="R88"/>
  <c r="S88" s="1"/>
  <c r="S77"/>
  <c r="R95"/>
  <c r="S95" s="1"/>
  <c r="T95"/>
  <c r="T88"/>
  <c r="X95"/>
  <c r="Y95" s="1"/>
  <c r="Y77"/>
  <c r="X88"/>
  <c r="Y88" s="1"/>
  <c r="Z88"/>
  <c r="Z95"/>
  <c r="AD88"/>
  <c r="AE88" s="1"/>
  <c r="AE77"/>
  <c r="AD95"/>
  <c r="AE95" s="1"/>
  <c r="AF95"/>
  <c r="AF88"/>
  <c r="AK77"/>
  <c r="AJ88"/>
  <c r="AK88" s="1"/>
  <c r="AL88"/>
  <c r="AL95"/>
  <c r="AP88"/>
  <c r="AQ88" s="1"/>
  <c r="AQ77"/>
  <c r="H96"/>
  <c r="H90"/>
  <c r="K96"/>
  <c r="K90"/>
  <c r="O96"/>
  <c r="P96" s="1"/>
  <c r="O90"/>
  <c r="P90" s="1"/>
  <c r="P78"/>
  <c r="Q96"/>
  <c r="Q90"/>
  <c r="U96"/>
  <c r="V96" s="1"/>
  <c r="U90"/>
  <c r="V90" s="1"/>
  <c r="V78"/>
  <c r="W96"/>
  <c r="W90"/>
  <c r="AA96"/>
  <c r="AB96" s="1"/>
  <c r="AA90"/>
  <c r="AB90" s="1"/>
  <c r="AB78"/>
  <c r="AC96"/>
  <c r="AC90"/>
  <c r="AG96"/>
  <c r="AH96" s="1"/>
  <c r="AG90"/>
  <c r="AH90" s="1"/>
  <c r="AH78"/>
  <c r="AI96"/>
  <c r="AI90"/>
  <c r="AM96"/>
  <c r="AN96" s="1"/>
  <c r="AM90"/>
  <c r="AN90" s="1"/>
  <c r="AN78"/>
  <c r="AO96"/>
  <c r="AO90"/>
  <c r="Q104"/>
  <c r="S106"/>
  <c r="W104"/>
  <c r="Y106"/>
  <c r="K104"/>
  <c r="M106"/>
  <c r="G14"/>
  <c r="M14"/>
  <c r="S14"/>
  <c r="Y14"/>
  <c r="AE14"/>
  <c r="AK14"/>
  <c r="AQ14"/>
  <c r="J15"/>
  <c r="P15"/>
  <c r="V15"/>
  <c r="AB15"/>
  <c r="AH15"/>
  <c r="AN15"/>
  <c r="M17"/>
  <c r="S17"/>
  <c r="Y17"/>
  <c r="AE17"/>
  <c r="AK17"/>
  <c r="AQ17"/>
  <c r="M104"/>
  <c r="J106"/>
  <c r="F106"/>
  <c r="O104"/>
  <c r="V106"/>
  <c r="U104"/>
  <c r="V104" s="1"/>
  <c r="G120"/>
  <c r="AQ126"/>
  <c r="AO124"/>
  <c r="J60"/>
  <c r="M72"/>
  <c r="W98"/>
  <c r="Y98" s="1"/>
  <c r="F99"/>
  <c r="AL98"/>
  <c r="S104"/>
  <c r="Z104"/>
  <c r="AB104" s="1"/>
  <c r="AF104"/>
  <c r="AH104" s="1"/>
  <c r="E105"/>
  <c r="G115"/>
  <c r="E119"/>
  <c r="E124"/>
  <c r="G124" s="1"/>
  <c r="AQ124"/>
  <c r="E99"/>
  <c r="E98" s="1"/>
  <c r="H98"/>
  <c r="J98" s="1"/>
  <c r="AH99"/>
  <c r="AF98"/>
  <c r="AH98" s="1"/>
  <c r="J100"/>
  <c r="F100"/>
  <c r="G100" s="1"/>
  <c r="F105"/>
  <c r="I104"/>
  <c r="J104" s="1"/>
  <c r="S110"/>
  <c r="Q109"/>
  <c r="E42"/>
  <c r="E40" s="1"/>
  <c r="G40" s="1"/>
  <c r="S42"/>
  <c r="V42"/>
  <c r="V40" s="1"/>
  <c r="Y42"/>
  <c r="AB42"/>
  <c r="AE42"/>
  <c r="AH42"/>
  <c r="N106"/>
  <c r="N104" s="1"/>
  <c r="AI106"/>
  <c r="AI104" s="1"/>
  <c r="AK104" s="1"/>
  <c r="P98"/>
  <c r="AN98"/>
  <c r="P100"/>
  <c r="Y104"/>
  <c r="AE104"/>
  <c r="AQ104"/>
  <c r="AQ105"/>
  <c r="AE106"/>
  <c r="S109"/>
  <c r="G105" l="1"/>
  <c r="F104"/>
  <c r="AM111"/>
  <c r="AM95" s="1"/>
  <c r="AN95" s="1"/>
  <c r="AN87"/>
  <c r="AM86"/>
  <c r="AH87"/>
  <c r="AG86"/>
  <c r="AB87"/>
  <c r="AA86"/>
  <c r="V87"/>
  <c r="U86"/>
  <c r="P87"/>
  <c r="O86"/>
  <c r="J87"/>
  <c r="F87"/>
  <c r="I86"/>
  <c r="E19"/>
  <c r="G19" s="1"/>
  <c r="E15"/>
  <c r="J88"/>
  <c r="F88"/>
  <c r="AP111"/>
  <c r="AQ87"/>
  <c r="AP86"/>
  <c r="AE87"/>
  <c r="AD86"/>
  <c r="Y94"/>
  <c r="X93"/>
  <c r="S87"/>
  <c r="R86"/>
  <c r="M94"/>
  <c r="L93"/>
  <c r="E87"/>
  <c r="H86"/>
  <c r="P104"/>
  <c r="E96"/>
  <c r="N95"/>
  <c r="AI86"/>
  <c r="W86"/>
  <c r="W93"/>
  <c r="K86"/>
  <c r="K93"/>
  <c r="G42"/>
  <c r="AQ90"/>
  <c r="AE90"/>
  <c r="S90"/>
  <c r="F96"/>
  <c r="G96" s="1"/>
  <c r="AI95"/>
  <c r="E95" s="1"/>
  <c r="AH88"/>
  <c r="AB95"/>
  <c r="V88"/>
  <c r="P95"/>
  <c r="AQ75"/>
  <c r="AL93"/>
  <c r="AF86"/>
  <c r="AE75"/>
  <c r="Z93"/>
  <c r="T86"/>
  <c r="S75"/>
  <c r="N93"/>
  <c r="G21"/>
  <c r="G99"/>
  <c r="F98"/>
  <c r="G98" s="1"/>
  <c r="AH94"/>
  <c r="AG93"/>
  <c r="AB94"/>
  <c r="AA93"/>
  <c r="AB93" s="1"/>
  <c r="V94"/>
  <c r="U93"/>
  <c r="P94"/>
  <c r="O93"/>
  <c r="P93" s="1"/>
  <c r="J94"/>
  <c r="I93"/>
  <c r="J95"/>
  <c r="AK87"/>
  <c r="AJ86"/>
  <c r="AJ111"/>
  <c r="AE94"/>
  <c r="AD93"/>
  <c r="Y87"/>
  <c r="X86"/>
  <c r="Y86" s="1"/>
  <c r="S94"/>
  <c r="R93"/>
  <c r="S93" s="1"/>
  <c r="M87"/>
  <c r="L86"/>
  <c r="M86" s="1"/>
  <c r="E94"/>
  <c r="H93"/>
  <c r="E106"/>
  <c r="E104" s="1"/>
  <c r="P106"/>
  <c r="E90"/>
  <c r="E88"/>
  <c r="AO93"/>
  <c r="AO86"/>
  <c r="AC93"/>
  <c r="AC86"/>
  <c r="Q93"/>
  <c r="Q86"/>
  <c r="AQ96"/>
  <c r="AK96"/>
  <c r="AK90"/>
  <c r="AE96"/>
  <c r="Y96"/>
  <c r="Y90"/>
  <c r="S96"/>
  <c r="M96"/>
  <c r="M90"/>
  <c r="F90"/>
  <c r="G90" s="1"/>
  <c r="AN88"/>
  <c r="AH95"/>
  <c r="AB88"/>
  <c r="V95"/>
  <c r="P88"/>
  <c r="AL86"/>
  <c r="AK75"/>
  <c r="AF93"/>
  <c r="Z86"/>
  <c r="Y75"/>
  <c r="T93"/>
  <c r="N86"/>
  <c r="M75"/>
  <c r="F111" l="1"/>
  <c r="AJ95"/>
  <c r="AP110"/>
  <c r="AQ86"/>
  <c r="AP95"/>
  <c r="AQ95" s="1"/>
  <c r="AP122"/>
  <c r="F122" s="1"/>
  <c r="F119" s="1"/>
  <c r="G119" s="1"/>
  <c r="F86"/>
  <c r="G87"/>
  <c r="AN86"/>
  <c r="AM110"/>
  <c r="AE93"/>
  <c r="V93"/>
  <c r="AH93"/>
  <c r="AI93"/>
  <c r="M93"/>
  <c r="S86"/>
  <c r="Y93"/>
  <c r="AE86"/>
  <c r="P86"/>
  <c r="V86"/>
  <c r="AB86"/>
  <c r="AH86"/>
  <c r="AJ110"/>
  <c r="AK86"/>
  <c r="E77"/>
  <c r="E13"/>
  <c r="G13" s="1"/>
  <c r="G15"/>
  <c r="E93"/>
  <c r="J93"/>
  <c r="G106"/>
  <c r="E86"/>
  <c r="G88"/>
  <c r="J86"/>
  <c r="G104"/>
  <c r="E75" l="1"/>
  <c r="G75" s="1"/>
  <c r="G77"/>
  <c r="F110"/>
  <c r="AJ109"/>
  <c r="AK109" s="1"/>
  <c r="AJ94"/>
  <c r="AP109"/>
  <c r="AQ109" s="1"/>
  <c r="AP94"/>
  <c r="G86"/>
  <c r="AM109"/>
  <c r="AN109" s="1"/>
  <c r="AM94"/>
  <c r="AK95"/>
  <c r="F95"/>
  <c r="G95" s="1"/>
  <c r="AP117" l="1"/>
  <c r="F117" s="1"/>
  <c r="F114" s="1"/>
  <c r="G114" s="1"/>
  <c r="AQ94"/>
  <c r="AP93"/>
  <c r="AQ93" s="1"/>
  <c r="AK94"/>
  <c r="AJ93"/>
  <c r="AK93" s="1"/>
  <c r="F94"/>
  <c r="F109"/>
  <c r="G109" s="1"/>
  <c r="G110"/>
  <c r="AN94"/>
  <c r="AM93"/>
  <c r="AN93" s="1"/>
  <c r="G94" l="1"/>
  <c r="F93"/>
  <c r="G93" s="1"/>
  <c r="AG15" i="37" l="1"/>
  <c r="O15"/>
  <c r="AG14"/>
  <c r="X14"/>
  <c r="X15"/>
  <c r="AP15"/>
  <c r="AP14"/>
  <c r="AD14"/>
  <c r="U14"/>
  <c r="AP16"/>
  <c r="AA16"/>
  <c r="X16"/>
  <c r="O16"/>
  <c r="U79" l="1"/>
  <c r="O79"/>
  <c r="L79"/>
  <c r="L71"/>
  <c r="O71"/>
  <c r="AM71"/>
  <c r="Q24" l="1"/>
  <c r="N24"/>
  <c r="N26" l="1"/>
  <c r="AM26"/>
  <c r="AJ26"/>
  <c r="AG26"/>
  <c r="AD26"/>
  <c r="AA26"/>
  <c r="X26"/>
  <c r="U26"/>
  <c r="R26"/>
  <c r="O26"/>
  <c r="Q26" s="1"/>
  <c r="L15" l="1"/>
  <c r="AM16"/>
  <c r="Q16"/>
  <c r="N16"/>
  <c r="O14"/>
  <c r="Q14" s="1"/>
  <c r="Q15" l="1"/>
  <c r="R15"/>
  <c r="T15" s="1"/>
  <c r="AP11"/>
  <c r="AP71"/>
  <c r="F71" s="1"/>
  <c r="O58"/>
  <c r="Q58" s="1"/>
  <c r="R79"/>
  <c r="R77" s="1"/>
  <c r="N79"/>
  <c r="R79" i="35"/>
  <c r="T79" s="1"/>
  <c r="O79"/>
  <c r="L79"/>
  <c r="L64" s="1"/>
  <c r="G80" i="37"/>
  <c r="F80"/>
  <c r="AP79"/>
  <c r="AM79"/>
  <c r="AM77" s="1"/>
  <c r="AJ79"/>
  <c r="AI79"/>
  <c r="AG79"/>
  <c r="AG77" s="1"/>
  <c r="AF79"/>
  <c r="AD79"/>
  <c r="AC79"/>
  <c r="AA79"/>
  <c r="Z79"/>
  <c r="Z77" s="1"/>
  <c r="X79"/>
  <c r="W79"/>
  <c r="U77"/>
  <c r="Q79"/>
  <c r="G79"/>
  <c r="G78"/>
  <c r="F78"/>
  <c r="AP77"/>
  <c r="AO77"/>
  <c r="AN77"/>
  <c r="AL77"/>
  <c r="AK77"/>
  <c r="AJ77"/>
  <c r="AH77"/>
  <c r="AE77"/>
  <c r="AD77"/>
  <c r="AB77"/>
  <c r="AA77"/>
  <c r="Y77"/>
  <c r="X77"/>
  <c r="V77"/>
  <c r="S77"/>
  <c r="P77"/>
  <c r="O77"/>
  <c r="M77"/>
  <c r="L77"/>
  <c r="J77"/>
  <c r="I77"/>
  <c r="G76"/>
  <c r="F76"/>
  <c r="G75"/>
  <c r="F75"/>
  <c r="G74"/>
  <c r="F74"/>
  <c r="F73" s="1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G65" s="1"/>
  <c r="F72"/>
  <c r="AI71"/>
  <c r="AF71"/>
  <c r="AC71"/>
  <c r="AC64" s="1"/>
  <c r="Z71"/>
  <c r="W71"/>
  <c r="T71"/>
  <c r="Q71"/>
  <c r="N71"/>
  <c r="G71"/>
  <c r="G69" s="1"/>
  <c r="G70"/>
  <c r="F70"/>
  <c r="AO69"/>
  <c r="AN69"/>
  <c r="AM69"/>
  <c r="AL69"/>
  <c r="AK69"/>
  <c r="AJ69"/>
  <c r="AH69"/>
  <c r="AG69"/>
  <c r="AE69"/>
  <c r="AD69"/>
  <c r="AB69"/>
  <c r="AA69"/>
  <c r="Y69"/>
  <c r="X69"/>
  <c r="V69"/>
  <c r="U69"/>
  <c r="S69"/>
  <c r="R69"/>
  <c r="P69"/>
  <c r="O69"/>
  <c r="M69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O64"/>
  <c r="AN64"/>
  <c r="AM64"/>
  <c r="AL64"/>
  <c r="AK64"/>
  <c r="AJ64"/>
  <c r="AI64"/>
  <c r="AH64"/>
  <c r="AE64"/>
  <c r="AF64" s="1"/>
  <c r="AD64"/>
  <c r="AB64"/>
  <c r="AA64"/>
  <c r="Z64"/>
  <c r="Y64"/>
  <c r="X64"/>
  <c r="V64"/>
  <c r="S64"/>
  <c r="P64"/>
  <c r="O64"/>
  <c r="M64"/>
  <c r="L64"/>
  <c r="J64"/>
  <c r="I64"/>
  <c r="AR63"/>
  <c r="AQ63"/>
  <c r="AP63"/>
  <c r="AO63"/>
  <c r="AO62" s="1"/>
  <c r="AN63"/>
  <c r="AM63"/>
  <c r="AL63"/>
  <c r="AK63"/>
  <c r="AJ63"/>
  <c r="AI63"/>
  <c r="AH63"/>
  <c r="AG63"/>
  <c r="AF63"/>
  <c r="AE63"/>
  <c r="AD63"/>
  <c r="AC63"/>
  <c r="AC62" s="1"/>
  <c r="AB63"/>
  <c r="AA63"/>
  <c r="Z63"/>
  <c r="Y63"/>
  <c r="X63"/>
  <c r="W63"/>
  <c r="V63"/>
  <c r="U63"/>
  <c r="S63"/>
  <c r="R63"/>
  <c r="P63"/>
  <c r="O63"/>
  <c r="N63"/>
  <c r="M63"/>
  <c r="L63"/>
  <c r="J63"/>
  <c r="J62" s="1"/>
  <c r="I63"/>
  <c r="G63"/>
  <c r="AR62"/>
  <c r="AQ62"/>
  <c r="AJ62"/>
  <c r="X62"/>
  <c r="L62"/>
  <c r="G59"/>
  <c r="F59"/>
  <c r="F51" s="1"/>
  <c r="AI58"/>
  <c r="Z58"/>
  <c r="G58"/>
  <c r="G50" s="1"/>
  <c r="F58"/>
  <c r="F50" s="1"/>
  <c r="G57"/>
  <c r="F57"/>
  <c r="F49" s="1"/>
  <c r="AP56"/>
  <c r="AO56"/>
  <c r="AN56"/>
  <c r="AM56"/>
  <c r="AL56"/>
  <c r="AK56"/>
  <c r="AJ56"/>
  <c r="AH56"/>
  <c r="AG56"/>
  <c r="AF56"/>
  <c r="AE56"/>
  <c r="AD56"/>
  <c r="AC56"/>
  <c r="AB56"/>
  <c r="AA56"/>
  <c r="Z56"/>
  <c r="Y56"/>
  <c r="X56"/>
  <c r="V56"/>
  <c r="U56"/>
  <c r="T56"/>
  <c r="S56"/>
  <c r="R56"/>
  <c r="P56"/>
  <c r="O56"/>
  <c r="M56"/>
  <c r="L56"/>
  <c r="J56"/>
  <c r="I56"/>
  <c r="G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G51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9"/>
  <c r="AQ49"/>
  <c r="AP49"/>
  <c r="AO49"/>
  <c r="AN49"/>
  <c r="AM49"/>
  <c r="AM48" s="1"/>
  <c r="AL49"/>
  <c r="AK49"/>
  <c r="AJ49"/>
  <c r="AI49"/>
  <c r="AI48" s="1"/>
  <c r="AH49"/>
  <c r="AG49"/>
  <c r="AF49"/>
  <c r="AE49"/>
  <c r="AE48" s="1"/>
  <c r="AD49"/>
  <c r="AC49"/>
  <c r="AB49"/>
  <c r="AA49"/>
  <c r="Z49"/>
  <c r="Y49"/>
  <c r="X49"/>
  <c r="W49"/>
  <c r="W48" s="1"/>
  <c r="V49"/>
  <c r="U49"/>
  <c r="T49"/>
  <c r="S49"/>
  <c r="S48" s="1"/>
  <c r="R49"/>
  <c r="P49"/>
  <c r="P48" s="1"/>
  <c r="O49"/>
  <c r="M49"/>
  <c r="M48" s="1"/>
  <c r="L49"/>
  <c r="J49"/>
  <c r="J48" s="1"/>
  <c r="I49"/>
  <c r="G49"/>
  <c r="AQ48"/>
  <c r="AA48"/>
  <c r="G45"/>
  <c r="G36" s="1"/>
  <c r="F45"/>
  <c r="AI44"/>
  <c r="AI35" s="1"/>
  <c r="AF44"/>
  <c r="AC44"/>
  <c r="Z44"/>
  <c r="Z35" s="1"/>
  <c r="W44"/>
  <c r="W35" s="1"/>
  <c r="T44"/>
  <c r="Q44"/>
  <c r="N44"/>
  <c r="K44"/>
  <c r="G44"/>
  <c r="G35" s="1"/>
  <c r="F44"/>
  <c r="AI43"/>
  <c r="AF43"/>
  <c r="AC43"/>
  <c r="Z43"/>
  <c r="Z34" s="1"/>
  <c r="W43"/>
  <c r="T43"/>
  <c r="Q43"/>
  <c r="N43"/>
  <c r="G43"/>
  <c r="F43"/>
  <c r="F34" s="1"/>
  <c r="AP42"/>
  <c r="AO42"/>
  <c r="AN42"/>
  <c r="AM42"/>
  <c r="AL42"/>
  <c r="AK42"/>
  <c r="AJ42"/>
  <c r="AH42"/>
  <c r="AI42" s="1"/>
  <c r="AG42"/>
  <c r="AE42"/>
  <c r="AF42" s="1"/>
  <c r="AD42"/>
  <c r="AB42"/>
  <c r="AC42" s="1"/>
  <c r="AA42"/>
  <c r="Y42"/>
  <c r="X42"/>
  <c r="V42"/>
  <c r="W42" s="1"/>
  <c r="U42"/>
  <c r="S42"/>
  <c r="T42" s="1"/>
  <c r="R42"/>
  <c r="P42"/>
  <c r="Q42" s="1"/>
  <c r="O42"/>
  <c r="M42"/>
  <c r="N42" s="1"/>
  <c r="L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H35"/>
  <c r="AG35"/>
  <c r="AE35"/>
  <c r="AD35"/>
  <c r="AC35"/>
  <c r="AB35"/>
  <c r="AA35"/>
  <c r="Y35"/>
  <c r="X35"/>
  <c r="V35"/>
  <c r="U35"/>
  <c r="S35"/>
  <c r="R35"/>
  <c r="P35"/>
  <c r="O35"/>
  <c r="M35"/>
  <c r="L35"/>
  <c r="J35"/>
  <c r="I35"/>
  <c r="AR34"/>
  <c r="AQ34"/>
  <c r="AP34"/>
  <c r="AO34"/>
  <c r="AN34"/>
  <c r="AM34"/>
  <c r="AL34"/>
  <c r="AK34"/>
  <c r="AJ34"/>
  <c r="AI34"/>
  <c r="AH34"/>
  <c r="AG34"/>
  <c r="AE34"/>
  <c r="AD34"/>
  <c r="AC34"/>
  <c r="AB34"/>
  <c r="AA34"/>
  <c r="Y34"/>
  <c r="X34"/>
  <c r="W34"/>
  <c r="V34"/>
  <c r="U34"/>
  <c r="S34"/>
  <c r="R34"/>
  <c r="P34"/>
  <c r="O34"/>
  <c r="M34"/>
  <c r="L34"/>
  <c r="J34"/>
  <c r="I34"/>
  <c r="G34"/>
  <c r="AQ33"/>
  <c r="AA33"/>
  <c r="O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I26"/>
  <c r="AI10" s="1"/>
  <c r="AI82" s="1"/>
  <c r="AF26"/>
  <c r="AC26"/>
  <c r="AC25" s="1"/>
  <c r="Z26"/>
  <c r="K26"/>
  <c r="G26"/>
  <c r="F26"/>
  <c r="AR25"/>
  <c r="AQ25"/>
  <c r="AP25"/>
  <c r="AO25"/>
  <c r="AN25"/>
  <c r="AM25"/>
  <c r="AL25"/>
  <c r="AK25"/>
  <c r="AJ25"/>
  <c r="AH25"/>
  <c r="AI25" s="1"/>
  <c r="AG25"/>
  <c r="AE25"/>
  <c r="AD25"/>
  <c r="AB25"/>
  <c r="AA25"/>
  <c r="Z25"/>
  <c r="Y25"/>
  <c r="X25"/>
  <c r="W25"/>
  <c r="V25"/>
  <c r="U25"/>
  <c r="S25"/>
  <c r="R25"/>
  <c r="P25"/>
  <c r="Q25" s="1"/>
  <c r="O25"/>
  <c r="M25"/>
  <c r="N25" s="1"/>
  <c r="L25"/>
  <c r="J25"/>
  <c r="K25" s="1"/>
  <c r="I25"/>
  <c r="K24"/>
  <c r="G24"/>
  <c r="F24"/>
  <c r="G23"/>
  <c r="F23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W22" s="1"/>
  <c r="S22"/>
  <c r="R22"/>
  <c r="P22"/>
  <c r="O22"/>
  <c r="M22"/>
  <c r="L22"/>
  <c r="J22"/>
  <c r="I22"/>
  <c r="K22" s="1"/>
  <c r="G20"/>
  <c r="F20"/>
  <c r="K19"/>
  <c r="G19"/>
  <c r="F19"/>
  <c r="G18"/>
  <c r="F18"/>
  <c r="AR17"/>
  <c r="AQ17"/>
  <c r="AP17"/>
  <c r="AO17"/>
  <c r="AN17"/>
  <c r="AM17"/>
  <c r="AL17"/>
  <c r="AK17"/>
  <c r="AJ17"/>
  <c r="AI17"/>
  <c r="AH17"/>
  <c r="AG17"/>
  <c r="AE17"/>
  <c r="AF17" s="1"/>
  <c r="AD17"/>
  <c r="AC17"/>
  <c r="AB17"/>
  <c r="AA17"/>
  <c r="Y17"/>
  <c r="X17"/>
  <c r="V17"/>
  <c r="U17"/>
  <c r="S17"/>
  <c r="R17"/>
  <c r="P17"/>
  <c r="O17"/>
  <c r="M17"/>
  <c r="L17"/>
  <c r="J17"/>
  <c r="I17"/>
  <c r="AD16"/>
  <c r="AD12" s="1"/>
  <c r="K16"/>
  <c r="G16"/>
  <c r="AM15"/>
  <c r="AM13" s="1"/>
  <c r="AJ15"/>
  <c r="AG11"/>
  <c r="AD15"/>
  <c r="AF15" s="1"/>
  <c r="AA15"/>
  <c r="AA11" s="1"/>
  <c r="AA83" s="1"/>
  <c r="Z15"/>
  <c r="Z11" s="1"/>
  <c r="U15"/>
  <c r="U13" s="1"/>
  <c r="N15"/>
  <c r="K15"/>
  <c r="G15"/>
  <c r="AP10"/>
  <c r="AM14"/>
  <c r="AJ14"/>
  <c r="AJ13" s="1"/>
  <c r="AD10"/>
  <c r="AA14"/>
  <c r="AA13" s="1"/>
  <c r="R14"/>
  <c r="R10" s="1"/>
  <c r="L14"/>
  <c r="N14" s="1"/>
  <c r="I14"/>
  <c r="G14"/>
  <c r="AR13"/>
  <c r="AQ13"/>
  <c r="AO13"/>
  <c r="AN13"/>
  <c r="AL13"/>
  <c r="AK13"/>
  <c r="AH13"/>
  <c r="AE13"/>
  <c r="AD13"/>
  <c r="AB13"/>
  <c r="Z13"/>
  <c r="Y13"/>
  <c r="X13"/>
  <c r="V13"/>
  <c r="S13"/>
  <c r="P13"/>
  <c r="M13"/>
  <c r="J13"/>
  <c r="AR12"/>
  <c r="AQ12"/>
  <c r="AQ84" s="1"/>
  <c r="AP12"/>
  <c r="AO12"/>
  <c r="AO84" s="1"/>
  <c r="AN12"/>
  <c r="AM12"/>
  <c r="AM84" s="1"/>
  <c r="AL12"/>
  <c r="AK12"/>
  <c r="AK84" s="1"/>
  <c r="AJ12"/>
  <c r="AI12"/>
  <c r="AI84" s="1"/>
  <c r="AH12"/>
  <c r="AG12"/>
  <c r="AG84" s="1"/>
  <c r="AE12"/>
  <c r="AC12"/>
  <c r="AC84" s="1"/>
  <c r="AB12"/>
  <c r="AA12"/>
  <c r="AA84" s="1"/>
  <c r="Z12"/>
  <c r="Y12"/>
  <c r="Y84" s="1"/>
  <c r="X12"/>
  <c r="V12"/>
  <c r="W12" s="1"/>
  <c r="W84" s="1"/>
  <c r="U12"/>
  <c r="S12"/>
  <c r="R12"/>
  <c r="P12"/>
  <c r="P84" s="1"/>
  <c r="O12"/>
  <c r="M12"/>
  <c r="M84" s="1"/>
  <c r="L12"/>
  <c r="J12"/>
  <c r="I12"/>
  <c r="AR11"/>
  <c r="AR83" s="1"/>
  <c r="AQ11"/>
  <c r="AO11"/>
  <c r="AN11"/>
  <c r="AM11"/>
  <c r="AM83" s="1"/>
  <c r="AL11"/>
  <c r="AK11"/>
  <c r="AJ11"/>
  <c r="AI11"/>
  <c r="AH11"/>
  <c r="AE11"/>
  <c r="AE83" s="1"/>
  <c r="AD11"/>
  <c r="AB11"/>
  <c r="AB83" s="1"/>
  <c r="Y11"/>
  <c r="X11"/>
  <c r="X83" s="1"/>
  <c r="V11"/>
  <c r="S11"/>
  <c r="S83" s="1"/>
  <c r="P11"/>
  <c r="P83" s="1"/>
  <c r="M11"/>
  <c r="L11"/>
  <c r="J11"/>
  <c r="AR10"/>
  <c r="AQ10"/>
  <c r="AQ82" s="1"/>
  <c r="AO10"/>
  <c r="AN10"/>
  <c r="AM10"/>
  <c r="AL10"/>
  <c r="AL82" s="1"/>
  <c r="AK10"/>
  <c r="AJ10"/>
  <c r="AH10"/>
  <c r="AH82" s="1"/>
  <c r="AG10"/>
  <c r="AE10"/>
  <c r="AB10"/>
  <c r="Z10"/>
  <c r="Z82" s="1"/>
  <c r="Y10"/>
  <c r="X10"/>
  <c r="V10"/>
  <c r="V82" s="1"/>
  <c r="U10"/>
  <c r="S10"/>
  <c r="P10"/>
  <c r="O10"/>
  <c r="M10"/>
  <c r="M82" s="1"/>
  <c r="J10"/>
  <c r="J82" s="1"/>
  <c r="AR9"/>
  <c r="AQ9"/>
  <c r="AH9"/>
  <c r="O26" i="35"/>
  <c r="I14"/>
  <c r="K14" s="1"/>
  <c r="O14"/>
  <c r="K26"/>
  <c r="K24"/>
  <c r="K19"/>
  <c r="K16"/>
  <c r="X15"/>
  <c r="X11" s="1"/>
  <c r="AP15"/>
  <c r="I15"/>
  <c r="K15" s="1"/>
  <c r="AP14"/>
  <c r="G80"/>
  <c r="F80"/>
  <c r="AP79"/>
  <c r="AP77" s="1"/>
  <c r="AM79"/>
  <c r="AM77" s="1"/>
  <c r="AJ79"/>
  <c r="AJ64" s="1"/>
  <c r="AG79"/>
  <c r="AG64" s="1"/>
  <c r="AD79"/>
  <c r="AF79" s="1"/>
  <c r="AA79"/>
  <c r="AA77" s="1"/>
  <c r="X79"/>
  <c r="Z79" s="1"/>
  <c r="U79"/>
  <c r="U64" s="1"/>
  <c r="O77"/>
  <c r="N79"/>
  <c r="G79"/>
  <c r="G78"/>
  <c r="F78"/>
  <c r="AO77"/>
  <c r="AN77"/>
  <c r="AL77"/>
  <c r="AK77"/>
  <c r="AJ77"/>
  <c r="AH77"/>
  <c r="AG77"/>
  <c r="AE77"/>
  <c r="AB77"/>
  <c r="Y77"/>
  <c r="X77"/>
  <c r="V77"/>
  <c r="U77"/>
  <c r="S77"/>
  <c r="P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I71"/>
  <c r="AF71"/>
  <c r="AC71"/>
  <c r="Z71"/>
  <c r="W71"/>
  <c r="T71"/>
  <c r="Q71"/>
  <c r="N71"/>
  <c r="G71"/>
  <c r="F71"/>
  <c r="H71" s="1"/>
  <c r="G70"/>
  <c r="F70"/>
  <c r="F63" s="1"/>
  <c r="AP69"/>
  <c r="AO69"/>
  <c r="AN69"/>
  <c r="AM69"/>
  <c r="AL69"/>
  <c r="AK69"/>
  <c r="AJ69"/>
  <c r="AH69"/>
  <c r="AI69" s="1"/>
  <c r="AG69"/>
  <c r="AE69"/>
  <c r="AF69" s="1"/>
  <c r="AD69"/>
  <c r="AB69"/>
  <c r="AA69"/>
  <c r="Y69"/>
  <c r="Z69" s="1"/>
  <c r="X69"/>
  <c r="V69"/>
  <c r="W69" s="1"/>
  <c r="U69"/>
  <c r="S69"/>
  <c r="T69" s="1"/>
  <c r="R69"/>
  <c r="P69"/>
  <c r="O69"/>
  <c r="M69"/>
  <c r="N69" s="1"/>
  <c r="L69"/>
  <c r="J69"/>
  <c r="I69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L64"/>
  <c r="AK64"/>
  <c r="AH64"/>
  <c r="AE64"/>
  <c r="AD64"/>
  <c r="AB64"/>
  <c r="Y64"/>
  <c r="X64"/>
  <c r="V64"/>
  <c r="S64"/>
  <c r="P64"/>
  <c r="M64"/>
  <c r="J64"/>
  <c r="I64"/>
  <c r="AR63"/>
  <c r="AQ63"/>
  <c r="AP63"/>
  <c r="AP62" s="1"/>
  <c r="AO63"/>
  <c r="AN63"/>
  <c r="AN62" s="1"/>
  <c r="AM63"/>
  <c r="AL63"/>
  <c r="AL62" s="1"/>
  <c r="AK63"/>
  <c r="AJ63"/>
  <c r="AI63"/>
  <c r="AH63"/>
  <c r="AH62" s="1"/>
  <c r="AG63"/>
  <c r="AF63"/>
  <c r="AE63"/>
  <c r="AE62" s="1"/>
  <c r="AD63"/>
  <c r="AD62" s="1"/>
  <c r="AC63"/>
  <c r="AB63"/>
  <c r="AB62" s="1"/>
  <c r="AA63"/>
  <c r="Z63"/>
  <c r="Y63"/>
  <c r="X63"/>
  <c r="X62" s="1"/>
  <c r="W63"/>
  <c r="V63"/>
  <c r="V62" s="1"/>
  <c r="U63"/>
  <c r="S63"/>
  <c r="S62" s="1"/>
  <c r="R63"/>
  <c r="P63"/>
  <c r="P62" s="1"/>
  <c r="O63"/>
  <c r="N63"/>
  <c r="M63"/>
  <c r="L63"/>
  <c r="J63"/>
  <c r="I63"/>
  <c r="I62" s="1"/>
  <c r="AR62"/>
  <c r="AQ62"/>
  <c r="AO62"/>
  <c r="AK62"/>
  <c r="Y62"/>
  <c r="J62"/>
  <c r="G59"/>
  <c r="G51" s="1"/>
  <c r="F59"/>
  <c r="F51" s="1"/>
  <c r="AI58"/>
  <c r="AI50" s="1"/>
  <c r="Z58"/>
  <c r="Z56" s="1"/>
  <c r="Q58"/>
  <c r="G58"/>
  <c r="H58" s="1"/>
  <c r="F58"/>
  <c r="G57"/>
  <c r="G56" s="1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Q50" s="1"/>
  <c r="M50"/>
  <c r="L50"/>
  <c r="J50"/>
  <c r="I50"/>
  <c r="F50"/>
  <c r="AR49"/>
  <c r="AQ49"/>
  <c r="AP49"/>
  <c r="AO49"/>
  <c r="AN49"/>
  <c r="AM49"/>
  <c r="AL49"/>
  <c r="AK49"/>
  <c r="AJ49"/>
  <c r="AI49"/>
  <c r="AH49"/>
  <c r="AG49"/>
  <c r="AF49"/>
  <c r="AF48" s="1"/>
  <c r="AE49"/>
  <c r="AD49"/>
  <c r="AC49"/>
  <c r="AB49"/>
  <c r="AA49"/>
  <c r="Z49"/>
  <c r="Y49"/>
  <c r="X49"/>
  <c r="W49"/>
  <c r="V49"/>
  <c r="U49"/>
  <c r="T49"/>
  <c r="S49"/>
  <c r="R49"/>
  <c r="P49"/>
  <c r="P48" s="1"/>
  <c r="O49"/>
  <c r="M49"/>
  <c r="M48" s="1"/>
  <c r="L49"/>
  <c r="J49"/>
  <c r="I49"/>
  <c r="G49"/>
  <c r="AN48"/>
  <c r="X48"/>
  <c r="J48"/>
  <c r="G45"/>
  <c r="G36" s="1"/>
  <c r="F45"/>
  <c r="AI44"/>
  <c r="AF44"/>
  <c r="AC44"/>
  <c r="AC35" s="1"/>
  <c r="Z44"/>
  <c r="Z35" s="1"/>
  <c r="W44"/>
  <c r="T44"/>
  <c r="Q44"/>
  <c r="N44"/>
  <c r="K44"/>
  <c r="G44"/>
  <c r="F44"/>
  <c r="AI43"/>
  <c r="AI34" s="1"/>
  <c r="AF43"/>
  <c r="AC43"/>
  <c r="AC34" s="1"/>
  <c r="Z43"/>
  <c r="Z34" s="1"/>
  <c r="W43"/>
  <c r="W34" s="1"/>
  <c r="T43"/>
  <c r="Q43"/>
  <c r="N43"/>
  <c r="K43"/>
  <c r="G43"/>
  <c r="F43"/>
  <c r="F34" s="1"/>
  <c r="AP42"/>
  <c r="AO42"/>
  <c r="AN42"/>
  <c r="AM42"/>
  <c r="AL42"/>
  <c r="AK42"/>
  <c r="AJ42"/>
  <c r="AH42"/>
  <c r="AG42"/>
  <c r="AE42"/>
  <c r="AF42" s="1"/>
  <c r="AD42"/>
  <c r="AB42"/>
  <c r="AA42"/>
  <c r="Y42"/>
  <c r="Z42" s="1"/>
  <c r="X42"/>
  <c r="V42"/>
  <c r="W42" s="1"/>
  <c r="U42"/>
  <c r="S42"/>
  <c r="T42" s="1"/>
  <c r="R42"/>
  <c r="P42"/>
  <c r="O42"/>
  <c r="M42"/>
  <c r="N42" s="1"/>
  <c r="L42"/>
  <c r="J42"/>
  <c r="I42"/>
  <c r="F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F36"/>
  <c r="AR35"/>
  <c r="AQ35"/>
  <c r="AP35"/>
  <c r="AO35"/>
  <c r="AN35"/>
  <c r="AM35"/>
  <c r="AL35"/>
  <c r="AK35"/>
  <c r="AJ35"/>
  <c r="AI35"/>
  <c r="AH35"/>
  <c r="AG35"/>
  <c r="AE35"/>
  <c r="AD35"/>
  <c r="AB35"/>
  <c r="AA35"/>
  <c r="Y35"/>
  <c r="X35"/>
  <c r="W35"/>
  <c r="V35"/>
  <c r="U35"/>
  <c r="S35"/>
  <c r="R35"/>
  <c r="P35"/>
  <c r="O35"/>
  <c r="M35"/>
  <c r="L35"/>
  <c r="J35"/>
  <c r="I35"/>
  <c r="F35"/>
  <c r="AR34"/>
  <c r="AR33" s="1"/>
  <c r="AQ34"/>
  <c r="AP34"/>
  <c r="AP33" s="1"/>
  <c r="AO34"/>
  <c r="AN34"/>
  <c r="AN33" s="1"/>
  <c r="AM34"/>
  <c r="AL34"/>
  <c r="AL33" s="1"/>
  <c r="AK34"/>
  <c r="AJ34"/>
  <c r="AJ33" s="1"/>
  <c r="AH34"/>
  <c r="AG34"/>
  <c r="AE34"/>
  <c r="AD34"/>
  <c r="AF34" s="1"/>
  <c r="AB34"/>
  <c r="AB33" s="1"/>
  <c r="AA34"/>
  <c r="Y34"/>
  <c r="Y33" s="1"/>
  <c r="X34"/>
  <c r="X33" s="1"/>
  <c r="V34"/>
  <c r="U34"/>
  <c r="S34"/>
  <c r="S33" s="1"/>
  <c r="R34"/>
  <c r="P34"/>
  <c r="P33" s="1"/>
  <c r="O34"/>
  <c r="M34"/>
  <c r="M33" s="1"/>
  <c r="L34"/>
  <c r="J34"/>
  <c r="I34"/>
  <c r="AQ33"/>
  <c r="AM33"/>
  <c r="AH33"/>
  <c r="V33"/>
  <c r="G31"/>
  <c r="F31"/>
  <c r="G30"/>
  <c r="G29" s="1"/>
  <c r="F30"/>
  <c r="F29" s="1"/>
  <c r="AR29"/>
  <c r="AQ29"/>
  <c r="AP29"/>
  <c r="AO29"/>
  <c r="AN29"/>
  <c r="AM29"/>
  <c r="AL29"/>
  <c r="AK29"/>
  <c r="AJ29"/>
  <c r="AH29"/>
  <c r="AG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G26"/>
  <c r="AG25" s="1"/>
  <c r="AF26"/>
  <c r="AC26"/>
  <c r="AC25" s="1"/>
  <c r="Z26"/>
  <c r="G26"/>
  <c r="AR25"/>
  <c r="AQ25"/>
  <c r="AP25"/>
  <c r="AO25"/>
  <c r="AN25"/>
  <c r="AM25"/>
  <c r="AL25"/>
  <c r="AK25"/>
  <c r="AJ25"/>
  <c r="AH25"/>
  <c r="AE25"/>
  <c r="AD25"/>
  <c r="AB25"/>
  <c r="AA25"/>
  <c r="Z25"/>
  <c r="Y25"/>
  <c r="X25"/>
  <c r="W25"/>
  <c r="V25"/>
  <c r="U25"/>
  <c r="S25"/>
  <c r="R25"/>
  <c r="P25"/>
  <c r="M25"/>
  <c r="L25"/>
  <c r="J25"/>
  <c r="I25"/>
  <c r="G24"/>
  <c r="F24"/>
  <c r="G23"/>
  <c r="F23"/>
  <c r="F22" s="1"/>
  <c r="AR22"/>
  <c r="AQ22"/>
  <c r="AP22"/>
  <c r="AO22"/>
  <c r="AN22"/>
  <c r="AM22"/>
  <c r="AL22"/>
  <c r="AK22"/>
  <c r="AJ22"/>
  <c r="AI22"/>
  <c r="AH22"/>
  <c r="AG22"/>
  <c r="AE22"/>
  <c r="AD22"/>
  <c r="AC22"/>
  <c r="AB22"/>
  <c r="AA22"/>
  <c r="Z22"/>
  <c r="Y22"/>
  <c r="X22"/>
  <c r="V22"/>
  <c r="U22"/>
  <c r="S22"/>
  <c r="R22"/>
  <c r="T22" s="1"/>
  <c r="P22"/>
  <c r="O22"/>
  <c r="M22"/>
  <c r="L22"/>
  <c r="J22"/>
  <c r="I22"/>
  <c r="G20"/>
  <c r="F20"/>
  <c r="G19"/>
  <c r="F19"/>
  <c r="G18"/>
  <c r="G17" s="1"/>
  <c r="F18"/>
  <c r="F17" s="1"/>
  <c r="AR17"/>
  <c r="AQ17"/>
  <c r="AP17"/>
  <c r="AO17"/>
  <c r="AN17"/>
  <c r="AM17"/>
  <c r="AL17"/>
  <c r="AK17"/>
  <c r="AJ17"/>
  <c r="AI17"/>
  <c r="AH17"/>
  <c r="AG17"/>
  <c r="AE17"/>
  <c r="AD17"/>
  <c r="AF17" s="1"/>
  <c r="AC17"/>
  <c r="AB17"/>
  <c r="AA17"/>
  <c r="Y17"/>
  <c r="Z17" s="1"/>
  <c r="X17"/>
  <c r="V17"/>
  <c r="W17" s="1"/>
  <c r="U17"/>
  <c r="S17"/>
  <c r="R17"/>
  <c r="P17"/>
  <c r="Q17" s="1"/>
  <c r="O17"/>
  <c r="M17"/>
  <c r="N17" s="1"/>
  <c r="L17"/>
  <c r="J17"/>
  <c r="I17"/>
  <c r="AD16"/>
  <c r="F16" s="1"/>
  <c r="F12" s="1"/>
  <c r="G16"/>
  <c r="AM15"/>
  <c r="AJ15"/>
  <c r="AG15"/>
  <c r="AD15"/>
  <c r="AF15" s="1"/>
  <c r="AC15"/>
  <c r="AC13" s="1"/>
  <c r="AA15"/>
  <c r="Z15"/>
  <c r="U15"/>
  <c r="W15" s="1"/>
  <c r="R15"/>
  <c r="T15" s="1"/>
  <c r="O15"/>
  <c r="O13" s="1"/>
  <c r="L15"/>
  <c r="N15" s="1"/>
  <c r="G15"/>
  <c r="AM14"/>
  <c r="AJ14"/>
  <c r="AJ13" s="1"/>
  <c r="AG14"/>
  <c r="AD14"/>
  <c r="AA14"/>
  <c r="X14"/>
  <c r="U14"/>
  <c r="U13" s="1"/>
  <c r="R14"/>
  <c r="R13" s="1"/>
  <c r="L14"/>
  <c r="L13" s="1"/>
  <c r="G14"/>
  <c r="G13" s="1"/>
  <c r="AR13"/>
  <c r="AQ13"/>
  <c r="AO13"/>
  <c r="AN13"/>
  <c r="AL13"/>
  <c r="AK13"/>
  <c r="AH13"/>
  <c r="AE13"/>
  <c r="AB13"/>
  <c r="Y13"/>
  <c r="X13"/>
  <c r="V13"/>
  <c r="S13"/>
  <c r="P13"/>
  <c r="M13"/>
  <c r="J13"/>
  <c r="AR12"/>
  <c r="AR84" s="1"/>
  <c r="AQ12"/>
  <c r="AP12"/>
  <c r="AP84" s="1"/>
  <c r="AO12"/>
  <c r="AN12"/>
  <c r="AN84" s="1"/>
  <c r="AM12"/>
  <c r="AL12"/>
  <c r="AL84" s="1"/>
  <c r="AK12"/>
  <c r="AJ12"/>
  <c r="AJ84" s="1"/>
  <c r="AI12"/>
  <c r="AH12"/>
  <c r="AH84" s="1"/>
  <c r="AG12"/>
  <c r="AE12"/>
  <c r="AE84" s="1"/>
  <c r="AC12"/>
  <c r="AC84" s="1"/>
  <c r="AB12"/>
  <c r="AA12"/>
  <c r="AA84" s="1"/>
  <c r="Z12"/>
  <c r="Y12"/>
  <c r="Y84" s="1"/>
  <c r="X12"/>
  <c r="V12"/>
  <c r="V84" s="1"/>
  <c r="U12"/>
  <c r="S12"/>
  <c r="S84" s="1"/>
  <c r="R12"/>
  <c r="P12"/>
  <c r="P84" s="1"/>
  <c r="O12"/>
  <c r="O84" s="1"/>
  <c r="M12"/>
  <c r="M84" s="1"/>
  <c r="L12"/>
  <c r="J12"/>
  <c r="J84" s="1"/>
  <c r="I12"/>
  <c r="G12"/>
  <c r="AR11"/>
  <c r="AQ11"/>
  <c r="AQ83" s="1"/>
  <c r="AP11"/>
  <c r="AO11"/>
  <c r="AO83" s="1"/>
  <c r="AN11"/>
  <c r="AM11"/>
  <c r="AL11"/>
  <c r="AL83" s="1"/>
  <c r="AK11"/>
  <c r="AK83" s="1"/>
  <c r="AJ11"/>
  <c r="AI11"/>
  <c r="AH11"/>
  <c r="AG11"/>
  <c r="AE11"/>
  <c r="AE83" s="1"/>
  <c r="AD11"/>
  <c r="AD83" s="1"/>
  <c r="AB11"/>
  <c r="AB83" s="1"/>
  <c r="AA11"/>
  <c r="Y11"/>
  <c r="Y83" s="1"/>
  <c r="V11"/>
  <c r="U11"/>
  <c r="U83" s="1"/>
  <c r="S11"/>
  <c r="R11"/>
  <c r="P11"/>
  <c r="P83" s="1"/>
  <c r="O11"/>
  <c r="M11"/>
  <c r="L11"/>
  <c r="J11"/>
  <c r="AR10"/>
  <c r="AR82" s="1"/>
  <c r="AR81" s="1"/>
  <c r="AQ10"/>
  <c r="AP10"/>
  <c r="AP82" s="1"/>
  <c r="AO10"/>
  <c r="AN10"/>
  <c r="AN82" s="1"/>
  <c r="AM10"/>
  <c r="AL10"/>
  <c r="AL82" s="1"/>
  <c r="AK10"/>
  <c r="AJ10"/>
  <c r="AJ82" s="1"/>
  <c r="AH10"/>
  <c r="AG10"/>
  <c r="AG82" s="1"/>
  <c r="AE10"/>
  <c r="AD10"/>
  <c r="AD82" s="1"/>
  <c r="AC10"/>
  <c r="AB10"/>
  <c r="AB82" s="1"/>
  <c r="AA10"/>
  <c r="Z10"/>
  <c r="Z82" s="1"/>
  <c r="Y10"/>
  <c r="X10"/>
  <c r="X82" s="1"/>
  <c r="V10"/>
  <c r="U10"/>
  <c r="U82" s="1"/>
  <c r="S10"/>
  <c r="R10"/>
  <c r="R82" s="1"/>
  <c r="P10"/>
  <c r="O10"/>
  <c r="O82" s="1"/>
  <c r="M10"/>
  <c r="L10"/>
  <c r="L82" s="1"/>
  <c r="J10"/>
  <c r="G10"/>
  <c r="AR9"/>
  <c r="AQ9"/>
  <c r="AH9"/>
  <c r="V9"/>
  <c r="AP79" i="34"/>
  <c r="AJ15"/>
  <c r="AG15"/>
  <c r="X15"/>
  <c r="O15"/>
  <c r="AP14"/>
  <c r="AG14"/>
  <c r="X14"/>
  <c r="O14"/>
  <c r="AJ14"/>
  <c r="AD14"/>
  <c r="AA14"/>
  <c r="U14"/>
  <c r="R14"/>
  <c r="L14"/>
  <c r="AM14"/>
  <c r="I14"/>
  <c r="Z77" i="35" l="1"/>
  <c r="Z64"/>
  <c r="AG13"/>
  <c r="AM13"/>
  <c r="K25"/>
  <c r="O33"/>
  <c r="AB48"/>
  <c r="AJ48"/>
  <c r="AR48"/>
  <c r="Z62"/>
  <c r="S33" i="37"/>
  <c r="L48"/>
  <c r="R48"/>
  <c r="Z62"/>
  <c r="AB62"/>
  <c r="Q84" i="35"/>
  <c r="K34"/>
  <c r="AA33"/>
  <c r="R33"/>
  <c r="AE33"/>
  <c r="AI42"/>
  <c r="H44"/>
  <c r="M62"/>
  <c r="G65"/>
  <c r="W10" i="37"/>
  <c r="W82" s="1"/>
  <c r="K34"/>
  <c r="AF34"/>
  <c r="T35"/>
  <c r="AE33"/>
  <c r="AI56"/>
  <c r="P62"/>
  <c r="AN62"/>
  <c r="W69"/>
  <c r="Z69"/>
  <c r="AI69"/>
  <c r="G10"/>
  <c r="AJ62" i="35"/>
  <c r="AK33" i="37"/>
  <c r="AM33"/>
  <c r="AO33"/>
  <c r="R9" i="35"/>
  <c r="AL9"/>
  <c r="J82"/>
  <c r="M82"/>
  <c r="P82"/>
  <c r="S82"/>
  <c r="V82"/>
  <c r="Y82"/>
  <c r="Y81" s="1"/>
  <c r="AA82"/>
  <c r="AC82"/>
  <c r="AE82"/>
  <c r="AH82"/>
  <c r="AK82"/>
  <c r="AM82"/>
  <c r="AO82"/>
  <c r="AQ82"/>
  <c r="M83"/>
  <c r="S83"/>
  <c r="V83"/>
  <c r="AC11"/>
  <c r="AF83"/>
  <c r="AH83"/>
  <c r="AJ83"/>
  <c r="AN83"/>
  <c r="AP83"/>
  <c r="AR83"/>
  <c r="I84"/>
  <c r="L84"/>
  <c r="R84"/>
  <c r="U84"/>
  <c r="X84"/>
  <c r="Z84"/>
  <c r="AB84"/>
  <c r="AD12"/>
  <c r="AD84" s="1"/>
  <c r="AD81" s="1"/>
  <c r="AG84"/>
  <c r="AI84"/>
  <c r="AK84"/>
  <c r="AM84"/>
  <c r="AO84"/>
  <c r="AQ84"/>
  <c r="Q15"/>
  <c r="T17"/>
  <c r="K22"/>
  <c r="N22"/>
  <c r="Q22"/>
  <c r="W22"/>
  <c r="AF22"/>
  <c r="H29"/>
  <c r="AD33"/>
  <c r="AF33" s="1"/>
  <c r="I33"/>
  <c r="L33"/>
  <c r="N33" s="1"/>
  <c r="T34"/>
  <c r="AK33"/>
  <c r="AO33"/>
  <c r="N35"/>
  <c r="Q42"/>
  <c r="AC42"/>
  <c r="L48"/>
  <c r="O48"/>
  <c r="R48"/>
  <c r="V48"/>
  <c r="Z48"/>
  <c r="AD48"/>
  <c r="AH48"/>
  <c r="AL48"/>
  <c r="AP48"/>
  <c r="G50"/>
  <c r="H50" s="1"/>
  <c r="U48"/>
  <c r="Y48"/>
  <c r="AC48"/>
  <c r="AG48"/>
  <c r="AK48"/>
  <c r="AO48"/>
  <c r="Q56"/>
  <c r="F56"/>
  <c r="H56" s="1"/>
  <c r="Q69"/>
  <c r="AC69"/>
  <c r="H75"/>
  <c r="V9" i="37"/>
  <c r="AL9"/>
  <c r="L10"/>
  <c r="N10" s="1"/>
  <c r="O82"/>
  <c r="S82"/>
  <c r="AA10"/>
  <c r="AA82" s="1"/>
  <c r="AE82"/>
  <c r="AM82"/>
  <c r="V83"/>
  <c r="AD83"/>
  <c r="AH83"/>
  <c r="AJ83"/>
  <c r="AL83"/>
  <c r="AN83"/>
  <c r="AQ83"/>
  <c r="I84"/>
  <c r="L84"/>
  <c r="O84"/>
  <c r="T12"/>
  <c r="U84"/>
  <c r="X84"/>
  <c r="AB84"/>
  <c r="AE84"/>
  <c r="AJ84"/>
  <c r="AN84"/>
  <c r="AR84"/>
  <c r="L13"/>
  <c r="F14"/>
  <c r="H14" s="1"/>
  <c r="K17"/>
  <c r="Q17"/>
  <c r="T17"/>
  <c r="W17"/>
  <c r="Z17"/>
  <c r="Q22"/>
  <c r="T22"/>
  <c r="AF22"/>
  <c r="H26"/>
  <c r="N34"/>
  <c r="T34"/>
  <c r="AN33"/>
  <c r="K35"/>
  <c r="Q35"/>
  <c r="AF35"/>
  <c r="K42"/>
  <c r="Z42"/>
  <c r="H43"/>
  <c r="AC69"/>
  <c r="AP69"/>
  <c r="N77"/>
  <c r="AF77"/>
  <c r="AJ81" i="35"/>
  <c r="AN81"/>
  <c r="K84"/>
  <c r="H19" i="37"/>
  <c r="N10" i="35"/>
  <c r="T11"/>
  <c r="AF11"/>
  <c r="Q12"/>
  <c r="T84"/>
  <c r="AF12"/>
  <c r="T13"/>
  <c r="AD13"/>
  <c r="AF13" s="1"/>
  <c r="Q13"/>
  <c r="AA13"/>
  <c r="AF25"/>
  <c r="T33"/>
  <c r="Q34"/>
  <c r="U33"/>
  <c r="AG33"/>
  <c r="Q35"/>
  <c r="T35"/>
  <c r="AF35"/>
  <c r="H43"/>
  <c r="Z33"/>
  <c r="S48"/>
  <c r="W48"/>
  <c r="AA48"/>
  <c r="AE48"/>
  <c r="AM48"/>
  <c r="AQ48"/>
  <c r="I48"/>
  <c r="AI56"/>
  <c r="AF62"/>
  <c r="L62"/>
  <c r="AF64"/>
  <c r="G69"/>
  <c r="G64"/>
  <c r="F65"/>
  <c r="F73"/>
  <c r="W77"/>
  <c r="AD77"/>
  <c r="AF77" s="1"/>
  <c r="AI77"/>
  <c r="G77"/>
  <c r="Q77"/>
  <c r="AC77"/>
  <c r="X83"/>
  <c r="AF11" i="37"/>
  <c r="K12"/>
  <c r="W13"/>
  <c r="AF13"/>
  <c r="F16"/>
  <c r="F12" s="1"/>
  <c r="F17"/>
  <c r="N22"/>
  <c r="G22"/>
  <c r="G12"/>
  <c r="J33"/>
  <c r="R33"/>
  <c r="L33"/>
  <c r="X33"/>
  <c r="I33"/>
  <c r="K33" s="1"/>
  <c r="U33"/>
  <c r="AC33"/>
  <c r="AG33"/>
  <c r="J84"/>
  <c r="G42"/>
  <c r="W33"/>
  <c r="AI33"/>
  <c r="I48"/>
  <c r="X48"/>
  <c r="AB48"/>
  <c r="AF48"/>
  <c r="AJ48"/>
  <c r="AN48"/>
  <c r="AR48"/>
  <c r="R84"/>
  <c r="V48"/>
  <c r="Z48"/>
  <c r="AD48"/>
  <c r="AH48"/>
  <c r="AL48"/>
  <c r="AP48"/>
  <c r="Q56"/>
  <c r="I62"/>
  <c r="J83"/>
  <c r="V62"/>
  <c r="AA62"/>
  <c r="AD62"/>
  <c r="AH62"/>
  <c r="AL62"/>
  <c r="N69"/>
  <c r="T69"/>
  <c r="AF69"/>
  <c r="H75"/>
  <c r="AC77"/>
  <c r="F63"/>
  <c r="G77"/>
  <c r="W77"/>
  <c r="AI77"/>
  <c r="W10" i="35"/>
  <c r="W11"/>
  <c r="T12"/>
  <c r="W13"/>
  <c r="AI25"/>
  <c r="Q33"/>
  <c r="F33"/>
  <c r="W33"/>
  <c r="AI33"/>
  <c r="Q48"/>
  <c r="H73"/>
  <c r="N64"/>
  <c r="N62" s="1"/>
  <c r="U62"/>
  <c r="AG62"/>
  <c r="AQ81" i="37"/>
  <c r="AF83"/>
  <c r="F22"/>
  <c r="H29"/>
  <c r="T33"/>
  <c r="AB82"/>
  <c r="AJ82"/>
  <c r="AR82"/>
  <c r="AR81" s="1"/>
  <c r="Y33"/>
  <c r="V84"/>
  <c r="V81" s="1"/>
  <c r="Z84"/>
  <c r="AD33"/>
  <c r="AH84"/>
  <c r="AL84"/>
  <c r="AP33"/>
  <c r="U48"/>
  <c r="Y48"/>
  <c r="AC48"/>
  <c r="AG48"/>
  <c r="AK48"/>
  <c r="AO48"/>
  <c r="F48"/>
  <c r="Y82"/>
  <c r="AK82"/>
  <c r="AI62"/>
  <c r="AM62"/>
  <c r="S84"/>
  <c r="W64"/>
  <c r="W62" s="1"/>
  <c r="F65"/>
  <c r="F69"/>
  <c r="H69" s="1"/>
  <c r="M62"/>
  <c r="Q77"/>
  <c r="Q64"/>
  <c r="L83"/>
  <c r="Q69"/>
  <c r="N64"/>
  <c r="N62" s="1"/>
  <c r="M33"/>
  <c r="N33" s="1"/>
  <c r="G33"/>
  <c r="H44"/>
  <c r="G82"/>
  <c r="AF25"/>
  <c r="G25"/>
  <c r="F25"/>
  <c r="J9"/>
  <c r="N17"/>
  <c r="G17"/>
  <c r="H17" s="1"/>
  <c r="N11"/>
  <c r="N13"/>
  <c r="AM81"/>
  <c r="Q84"/>
  <c r="P82"/>
  <c r="P81" s="1"/>
  <c r="Q12"/>
  <c r="Q10"/>
  <c r="G13"/>
  <c r="O13"/>
  <c r="Q13" s="1"/>
  <c r="R11"/>
  <c r="T11" s="1"/>
  <c r="R13"/>
  <c r="T13" s="1"/>
  <c r="O62"/>
  <c r="Q62" s="1"/>
  <c r="AP64"/>
  <c r="AP62" s="1"/>
  <c r="O48"/>
  <c r="Q48" s="1"/>
  <c r="Q50"/>
  <c r="F56"/>
  <c r="H56" s="1"/>
  <c r="R64"/>
  <c r="T79"/>
  <c r="F79"/>
  <c r="F77" s="1"/>
  <c r="H77" s="1"/>
  <c r="T77"/>
  <c r="T64"/>
  <c r="R64" i="35"/>
  <c r="R62" s="1"/>
  <c r="T62" s="1"/>
  <c r="L83"/>
  <c r="L81" s="1"/>
  <c r="R77"/>
  <c r="T77" s="1"/>
  <c r="J81" i="37"/>
  <c r="AE81"/>
  <c r="Z9"/>
  <c r="Z83"/>
  <c r="Z81" s="1"/>
  <c r="AG9"/>
  <c r="G84"/>
  <c r="S81"/>
  <c r="F10"/>
  <c r="H10" s="1"/>
  <c r="AD84"/>
  <c r="AF12"/>
  <c r="H34"/>
  <c r="AF33"/>
  <c r="AB81"/>
  <c r="AJ81"/>
  <c r="K84"/>
  <c r="T84"/>
  <c r="AI83"/>
  <c r="AI81" s="1"/>
  <c r="N84"/>
  <c r="R82"/>
  <c r="AD82"/>
  <c r="AF82" s="1"/>
  <c r="AD9"/>
  <c r="AP82"/>
  <c r="AP9"/>
  <c r="H50"/>
  <c r="G48"/>
  <c r="H48" s="1"/>
  <c r="AA81"/>
  <c r="AH81"/>
  <c r="AL81"/>
  <c r="Z33"/>
  <c r="AF84"/>
  <c r="U82"/>
  <c r="AG82"/>
  <c r="AO82"/>
  <c r="AK9"/>
  <c r="G11"/>
  <c r="G9" s="1"/>
  <c r="O11"/>
  <c r="O83" s="1"/>
  <c r="Q83" s="1"/>
  <c r="I13"/>
  <c r="K13" s="1"/>
  <c r="AG13"/>
  <c r="AP13"/>
  <c r="V33"/>
  <c r="AH33"/>
  <c r="S62"/>
  <c r="AE62"/>
  <c r="AF62" s="1"/>
  <c r="L82"/>
  <c r="X82"/>
  <c r="X81" s="1"/>
  <c r="AN82"/>
  <c r="AN81" s="1"/>
  <c r="M83"/>
  <c r="N83" s="1"/>
  <c r="AO83"/>
  <c r="AP84"/>
  <c r="S9"/>
  <c r="AA9"/>
  <c r="AE9"/>
  <c r="AI9"/>
  <c r="AM9"/>
  <c r="T10"/>
  <c r="AF10"/>
  <c r="I11"/>
  <c r="U11"/>
  <c r="N12"/>
  <c r="K14"/>
  <c r="F15"/>
  <c r="F13" s="1"/>
  <c r="W15"/>
  <c r="AC15"/>
  <c r="P33"/>
  <c r="Q33" s="1"/>
  <c r="AB33"/>
  <c r="AJ33"/>
  <c r="AR33"/>
  <c r="Q34"/>
  <c r="F35"/>
  <c r="H35" s="1"/>
  <c r="N35"/>
  <c r="H58"/>
  <c r="Y62"/>
  <c r="AK62"/>
  <c r="G64"/>
  <c r="H71"/>
  <c r="G73"/>
  <c r="H73" s="1"/>
  <c r="M9"/>
  <c r="Y9"/>
  <c r="AO9"/>
  <c r="AL33"/>
  <c r="F42"/>
  <c r="H42" s="1"/>
  <c r="Y83"/>
  <c r="Y81" s="1"/>
  <c r="AK83"/>
  <c r="AK81" s="1"/>
  <c r="L9"/>
  <c r="P9"/>
  <c r="X9"/>
  <c r="AB9"/>
  <c r="AJ9"/>
  <c r="AN9"/>
  <c r="I10"/>
  <c r="AC10"/>
  <c r="U64"/>
  <c r="U62" s="1"/>
  <c r="AG64"/>
  <c r="AG83" s="1"/>
  <c r="I10" i="35"/>
  <c r="I82" s="1"/>
  <c r="F14"/>
  <c r="G35"/>
  <c r="H35" s="1"/>
  <c r="J83"/>
  <c r="K35"/>
  <c r="J33"/>
  <c r="G25"/>
  <c r="G22"/>
  <c r="H22" s="1"/>
  <c r="G11"/>
  <c r="G83" s="1"/>
  <c r="J9"/>
  <c r="X81"/>
  <c r="I11"/>
  <c r="F15"/>
  <c r="F11" s="1"/>
  <c r="I13"/>
  <c r="K13" s="1"/>
  <c r="AP9"/>
  <c r="AP13"/>
  <c r="Q82"/>
  <c r="P81"/>
  <c r="F84"/>
  <c r="H12"/>
  <c r="K82"/>
  <c r="J81"/>
  <c r="T82"/>
  <c r="S81"/>
  <c r="N82"/>
  <c r="M81"/>
  <c r="AF82"/>
  <c r="AE81"/>
  <c r="Z13"/>
  <c r="Z11"/>
  <c r="AH81"/>
  <c r="AB81"/>
  <c r="AL81"/>
  <c r="W82"/>
  <c r="AK81"/>
  <c r="AO81"/>
  <c r="AG83"/>
  <c r="AG81" s="1"/>
  <c r="G84"/>
  <c r="N84"/>
  <c r="AF84"/>
  <c r="H17"/>
  <c r="AC33"/>
  <c r="G48"/>
  <c r="AI48"/>
  <c r="K33"/>
  <c r="F13"/>
  <c r="H13" s="1"/>
  <c r="U81"/>
  <c r="AP81"/>
  <c r="U9"/>
  <c r="W9" s="1"/>
  <c r="Y9"/>
  <c r="AG9"/>
  <c r="AO9"/>
  <c r="L9"/>
  <c r="P9"/>
  <c r="X9"/>
  <c r="AB9"/>
  <c r="AJ9"/>
  <c r="AN9"/>
  <c r="Q10"/>
  <c r="N11"/>
  <c r="K12"/>
  <c r="W12"/>
  <c r="W84" s="1"/>
  <c r="O9"/>
  <c r="S9"/>
  <c r="T9" s="1"/>
  <c r="AA9"/>
  <c r="AE9"/>
  <c r="AM9"/>
  <c r="T10"/>
  <c r="AF10"/>
  <c r="Q11"/>
  <c r="N12"/>
  <c r="K17"/>
  <c r="F26"/>
  <c r="AI26"/>
  <c r="AI10" s="1"/>
  <c r="N34"/>
  <c r="G42"/>
  <c r="H42" s="1"/>
  <c r="K42"/>
  <c r="O64"/>
  <c r="AA64"/>
  <c r="AA83" s="1"/>
  <c r="AA81" s="1"/>
  <c r="AM64"/>
  <c r="AM83" s="1"/>
  <c r="AM81" s="1"/>
  <c r="F69"/>
  <c r="H69" s="1"/>
  <c r="N77"/>
  <c r="Q79"/>
  <c r="W79"/>
  <c r="W64" s="1"/>
  <c r="AC79"/>
  <c r="AC64" s="1"/>
  <c r="AC62" s="1"/>
  <c r="AI79"/>
  <c r="AI64" s="1"/>
  <c r="N13"/>
  <c r="M9"/>
  <c r="AC9"/>
  <c r="AK9"/>
  <c r="F49"/>
  <c r="F48" s="1"/>
  <c r="G63"/>
  <c r="G62" s="1"/>
  <c r="F79"/>
  <c r="F64" s="1"/>
  <c r="H64" s="1"/>
  <c r="O25"/>
  <c r="G34"/>
  <c r="AD16" i="34"/>
  <c r="AD12" s="1"/>
  <c r="AQ12"/>
  <c r="AP12"/>
  <c r="AN12"/>
  <c r="AM12"/>
  <c r="AK12"/>
  <c r="AJ12"/>
  <c r="AH12"/>
  <c r="AG12"/>
  <c r="AE12"/>
  <c r="AB12"/>
  <c r="AA12"/>
  <c r="Y12"/>
  <c r="X12"/>
  <c r="V12"/>
  <c r="U12"/>
  <c r="S12"/>
  <c r="R12"/>
  <c r="P12"/>
  <c r="O12"/>
  <c r="M12"/>
  <c r="L12"/>
  <c r="J12"/>
  <c r="I12"/>
  <c r="AQ11"/>
  <c r="AN11"/>
  <c r="AK11"/>
  <c r="AH11"/>
  <c r="AE11"/>
  <c r="AB11"/>
  <c r="Y11"/>
  <c r="V11"/>
  <c r="S11"/>
  <c r="P11"/>
  <c r="M11"/>
  <c r="J11"/>
  <c r="AQ10"/>
  <c r="AN10"/>
  <c r="AK10"/>
  <c r="AH10"/>
  <c r="AE10"/>
  <c r="AB10"/>
  <c r="Y10"/>
  <c r="V10"/>
  <c r="S10"/>
  <c r="P10"/>
  <c r="M10"/>
  <c r="J10"/>
  <c r="AP10"/>
  <c r="AM10"/>
  <c r="AJ10"/>
  <c r="AD10"/>
  <c r="AA10"/>
  <c r="X10"/>
  <c r="U10"/>
  <c r="R10"/>
  <c r="I10"/>
  <c r="H79" i="37" l="1"/>
  <c r="G82" i="35"/>
  <c r="H12" i="37"/>
  <c r="AQ81" i="35"/>
  <c r="AF81"/>
  <c r="AP83" i="37"/>
  <c r="H16"/>
  <c r="V81" i="35"/>
  <c r="AD9"/>
  <c r="AF9" s="1"/>
  <c r="AF9" i="37"/>
  <c r="AI83" i="35"/>
  <c r="AI62"/>
  <c r="AC83"/>
  <c r="AC81" s="1"/>
  <c r="AA62"/>
  <c r="R83"/>
  <c r="T83" s="1"/>
  <c r="N83"/>
  <c r="H25" i="37"/>
  <c r="F84"/>
  <c r="H84" s="1"/>
  <c r="H22"/>
  <c r="L81"/>
  <c r="Q82"/>
  <c r="O9"/>
  <c r="Q9" s="1"/>
  <c r="N9"/>
  <c r="H13"/>
  <c r="R9"/>
  <c r="T9" s="1"/>
  <c r="AP81"/>
  <c r="L86" s="1"/>
  <c r="R62"/>
  <c r="T62" s="1"/>
  <c r="R83"/>
  <c r="T83" s="1"/>
  <c r="F64"/>
  <c r="F62" s="1"/>
  <c r="O81"/>
  <c r="T64" i="35"/>
  <c r="N81"/>
  <c r="G62" i="37"/>
  <c r="U83"/>
  <c r="U81" s="1"/>
  <c r="W11"/>
  <c r="W83" s="1"/>
  <c r="W81" s="1"/>
  <c r="U9"/>
  <c r="W9" s="1"/>
  <c r="I82"/>
  <c r="K10"/>
  <c r="I9"/>
  <c r="K9" s="1"/>
  <c r="AC13"/>
  <c r="AC11"/>
  <c r="AC83" s="1"/>
  <c r="G83"/>
  <c r="AC82"/>
  <c r="I83"/>
  <c r="K83" s="1"/>
  <c r="K11"/>
  <c r="F11"/>
  <c r="H15"/>
  <c r="F82"/>
  <c r="AG62"/>
  <c r="AG81"/>
  <c r="AD81"/>
  <c r="AF81" s="1"/>
  <c r="T82"/>
  <c r="M81"/>
  <c r="N81" s="1"/>
  <c r="Q11"/>
  <c r="AO81"/>
  <c r="N82"/>
  <c r="F33"/>
  <c r="H33" s="1"/>
  <c r="K10" i="35"/>
  <c r="H11"/>
  <c r="G9"/>
  <c r="H15"/>
  <c r="I83"/>
  <c r="K11"/>
  <c r="I9"/>
  <c r="K9" s="1"/>
  <c r="W83"/>
  <c r="W62"/>
  <c r="F25"/>
  <c r="H25" s="1"/>
  <c r="H26"/>
  <c r="Z83"/>
  <c r="Z81" s="1"/>
  <c r="Z9"/>
  <c r="AI82"/>
  <c r="AI81" s="1"/>
  <c r="AI9"/>
  <c r="G81"/>
  <c r="H34"/>
  <c r="G33"/>
  <c r="H33" s="1"/>
  <c r="Q64"/>
  <c r="O62"/>
  <c r="F77"/>
  <c r="H77" s="1"/>
  <c r="AM62"/>
  <c r="F83"/>
  <c r="H83" s="1"/>
  <c r="W81"/>
  <c r="F62"/>
  <c r="H62" s="1"/>
  <c r="Q9"/>
  <c r="H84"/>
  <c r="N9"/>
  <c r="H79"/>
  <c r="F10"/>
  <c r="H48"/>
  <c r="O83"/>
  <c r="O11" i="34"/>
  <c r="U15"/>
  <c r="U11" s="1"/>
  <c r="K86" i="37" l="1"/>
  <c r="Q81"/>
  <c r="AC9"/>
  <c r="R81" i="35"/>
  <c r="T81" s="1"/>
  <c r="H62" i="37"/>
  <c r="F83"/>
  <c r="H83" s="1"/>
  <c r="H64"/>
  <c r="F9"/>
  <c r="H9" s="1"/>
  <c r="H11"/>
  <c r="R81"/>
  <c r="T81" s="1"/>
  <c r="I81"/>
  <c r="K81" s="1"/>
  <c r="K82"/>
  <c r="G81"/>
  <c r="H82"/>
  <c r="AC81"/>
  <c r="K83" i="35"/>
  <c r="I81"/>
  <c r="K81" s="1"/>
  <c r="F9"/>
  <c r="H9" s="1"/>
  <c r="F82"/>
  <c r="H10"/>
  <c r="Q62"/>
  <c r="Q83"/>
  <c r="O81"/>
  <c r="Q81" s="1"/>
  <c r="AP15" i="34"/>
  <c r="AP11" s="1"/>
  <c r="AM15"/>
  <c r="AM11" s="1"/>
  <c r="AJ11"/>
  <c r="AG11"/>
  <c r="AD15"/>
  <c r="AD11" s="1"/>
  <c r="AA15"/>
  <c r="AA11" s="1"/>
  <c r="X11"/>
  <c r="R15"/>
  <c r="R11" s="1"/>
  <c r="L15"/>
  <c r="L11" s="1"/>
  <c r="I15"/>
  <c r="I11" s="1"/>
  <c r="L10"/>
  <c r="AG26"/>
  <c r="AG10" s="1"/>
  <c r="O26"/>
  <c r="J86" i="37" l="1"/>
  <c r="I86"/>
  <c r="F81"/>
  <c r="H81" s="1"/>
  <c r="F81" i="35"/>
  <c r="H81" s="1"/>
  <c r="H82"/>
  <c r="O10" i="34"/>
  <c r="I25"/>
  <c r="L25"/>
  <c r="O25"/>
  <c r="R25"/>
  <c r="U25"/>
  <c r="X25"/>
  <c r="Y25"/>
  <c r="AA25"/>
  <c r="AD25"/>
  <c r="AE25"/>
  <c r="AG25"/>
  <c r="AH25"/>
  <c r="AJ25"/>
  <c r="AM25"/>
  <c r="AP25"/>
  <c r="AG79" l="1"/>
  <c r="X79"/>
  <c r="Z79" s="1"/>
  <c r="O79"/>
  <c r="AM79"/>
  <c r="AJ79"/>
  <c r="AD79"/>
  <c r="AA79"/>
  <c r="U79"/>
  <c r="R79"/>
  <c r="L79"/>
  <c r="AV21"/>
  <c r="AU21"/>
  <c r="AW21" l="1"/>
  <c r="AI26"/>
  <c r="AP22"/>
  <c r="AI22"/>
  <c r="AG17"/>
  <c r="AP13"/>
  <c r="AG13"/>
  <c r="AV79"/>
  <c r="AV71"/>
  <c r="AV58"/>
  <c r="AV43"/>
  <c r="AV26"/>
  <c r="AV23"/>
  <c r="AV20"/>
  <c r="AU58"/>
  <c r="AI79"/>
  <c r="AI71"/>
  <c r="AI58"/>
  <c r="AI50" s="1"/>
  <c r="AI44"/>
  <c r="AI35" s="1"/>
  <c r="AI43"/>
  <c r="AI34" s="1"/>
  <c r="AG42"/>
  <c r="G80"/>
  <c r="F80"/>
  <c r="AU79"/>
  <c r="AC79"/>
  <c r="Z77"/>
  <c r="W79"/>
  <c r="T79"/>
  <c r="Q79"/>
  <c r="N79"/>
  <c r="G79"/>
  <c r="G78"/>
  <c r="F78"/>
  <c r="AO77"/>
  <c r="AN77"/>
  <c r="AM77"/>
  <c r="AL77"/>
  <c r="AK77"/>
  <c r="AJ77"/>
  <c r="AH77"/>
  <c r="AG77"/>
  <c r="AE77"/>
  <c r="AB77"/>
  <c r="AA77"/>
  <c r="Y77"/>
  <c r="X77"/>
  <c r="V77"/>
  <c r="U77"/>
  <c r="S77"/>
  <c r="R77"/>
  <c r="P77"/>
  <c r="O77"/>
  <c r="M77"/>
  <c r="L77"/>
  <c r="J77"/>
  <c r="I77"/>
  <c r="G76"/>
  <c r="F76"/>
  <c r="G75"/>
  <c r="F75"/>
  <c r="G74"/>
  <c r="G73" s="1"/>
  <c r="F74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S73"/>
  <c r="R73"/>
  <c r="P73"/>
  <c r="O73"/>
  <c r="M73"/>
  <c r="L73"/>
  <c r="J73"/>
  <c r="I73"/>
  <c r="G72"/>
  <c r="F72"/>
  <c r="AF71"/>
  <c r="AC71"/>
  <c r="Z71"/>
  <c r="W71"/>
  <c r="T71"/>
  <c r="Q71"/>
  <c r="N71"/>
  <c r="G71"/>
  <c r="G70"/>
  <c r="F70"/>
  <c r="AP69"/>
  <c r="AO69"/>
  <c r="AN69"/>
  <c r="AM69"/>
  <c r="AL69"/>
  <c r="AK69"/>
  <c r="AH69"/>
  <c r="AG69"/>
  <c r="AE69"/>
  <c r="AD69"/>
  <c r="AB69"/>
  <c r="AA69"/>
  <c r="Y69"/>
  <c r="X69"/>
  <c r="V69"/>
  <c r="U69"/>
  <c r="S69"/>
  <c r="R69"/>
  <c r="P69"/>
  <c r="O69"/>
  <c r="M69"/>
  <c r="L69"/>
  <c r="J69"/>
  <c r="AV69" s="1"/>
  <c r="I69"/>
  <c r="AU69" s="1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S65"/>
  <c r="R65"/>
  <c r="P65"/>
  <c r="O65"/>
  <c r="N65"/>
  <c r="M65"/>
  <c r="L65"/>
  <c r="J65"/>
  <c r="I65"/>
  <c r="AR64"/>
  <c r="AQ64"/>
  <c r="AP64"/>
  <c r="AO64"/>
  <c r="AN64"/>
  <c r="AM64"/>
  <c r="AL64"/>
  <c r="AK64"/>
  <c r="AH64"/>
  <c r="AG64"/>
  <c r="AE64"/>
  <c r="AB64"/>
  <c r="AA64"/>
  <c r="Y64"/>
  <c r="X64"/>
  <c r="V64"/>
  <c r="U64"/>
  <c r="S64"/>
  <c r="R64"/>
  <c r="P64"/>
  <c r="O64"/>
  <c r="M64"/>
  <c r="J64"/>
  <c r="I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S63"/>
  <c r="R63"/>
  <c r="P63"/>
  <c r="O63"/>
  <c r="N63"/>
  <c r="M63"/>
  <c r="L63"/>
  <c r="J63"/>
  <c r="I63"/>
  <c r="AR62"/>
  <c r="AQ62"/>
  <c r="G59"/>
  <c r="G51" s="1"/>
  <c r="F59"/>
  <c r="F51" s="1"/>
  <c r="Z58"/>
  <c r="Z50" s="1"/>
  <c r="W50"/>
  <c r="Q58"/>
  <c r="G58"/>
  <c r="F58"/>
  <c r="F50" s="1"/>
  <c r="G57"/>
  <c r="F57"/>
  <c r="AP56"/>
  <c r="AO56"/>
  <c r="AN56"/>
  <c r="AM56"/>
  <c r="AL56"/>
  <c r="AK56"/>
  <c r="AJ56"/>
  <c r="AH56"/>
  <c r="AG56"/>
  <c r="AF56"/>
  <c r="AE56"/>
  <c r="AD56"/>
  <c r="AC56"/>
  <c r="AB56"/>
  <c r="AA56"/>
  <c r="Y56"/>
  <c r="X56"/>
  <c r="V56"/>
  <c r="U56"/>
  <c r="T56"/>
  <c r="S56"/>
  <c r="R56"/>
  <c r="P56"/>
  <c r="O56"/>
  <c r="M56"/>
  <c r="L56"/>
  <c r="J56"/>
  <c r="I56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AR50"/>
  <c r="AQ50"/>
  <c r="AP50"/>
  <c r="AO50"/>
  <c r="AN50"/>
  <c r="AM50"/>
  <c r="AL50"/>
  <c r="AK50"/>
  <c r="AJ50"/>
  <c r="AH50"/>
  <c r="AG50"/>
  <c r="AF50"/>
  <c r="AE50"/>
  <c r="AD50"/>
  <c r="AC50"/>
  <c r="AB50"/>
  <c r="AA50"/>
  <c r="Y50"/>
  <c r="X50"/>
  <c r="V50"/>
  <c r="U50"/>
  <c r="T50"/>
  <c r="S50"/>
  <c r="R50"/>
  <c r="P50"/>
  <c r="O50"/>
  <c r="M50"/>
  <c r="L50"/>
  <c r="J50"/>
  <c r="I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P49"/>
  <c r="O49"/>
  <c r="M49"/>
  <c r="L49"/>
  <c r="J49"/>
  <c r="I49"/>
  <c r="G49"/>
  <c r="G45"/>
  <c r="G36" s="1"/>
  <c r="F45"/>
  <c r="F36" s="1"/>
  <c r="AF44"/>
  <c r="AC44"/>
  <c r="AC35" s="1"/>
  <c r="Z44"/>
  <c r="Z35" s="1"/>
  <c r="W44"/>
  <c r="W35" s="1"/>
  <c r="AV44"/>
  <c r="Q44"/>
  <c r="N44"/>
  <c r="K44"/>
  <c r="AF43"/>
  <c r="AC43"/>
  <c r="AC34" s="1"/>
  <c r="Z43"/>
  <c r="Z34" s="1"/>
  <c r="W43"/>
  <c r="W34" s="1"/>
  <c r="T43"/>
  <c r="O42"/>
  <c r="N43"/>
  <c r="K43"/>
  <c r="G43"/>
  <c r="G34" s="1"/>
  <c r="AP42"/>
  <c r="AO42"/>
  <c r="AN42"/>
  <c r="AM42"/>
  <c r="AL42"/>
  <c r="AK42"/>
  <c r="AJ42"/>
  <c r="AH42"/>
  <c r="AE42"/>
  <c r="AD42"/>
  <c r="AB42"/>
  <c r="AA42"/>
  <c r="Y42"/>
  <c r="V42"/>
  <c r="U42"/>
  <c r="P42"/>
  <c r="M42"/>
  <c r="J42"/>
  <c r="I42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S36"/>
  <c r="R36"/>
  <c r="Q36"/>
  <c r="P36"/>
  <c r="O36"/>
  <c r="M36"/>
  <c r="L36"/>
  <c r="J36"/>
  <c r="I36"/>
  <c r="AR35"/>
  <c r="AQ35"/>
  <c r="AP35"/>
  <c r="AO35"/>
  <c r="AN35"/>
  <c r="AM35"/>
  <c r="AL35"/>
  <c r="AK35"/>
  <c r="AJ35"/>
  <c r="AH35"/>
  <c r="AG35"/>
  <c r="AE35"/>
  <c r="AD35"/>
  <c r="AB35"/>
  <c r="AA35"/>
  <c r="Y35"/>
  <c r="V35"/>
  <c r="U35"/>
  <c r="P35"/>
  <c r="M35"/>
  <c r="J35"/>
  <c r="I35"/>
  <c r="AR34"/>
  <c r="AQ34"/>
  <c r="AP34"/>
  <c r="AO34"/>
  <c r="AN34"/>
  <c r="AM34"/>
  <c r="AL34"/>
  <c r="AK34"/>
  <c r="AJ34"/>
  <c r="AH34"/>
  <c r="AG34"/>
  <c r="AE34"/>
  <c r="AD34"/>
  <c r="AB34"/>
  <c r="AA34"/>
  <c r="Y34"/>
  <c r="V34"/>
  <c r="U34"/>
  <c r="S34"/>
  <c r="R34"/>
  <c r="P34"/>
  <c r="M34"/>
  <c r="L34"/>
  <c r="J34"/>
  <c r="I34"/>
  <c r="AO12"/>
  <c r="AL12"/>
  <c r="AR11"/>
  <c r="AR10"/>
  <c r="AO10"/>
  <c r="AL10"/>
  <c r="G31"/>
  <c r="F31"/>
  <c r="G30"/>
  <c r="G29" s="1"/>
  <c r="F30"/>
  <c r="AR29"/>
  <c r="AQ29"/>
  <c r="AP29"/>
  <c r="AO29"/>
  <c r="AN29"/>
  <c r="AM29"/>
  <c r="AL29"/>
  <c r="AK29"/>
  <c r="AJ29"/>
  <c r="AH29"/>
  <c r="AF29"/>
  <c r="AE29"/>
  <c r="AD29"/>
  <c r="AC29"/>
  <c r="AB29"/>
  <c r="AA29"/>
  <c r="Z29"/>
  <c r="Y29"/>
  <c r="X29"/>
  <c r="W29"/>
  <c r="V29"/>
  <c r="U29"/>
  <c r="S29"/>
  <c r="R29"/>
  <c r="P29"/>
  <c r="O29"/>
  <c r="M29"/>
  <c r="L29"/>
  <c r="K29"/>
  <c r="J29"/>
  <c r="I29"/>
  <c r="G28"/>
  <c r="F28"/>
  <c r="G27"/>
  <c r="F27"/>
  <c r="AF26"/>
  <c r="AC26"/>
  <c r="AC25" s="1"/>
  <c r="Z26"/>
  <c r="Z25" s="1"/>
  <c r="G26"/>
  <c r="AR25"/>
  <c r="AQ25"/>
  <c r="AO25"/>
  <c r="AN25"/>
  <c r="AL25"/>
  <c r="AK25"/>
  <c r="AB25"/>
  <c r="W25"/>
  <c r="V25"/>
  <c r="S25"/>
  <c r="P25"/>
  <c r="M25"/>
  <c r="K25"/>
  <c r="J25"/>
  <c r="G24"/>
  <c r="F24"/>
  <c r="AM22"/>
  <c r="AJ22"/>
  <c r="Z22"/>
  <c r="U22"/>
  <c r="G23"/>
  <c r="AR22"/>
  <c r="AQ22"/>
  <c r="AO22"/>
  <c r="AN22"/>
  <c r="AL22"/>
  <c r="AK22"/>
  <c r="AH22"/>
  <c r="AE22"/>
  <c r="AB22"/>
  <c r="Y22"/>
  <c r="V22"/>
  <c r="S22"/>
  <c r="P22"/>
  <c r="M22"/>
  <c r="J22"/>
  <c r="G20"/>
  <c r="G19"/>
  <c r="F19"/>
  <c r="AM17"/>
  <c r="AV18"/>
  <c r="R17"/>
  <c r="AR17"/>
  <c r="AQ17"/>
  <c r="AO17"/>
  <c r="AN17"/>
  <c r="AL17"/>
  <c r="AK17"/>
  <c r="AH17"/>
  <c r="AE17"/>
  <c r="AB17"/>
  <c r="Y17"/>
  <c r="S17"/>
  <c r="P17"/>
  <c r="M17"/>
  <c r="J17"/>
  <c r="I17"/>
  <c r="G16"/>
  <c r="F16"/>
  <c r="AM13"/>
  <c r="AJ13"/>
  <c r="AF15"/>
  <c r="AA13"/>
  <c r="Z15"/>
  <c r="Z13" s="1"/>
  <c r="T15"/>
  <c r="O13"/>
  <c r="M13"/>
  <c r="L13"/>
  <c r="J13"/>
  <c r="I13"/>
  <c r="G14"/>
  <c r="F14"/>
  <c r="AR13"/>
  <c r="AQ13"/>
  <c r="AO13"/>
  <c r="AN13"/>
  <c r="AL13"/>
  <c r="AK13"/>
  <c r="AH13"/>
  <c r="AE13"/>
  <c r="AB13"/>
  <c r="Y13"/>
  <c r="V13"/>
  <c r="S13"/>
  <c r="P13"/>
  <c r="AR12"/>
  <c r="AO11"/>
  <c r="AL11"/>
  <c r="H75" l="1"/>
  <c r="G12"/>
  <c r="F29"/>
  <c r="H29" s="1"/>
  <c r="G65"/>
  <c r="F73"/>
  <c r="G25"/>
  <c r="J82"/>
  <c r="V33"/>
  <c r="AN62"/>
  <c r="M83"/>
  <c r="G63"/>
  <c r="U17"/>
  <c r="AG22"/>
  <c r="AI25"/>
  <c r="X34"/>
  <c r="X82" s="1"/>
  <c r="L35"/>
  <c r="N35" s="1"/>
  <c r="L17"/>
  <c r="N17" s="1"/>
  <c r="AQ82"/>
  <c r="K17"/>
  <c r="W33"/>
  <c r="I84"/>
  <c r="AA22"/>
  <c r="Y82"/>
  <c r="AO82"/>
  <c r="AG84"/>
  <c r="O34"/>
  <c r="AU34" s="1"/>
  <c r="AL33"/>
  <c r="AE48"/>
  <c r="AK9"/>
  <c r="AW58"/>
  <c r="J83"/>
  <c r="U84"/>
  <c r="AD13"/>
  <c r="AF13" s="1"/>
  <c r="U83"/>
  <c r="O22"/>
  <c r="Q22" s="1"/>
  <c r="AG82"/>
  <c r="AR82"/>
  <c r="P84"/>
  <c r="S84"/>
  <c r="AH84"/>
  <c r="AL84"/>
  <c r="AA33"/>
  <c r="AM33"/>
  <c r="AQ33"/>
  <c r="W42"/>
  <c r="AC42"/>
  <c r="AF42"/>
  <c r="J48"/>
  <c r="S48"/>
  <c r="U48"/>
  <c r="AC48"/>
  <c r="AG48"/>
  <c r="AU50"/>
  <c r="AB62"/>
  <c r="AD64"/>
  <c r="AF64" s="1"/>
  <c r="Q69"/>
  <c r="AC69"/>
  <c r="N64"/>
  <c r="N62" s="1"/>
  <c r="Z64"/>
  <c r="Z62" s="1"/>
  <c r="AV77"/>
  <c r="Q77"/>
  <c r="AC77"/>
  <c r="W64"/>
  <c r="W62" s="1"/>
  <c r="AJ17"/>
  <c r="M48"/>
  <c r="S82"/>
  <c r="AB82"/>
  <c r="K11"/>
  <c r="AL83"/>
  <c r="AQ83"/>
  <c r="O84"/>
  <c r="N13"/>
  <c r="AU20"/>
  <c r="AW20" s="1"/>
  <c r="AV29"/>
  <c r="AR9"/>
  <c r="AK82"/>
  <c r="AN83"/>
  <c r="AP83"/>
  <c r="J33"/>
  <c r="AU43"/>
  <c r="AW43" s="1"/>
  <c r="G44"/>
  <c r="G42" s="1"/>
  <c r="I48"/>
  <c r="R48"/>
  <c r="Z48"/>
  <c r="AD48"/>
  <c r="AU56"/>
  <c r="AI56"/>
  <c r="F56"/>
  <c r="AC64"/>
  <c r="AC62" s="1"/>
  <c r="AI77"/>
  <c r="AW79"/>
  <c r="W22"/>
  <c r="AP33"/>
  <c r="R13"/>
  <c r="T13" s="1"/>
  <c r="X17"/>
  <c r="Z17" s="1"/>
  <c r="AV22"/>
  <c r="AF25"/>
  <c r="AV34"/>
  <c r="AD33"/>
  <c r="O35"/>
  <c r="AF35"/>
  <c r="F43"/>
  <c r="F34" s="1"/>
  <c r="H34" s="1"/>
  <c r="F49"/>
  <c r="F48" s="1"/>
  <c r="P48"/>
  <c r="Y48"/>
  <c r="AK48"/>
  <c r="AM48"/>
  <c r="AO48"/>
  <c r="Q50"/>
  <c r="X48"/>
  <c r="AV56"/>
  <c r="Q56"/>
  <c r="J62"/>
  <c r="I62"/>
  <c r="AV64"/>
  <c r="S62"/>
  <c r="X62"/>
  <c r="Z69"/>
  <c r="F65"/>
  <c r="T77"/>
  <c r="AD77"/>
  <c r="AU77" s="1"/>
  <c r="AF79"/>
  <c r="AI17"/>
  <c r="AW69"/>
  <c r="Q13"/>
  <c r="AM83"/>
  <c r="Z12"/>
  <c r="Z84" s="1"/>
  <c r="AD84"/>
  <c r="U33"/>
  <c r="AC33"/>
  <c r="AA48"/>
  <c r="H58"/>
  <c r="V83"/>
  <c r="P62"/>
  <c r="F63"/>
  <c r="AI12"/>
  <c r="AI84" s="1"/>
  <c r="AI42"/>
  <c r="AI48"/>
  <c r="AV13"/>
  <c r="AU18"/>
  <c r="AW18" s="1"/>
  <c r="AU23"/>
  <c r="AW23" s="1"/>
  <c r="AU44"/>
  <c r="AW44" s="1"/>
  <c r="AU71"/>
  <c r="AW71" s="1"/>
  <c r="AV25"/>
  <c r="L82"/>
  <c r="V82"/>
  <c r="AA82"/>
  <c r="AM82"/>
  <c r="AO9"/>
  <c r="X13"/>
  <c r="G15"/>
  <c r="K15"/>
  <c r="K13" s="1"/>
  <c r="V17"/>
  <c r="AV17" s="1"/>
  <c r="G18"/>
  <c r="G10" s="1"/>
  <c r="T17"/>
  <c r="F26"/>
  <c r="F25" s="1"/>
  <c r="H25" s="1"/>
  <c r="AG29"/>
  <c r="AU29" s="1"/>
  <c r="AM84"/>
  <c r="K34"/>
  <c r="T34"/>
  <c r="AF34"/>
  <c r="AH33"/>
  <c r="AJ33"/>
  <c r="AN33"/>
  <c r="AR33"/>
  <c r="K42"/>
  <c r="Q42"/>
  <c r="Q43"/>
  <c r="Z33"/>
  <c r="AP48"/>
  <c r="O48"/>
  <c r="AQ48"/>
  <c r="AF48"/>
  <c r="W48"/>
  <c r="Q64"/>
  <c r="AA62"/>
  <c r="T69"/>
  <c r="AF69"/>
  <c r="AI69"/>
  <c r="W77"/>
  <c r="AU26"/>
  <c r="AW26" s="1"/>
  <c r="AV15"/>
  <c r="AV50"/>
  <c r="AU15"/>
  <c r="X84"/>
  <c r="AB84"/>
  <c r="AJ84"/>
  <c r="AN84"/>
  <c r="AR84"/>
  <c r="AB83"/>
  <c r="AH83"/>
  <c r="AR83"/>
  <c r="AP84"/>
  <c r="AQ84"/>
  <c r="H73"/>
  <c r="M62"/>
  <c r="R62"/>
  <c r="AE62"/>
  <c r="AM62"/>
  <c r="AI10"/>
  <c r="AI82" s="1"/>
  <c r="G64"/>
  <c r="AI64"/>
  <c r="AI62" s="1"/>
  <c r="AI33"/>
  <c r="G84"/>
  <c r="AH9"/>
  <c r="AN82"/>
  <c r="AN9"/>
  <c r="AE83"/>
  <c r="O17"/>
  <c r="Q17" s="1"/>
  <c r="AC22"/>
  <c r="P33"/>
  <c r="K35"/>
  <c r="I33"/>
  <c r="Y33"/>
  <c r="Y83"/>
  <c r="AJ64"/>
  <c r="AJ62" s="1"/>
  <c r="AJ69"/>
  <c r="N15"/>
  <c r="AP17"/>
  <c r="F20"/>
  <c r="F12" s="1"/>
  <c r="L84"/>
  <c r="AA84"/>
  <c r="AA17"/>
  <c r="R22"/>
  <c r="T22" s="1"/>
  <c r="M33"/>
  <c r="AK33"/>
  <c r="AK83"/>
  <c r="AO33"/>
  <c r="AO83"/>
  <c r="H43"/>
  <c r="T44"/>
  <c r="S42"/>
  <c r="AV42" s="1"/>
  <c r="S35"/>
  <c r="AV35" s="1"/>
  <c r="AP77"/>
  <c r="F79"/>
  <c r="F77" s="1"/>
  <c r="W11"/>
  <c r="U13"/>
  <c r="W13" s="1"/>
  <c r="AE33"/>
  <c r="AB48"/>
  <c r="AJ48"/>
  <c r="AR48"/>
  <c r="AE82"/>
  <c r="M84"/>
  <c r="AE9"/>
  <c r="AA83"/>
  <c r="AI11"/>
  <c r="Y84"/>
  <c r="AK84"/>
  <c r="L22"/>
  <c r="N22" s="1"/>
  <c r="X22"/>
  <c r="AQ9"/>
  <c r="AB33"/>
  <c r="X35"/>
  <c r="AG33"/>
  <c r="L42"/>
  <c r="X42"/>
  <c r="Z42" s="1"/>
  <c r="G50"/>
  <c r="H50" s="1"/>
  <c r="Z56"/>
  <c r="O62"/>
  <c r="V62"/>
  <c r="AH62"/>
  <c r="AL62"/>
  <c r="AP62"/>
  <c r="T64"/>
  <c r="N69"/>
  <c r="F71"/>
  <c r="H71" s="1"/>
  <c r="J84"/>
  <c r="K12"/>
  <c r="V84"/>
  <c r="AD22"/>
  <c r="AF22" s="1"/>
  <c r="N34"/>
  <c r="G22"/>
  <c r="R84"/>
  <c r="T12"/>
  <c r="AD17"/>
  <c r="AF17" s="1"/>
  <c r="AE84"/>
  <c r="F44"/>
  <c r="R42"/>
  <c r="R35"/>
  <c r="R33" s="1"/>
  <c r="L48"/>
  <c r="V48"/>
  <c r="AH48"/>
  <c r="AH82"/>
  <c r="AL82"/>
  <c r="AL48"/>
  <c r="AL9"/>
  <c r="F15"/>
  <c r="F11" s="1"/>
  <c r="Y9"/>
  <c r="Z11"/>
  <c r="AO84"/>
  <c r="Q15"/>
  <c r="W15"/>
  <c r="AC15"/>
  <c r="F18"/>
  <c r="F23"/>
  <c r="F22" s="1"/>
  <c r="AN48"/>
  <c r="G56"/>
  <c r="U62"/>
  <c r="Y62"/>
  <c r="AG62"/>
  <c r="AK62"/>
  <c r="AO62"/>
  <c r="W69"/>
  <c r="G69"/>
  <c r="N77"/>
  <c r="G77"/>
  <c r="I22"/>
  <c r="L64"/>
  <c r="AH81" l="1"/>
  <c r="X33"/>
  <c r="G62"/>
  <c r="AQ81"/>
  <c r="G13"/>
  <c r="G11"/>
  <c r="F10"/>
  <c r="H26"/>
  <c r="L33"/>
  <c r="N33" s="1"/>
  <c r="AN81"/>
  <c r="AF84"/>
  <c r="G17"/>
  <c r="Q34"/>
  <c r="AL81"/>
  <c r="AB9"/>
  <c r="AW29"/>
  <c r="O33"/>
  <c r="AU33" s="1"/>
  <c r="V9"/>
  <c r="O83"/>
  <c r="AU48"/>
  <c r="AD62"/>
  <c r="W83"/>
  <c r="G35"/>
  <c r="G33" s="1"/>
  <c r="Q12"/>
  <c r="Q35"/>
  <c r="X9"/>
  <c r="AU25"/>
  <c r="Q48"/>
  <c r="Q84"/>
  <c r="AW34"/>
  <c r="G48"/>
  <c r="H48" s="1"/>
  <c r="X83"/>
  <c r="X81" s="1"/>
  <c r="Q62"/>
  <c r="AK81"/>
  <c r="J9"/>
  <c r="L9"/>
  <c r="I83"/>
  <c r="K83" s="1"/>
  <c r="T62"/>
  <c r="AW77"/>
  <c r="AW56"/>
  <c r="AU22"/>
  <c r="AW22" s="1"/>
  <c r="H56"/>
  <c r="Z83"/>
  <c r="AM9"/>
  <c r="AF12"/>
  <c r="W12"/>
  <c r="W84" s="1"/>
  <c r="N84"/>
  <c r="AF33"/>
  <c r="K33"/>
  <c r="AG9"/>
  <c r="AW50"/>
  <c r="AW15"/>
  <c r="AF77"/>
  <c r="AV48"/>
  <c r="AW48" s="1"/>
  <c r="Q33"/>
  <c r="AC10"/>
  <c r="AC82" s="1"/>
  <c r="AU13"/>
  <c r="AW13" s="1"/>
  <c r="AU17"/>
  <c r="AW17" s="1"/>
  <c r="AU35"/>
  <c r="AW35" s="1"/>
  <c r="AU42"/>
  <c r="AW42" s="1"/>
  <c r="AW25"/>
  <c r="W17"/>
  <c r="H79"/>
  <c r="H22"/>
  <c r="F84"/>
  <c r="H84" s="1"/>
  <c r="AO81"/>
  <c r="AR81"/>
  <c r="J81"/>
  <c r="AB81"/>
  <c r="N12"/>
  <c r="L62"/>
  <c r="AU64"/>
  <c r="AW64" s="1"/>
  <c r="AV62"/>
  <c r="AM81"/>
  <c r="V81"/>
  <c r="Y81"/>
  <c r="AF62"/>
  <c r="AG83"/>
  <c r="AG81" s="1"/>
  <c r="AI83"/>
  <c r="AI81" s="1"/>
  <c r="F17"/>
  <c r="AC11"/>
  <c r="AC83" s="1"/>
  <c r="AC13"/>
  <c r="F35"/>
  <c r="F33" s="1"/>
  <c r="F42"/>
  <c r="H42" s="1"/>
  <c r="G9"/>
  <c r="G82"/>
  <c r="P82"/>
  <c r="Q10"/>
  <c r="P9"/>
  <c r="K22"/>
  <c r="F13"/>
  <c r="H15"/>
  <c r="S83"/>
  <c r="T11"/>
  <c r="I82"/>
  <c r="I9"/>
  <c r="K10"/>
  <c r="F64"/>
  <c r="F69"/>
  <c r="H69" s="1"/>
  <c r="L83"/>
  <c r="L81" s="1"/>
  <c r="N11"/>
  <c r="M82"/>
  <c r="N10"/>
  <c r="M9"/>
  <c r="N9" s="1"/>
  <c r="U82"/>
  <c r="U81" s="1"/>
  <c r="U9"/>
  <c r="W10"/>
  <c r="W82" s="1"/>
  <c r="R83"/>
  <c r="AJ83"/>
  <c r="AI9"/>
  <c r="T84"/>
  <c r="N42"/>
  <c r="H77"/>
  <c r="S9"/>
  <c r="AA81"/>
  <c r="AA9"/>
  <c r="T42"/>
  <c r="O9"/>
  <c r="O82"/>
  <c r="K84"/>
  <c r="AE81"/>
  <c r="S33"/>
  <c r="T33" s="1"/>
  <c r="T35"/>
  <c r="P83"/>
  <c r="Q83" s="1"/>
  <c r="Q11"/>
  <c r="AC12"/>
  <c r="AC84" s="1"/>
  <c r="AC17"/>
  <c r="AP9"/>
  <c r="AP82"/>
  <c r="AP81" s="1"/>
  <c r="H44"/>
  <c r="O81" l="1"/>
  <c r="H13"/>
  <c r="W9"/>
  <c r="K9"/>
  <c r="H17"/>
  <c r="AU62"/>
  <c r="AW62" s="1"/>
  <c r="H33"/>
  <c r="H35"/>
  <c r="W81"/>
  <c r="AV33"/>
  <c r="AW33" s="1"/>
  <c r="Q9"/>
  <c r="H12"/>
  <c r="N83"/>
  <c r="I81"/>
  <c r="K82"/>
  <c r="R9"/>
  <c r="R82"/>
  <c r="T10"/>
  <c r="Q82"/>
  <c r="P81"/>
  <c r="Z10"/>
  <c r="M81"/>
  <c r="N82"/>
  <c r="AC81"/>
  <c r="F83"/>
  <c r="AD83"/>
  <c r="AF83" s="1"/>
  <c r="AF11"/>
  <c r="AJ82"/>
  <c r="AJ81" s="1"/>
  <c r="AJ9"/>
  <c r="AD9"/>
  <c r="AF9" s="1"/>
  <c r="AD82"/>
  <c r="AF10"/>
  <c r="T83"/>
  <c r="S81"/>
  <c r="H11"/>
  <c r="G83"/>
  <c r="H64"/>
  <c r="F62"/>
  <c r="H62" s="1"/>
  <c r="AC9"/>
  <c r="Q81" l="1"/>
  <c r="H83"/>
  <c r="G81"/>
  <c r="R81"/>
  <c r="T82"/>
  <c r="K81"/>
  <c r="Z9"/>
  <c r="Z82"/>
  <c r="Z81" s="1"/>
  <c r="T9"/>
  <c r="F82"/>
  <c r="F9"/>
  <c r="H9" s="1"/>
  <c r="H10"/>
  <c r="AD81"/>
  <c r="AF81" s="1"/>
  <c r="AF82"/>
  <c r="N81"/>
  <c r="T81" l="1"/>
  <c r="F81"/>
  <c r="H81" s="1"/>
  <c r="H82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<sst xmlns="http://schemas.openxmlformats.org/spreadsheetml/2006/main" count="3174" uniqueCount="512">
  <si>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</si>
  <si>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</si>
  <si>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</si>
  <si>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</si>
  <si>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</si>
  <si>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</si>
  <si>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</si>
  <si>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</si>
  <si>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</si>
  <si>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</si>
  <si>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</si>
  <si>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</si>
  <si>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</si>
  <si>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</si>
  <si>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</si>
  <si>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</si>
  <si>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</si>
  <si>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</si>
  <si>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</si>
  <si>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</si>
  <si>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</si>
  <si>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</si>
  <si>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</si>
  <si>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</si>
  <si>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</si>
  <si>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</si>
  <si>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</si>
  <si>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</si>
  <si>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</si>
  <si>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</si>
  <si>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</si>
  <si>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</si>
  <si>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</si>
  <si>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</si>
  <si>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</si>
  <si>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</si>
  <si>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</si>
  <si>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</si>
  <si>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</si>
  <si>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</si>
  <si>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</si>
  <si>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</si>
  <si>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</si>
  <si>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</si>
  <si>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</si>
  <si>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</si>
  <si>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</si>
  <si>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</si>
  <si>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</si>
  <si>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</si>
  <si>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</si>
  <si>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</si>
  <si>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</si>
  <si>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</si>
  <si>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</si>
  <si>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</si>
  <si>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</si>
  <si>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</si>
  <si>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</si>
  <si>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</si>
  <si>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</si>
  <si>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</si>
  <si>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</si>
  <si>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</si>
  <si>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</si>
  <si>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</si>
  <si>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</si>
  <si>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</si>
  <si>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</si>
  <si>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</si>
  <si>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</si>
  <si>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</si>
  <si>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</si>
  <si>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</si>
  <si>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</si>
  <si>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</si>
  <si>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</si>
  <si>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</si>
  <si>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</si>
  <si>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</si>
  <si>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</si>
  <si>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</si>
  <si>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</si>
  <si>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</si>
  <si>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</si>
  <si>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</si>
  <si>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</si>
  <si>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</si>
  <si>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</si>
  <si>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</si>
  <si>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</si>
  <si>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</si>
  <si>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</si>
  <si>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</si>
  <si>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</si>
  <si>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</si>
  <si>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</si>
  <si>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</si>
  <si>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</si>
  <si>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</si>
  <si>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</si>
  <si>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</si>
  <si>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</si>
  <si>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</si>
  <si>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</si>
  <si>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</si>
  <si>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</si>
  <si>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</si>
  <si>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</si>
  <si>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</si>
  <si>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</si>
  <si>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</si>
  <si>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</si>
  <si>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</si>
  <si>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</si>
  <si>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</si>
  <si>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</si>
  <si>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</si>
  <si>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</si>
  <si>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</si>
  <si>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</si>
  <si>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</si>
  <si>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</si>
  <si>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</si>
  <si>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</si>
  <si>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</si>
  <si>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</si>
  <si>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</si>
  <si>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</si>
  <si>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</si>
  <si>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</si>
  <si>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</si>
  <si>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</si>
  <si>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</si>
  <si>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</si>
  <si>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</si>
  <si>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</si>
  <si>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</si>
  <si>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</si>
  <si>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</si>
  <si>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</si>
  <si>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</si>
  <si>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</si>
  <si>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</si>
  <si>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</si>
  <si>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</si>
  <si>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</si>
  <si>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</si>
  <si>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</si>
  <si>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</si>
  <si>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</si>
  <si>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</si>
  <si>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</si>
  <si>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</si>
  <si>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</si>
  <si>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</si>
  <si>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</si>
  <si>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</si>
  <si>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</si>
  <si>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</si>
  <si>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</si>
  <si>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</si>
  <si>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</si>
  <si>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</si>
  <si>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</si>
  <si>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</si>
  <si>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</si>
  <si>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</si>
  <si>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</si>
  <si>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</si>
  <si>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</si>
  <si>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</si>
  <si>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</si>
  <si>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</si>
  <si>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</si>
  <si>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</si>
  <si>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</si>
  <si>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</si>
  <si>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</si>
  <si>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</si>
  <si>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</si>
  <si>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</si>
  <si>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</si>
  <si>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</si>
  <si>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</si>
  <si>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</si>
  <si>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</si>
  <si>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</si>
  <si>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</si>
  <si>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</si>
  <si>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</si>
  <si>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</si>
  <si>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</si>
  <si>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</si>
  <si>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</si>
  <si>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</si>
  <si>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</si>
  <si>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</si>
  <si>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</si>
  <si>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</si>
  <si>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</si>
  <si>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</si>
  <si>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</si>
  <si>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</si>
  <si>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</si>
  <si>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</si>
  <si>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</si>
  <si>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</si>
  <si>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</si>
  <si>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</si>
  <si>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</si>
  <si>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</si>
  <si>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</si>
  <si>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</si>
  <si>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</si>
  <si>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</si>
  <si>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</si>
  <si>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</si>
  <si>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</si>
  <si>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</si>
  <si>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</si>
  <si>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</si>
  <si>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</si>
  <si>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</si>
  <si>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</si>
  <si>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</si>
  <si>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</si>
  <si>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</si>
  <si>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</si>
  <si>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</si>
  <si>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</si>
  <si>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</si>
  <si>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</si>
  <si>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</si>
  <si>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</si>
  <si>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</si>
  <si>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</si>
  <si>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</si>
  <si>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</si>
  <si>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</si>
  <si>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</si>
  <si>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</si>
  <si>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</si>
  <si>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</si>
  <si>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</si>
  <si>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</si>
  <si>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</si>
  <si>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</si>
  <si>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</si>
  <si>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</si>
  <si>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</si>
  <si>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</si>
  <si>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</si>
  <si>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</si>
  <si>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</si>
  <si>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</si>
  <si>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</si>
  <si>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Федеральный бюджет</t>
  </si>
  <si>
    <t>Организация обеспечения сохранности муниципального имущества (страхование муниципального имущества)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</si>
  <si>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</si>
  <si>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>И.Н.Назарова</t>
  </si>
  <si>
    <t>Наименование программных мероприятий</t>
  </si>
  <si>
    <t>Целевой показатель, №</t>
  </si>
  <si>
    <t>Объем финансирования всего на год, тыс.руб.</t>
  </si>
  <si>
    <t>План</t>
  </si>
  <si>
    <t>Факт</t>
  </si>
  <si>
    <t>Исполнение, %</t>
  </si>
  <si>
    <t>Подпрограмма I «Создание условий для совершенствования системы муниципального управления»</t>
  </si>
  <si>
    <t>сводно-аналитический отдел администрации города Урай, отдел по учету и отчетности администрации города Урай</t>
  </si>
  <si>
    <t>МАУ МФЦ</t>
  </si>
  <si>
    <t>Подпрограмма III «Развитие муниципальной службы и резерва управленческих кадров»</t>
  </si>
  <si>
    <t>управление по организационным вопросам и кадрам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</t>
  </si>
  <si>
    <t xml:space="preserve"> Подпрограмма IV «Управление и распоряжение муниципальным имуществом муниципального образования город Урай»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</si>
  <si>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</si>
  <si>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</si>
  <si>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не требует финансирования</t>
  </si>
  <si>
    <t>управление по организационным вопросам и кадрам администрации города Урай</t>
  </si>
  <si>
    <t xml:space="preserve">комитет по управлению муниципальным имуществом
администрации города Урай
</t>
  </si>
  <si>
    <t>Проведение конкурса «Лучший работник органов местного самоуправления»</t>
  </si>
  <si>
    <t>-</t>
  </si>
  <si>
    <t>Обеспечение государственной регистрации права собственности муниципального образования городской округ город Урай</t>
  </si>
  <si>
    <t>За отчетный период внесено изменение в перечень объектов, подлежащих  страхованию. Перечень утвержден постановлением администрации города Урай от 05.05.2017 №1199. В перечень вошли  объекты от застройщика ООО «Шаимский ПК5»</t>
  </si>
  <si>
    <t xml:space="preserve">Ответственный исполнитель (соисполнитель) </t>
  </si>
  <si>
    <t>муниципальной программы:</t>
  </si>
  <si>
    <r>
      <t>Согласовано:</t>
    </r>
    <r>
      <rPr>
        <sz val="10"/>
        <color rgb="FF000000"/>
        <rFont val="Arial"/>
        <family val="2"/>
        <charset val="204"/>
      </rPr>
      <t xml:space="preserve"> </t>
    </r>
  </si>
  <si>
    <r>
      <t>Комитет по финансам  администрации города Урай</t>
    </r>
    <r>
      <rPr>
        <sz val="10"/>
        <color rgb="FF000000"/>
        <rFont val="Arial"/>
        <family val="2"/>
        <charset val="204"/>
      </rPr>
      <t xml:space="preserve"> </t>
    </r>
  </si>
  <si>
    <r>
      <t>_________________________</t>
    </r>
    <r>
      <rPr>
        <sz val="10"/>
        <color rgb="FF000000"/>
        <rFont val="Arial"/>
        <family val="2"/>
        <charset val="204"/>
      </rPr>
      <t xml:space="preserve"> </t>
    </r>
  </si>
  <si>
    <t>«___» _____________20__ г.</t>
  </si>
  <si>
    <t>Начальник сводно-аналитического отдела администрации города Урай</t>
  </si>
  <si>
    <t>Начальник  отдела по учету и отчетности администрации города Урай</t>
  </si>
  <si>
    <t>Исполнитель: Назарова Ирина Николаевна</t>
  </si>
  <si>
    <t>тел.:8 (34676) 2-33-30</t>
  </si>
  <si>
    <t>(подпись)</t>
  </si>
  <si>
    <t>Е.М.Погадаева</t>
  </si>
  <si>
    <t>Задача 1. Совершенствование решения вопросов местного самоуправления</t>
  </si>
  <si>
    <t>Организация содержания муниципального жилищного фонда</t>
  </si>
  <si>
    <t xml:space="preserve">Освоение средств за отчетный период не в полном объеме обусловлено наличием вакансий, а также с поздним заключением договора на перевод записей актов гражданского состояния в электронный вид
</t>
  </si>
  <si>
    <t>Освоение средств за отчетный период не в полном объеме обусловлено отказом от участия в семинаре, а также оплата осуществляется в соответствии с фактически сложившимися расходами</t>
  </si>
  <si>
    <t xml:space="preserve">      В рамках контрактов от 15.08.2017 №252/17, от 29.08.2017 №270/17 приобретены ГЗПО, марки, конверты для рассылки присяжным заседателям</t>
  </si>
  <si>
    <t xml:space="preserve">        За 9 месяцев 2017 года  отделом ЗАГС зарегистрировано 1213 записей актов гражданского состояния. Составлено 404 актовых записей о рождении (мальчиков родилось 203 человек, девочек -201 человек, двойни и более 5 человек). Зарегистрировано 240  записей актов о заключении брака, 287 записей о смерти, 182 записи о расторжении брака, 66 записей  об установлении отцовства, 32 записи актов  о перемене имени и 2 записи об усыновлении
      За 9 месяцев 2017 отделом ЗАГС города оказано государственных услуг населению 3792, в электронном виде – 338, оформлено 6244 юридически значимых действий
</t>
  </si>
  <si>
    <t>Освоение средств предусмотрено в 4 квартале 2017 года</t>
  </si>
  <si>
    <t xml:space="preserve">     Количество муниципальных услуг на 01.10.2017 года составляет 43. Предоставление государственных и муниципальных услуг осуществляется в строгом соответствии с административными регламентами. Для  42 муниципальных услуг разработаны и утверждены административные регламенты. 
За 9 месяцев 2017 разработано и утверждено 3 административных регламента. 1 административный регламент  (КУМИ) находится  на стадии разработки.
</t>
  </si>
  <si>
    <t xml:space="preserve">    На территории города Урай постановлением администрации города Урай от 19.08.2011 №2355 утвержден Реестр муниципальных услуг муниципального образования городской округ город Урай (далее – Реестр). Общее количество услуг на 01.10.2017 года составляет 54, в том числе 43 муниципальных  услуги и 11 услуг, предоставляемых муниципальными учреждениями и другими организациями, в которых размещается муниципальное задание (заказ). 
Решением Думы города Урай от 27.09.2012 №79 утвержден перечень услуг, которые являются необходимыми и обязательными для предоставления администрацией города Урай муниципальных  услуг (24 услуги).
Обновление Реестра осуществляется по мере необходимости, с учетом изменения законодательства. За  9 месяцев 2017 года проведено 3 обновления: 15.02.2017, 23.03.2017 и 31.07.2017. Данный Реестр актуализирован и размещен на официальном сайте органов местного самоуправления города Урай.
</t>
  </si>
  <si>
    <t xml:space="preserve">      Сведения об услугах размещены в информационной системе «Реестр государственных и муниципальных услуг (функций) ХМАО-Югры» (далее-РРГУ) и отражены на Едином портале государственных и муниципальных услуг (http://www.gosuslugi.ru/)</t>
  </si>
  <si>
    <t xml:space="preserve">    Обновление информации в РРГУ осуществляется по мере необходимости, с учетом изменения законодательства и утверждения новых муниципальных услуг. За 9 месяцев 2017  актуализация информации в РРГУ была проведена в январе, марте-июне, сентябре-октябре 2017 года ответственными лицами органов администрации  и МКУ по 54 муниципальным услугам</t>
  </si>
  <si>
    <t>Общее количество услуг на 01.10.2017 года составляет 54. Обеспечена возможность предоставления услуг в электронном виде через ЕПГУ по 19 услугам: 14 муниципальным услугам и 5  услугам учреждений</t>
  </si>
  <si>
    <t xml:space="preserve">     Деятельность органов местного самоуправления регулярно освещается в эфире ТРК «Спектр+» и МБУ «Газета «Знамя». Информирование о деятельности органов власти ведется и посредством радиовыпусков на темы городской жизни. На волнах радиостанции «Европа+» радиовыпуски продолжают выходить согласно сетки вещания ТРК «Спектр+» (пять выпусков ежедневно по будням).  
          В эфире ТРК «Спектр+» деятельность органов местного самоуправления  регулярно освещается в информационной программе: «Время Урая», «Время Урая о главном», «Из первых уст» в ходе прямых эфиров и пресс-конференций с участием главы города Урай, его заместителей, начальников отделов и управлений, специалистов администрации, Думы города.
         В средствах массовой информации и в сети Интернет размещена информация о проведении конкурсов на замещение вакантной должности муниципальной службы, положение о порядке проведения конкурса «Лучший работник органов местного самоуправления города Урай». На сайте www.uray.ru представлена полная структура органов власти, официальная информация о главе города Урай, исторические материалы о городе, созданы разделы по всем направлениям деятельности органов власти, разделы «Новости», «Объявления», «Обращения граждан», «Бюджет для граждан», «Госуслуги».     На официальном сайте размещены прямые ссылки на сайты Президента РФ, Правительства Югры, Губернатора и Думы Ханты-Мансийского автономного округа – Югры и территориальной избирательной комиссии, Общероссийского народного фронта и другие полезные ссылки.
В целях повышения информированности населения ежедневно специалистами пресс-службы направляются информационные и новостные материалы о городе Урае в адрес более 20 электронных изданий, таких как: «Накануне.ру», «Ньюспром.Ру», РИЦ «Югра Информ»,  «АиФЮгра», ООО «Югра ТV,  «Радио – Югра», Газета «Новости Югры», «Mangazia», «ЮграТрэвэл», «Ньюсфедпресс», и др. В России и городе Урае 2017 год объявлен  Годом экологии, в Югре - Годом здоровья. Мероприятия в рамках объявленных лет,  находят отражение в информационной картине урайских СМИ</t>
  </si>
  <si>
    <t xml:space="preserve">    Актуализация информационного ресурса (базы данных) содержащего информацию об объектах муниципальной собственности, а также сведений по технической инвентаризации объектов муниципального имущества муниципального образования проводится на постоянной основе в течение года по мере поступления информации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</si>
  <si>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</t>
  </si>
  <si>
    <t>В отчетном периоде в действующие муниципальные нормативные правовые акты администрации города Урай внесено 220 изменений и дополнений, принято 52 новых муниципальных нормативных правовых актов администрации города Урай, 34 муниципальных нормативных правовых актов администрации города Урай о признании утратившим силу ранее принятого акта, 26 муниципальных нормативных правовых актов администрации города Урай взамен отмененных
О деятельности органов власти подготовлено 278 информационных сообщения в эфире ТРК «Спектр+». 
В газете «Знамя» опубликовано 235  материала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199  пресс-релизов о деятельности органов власти</t>
  </si>
  <si>
    <t>Через МАУ "МФЦ" в настоящее время оказывается 217 услуг, в том числе 63 федеральные услуги, 111 региональных и 43 муниципальных. За девять месяцев 2017 года оказано услуг по приему, выдаче документов 32543 (в том числе: федеральные - 18057, региональные - 13558 и муниципальные - 928 (в том числе услуги полного цикла - 286)</t>
  </si>
  <si>
    <t>За 9 месяцев 2017 года в сфере муниципальной службы утверждено 5 нормативно-правовых актов, изменено 7 нормативно-правовых актов</t>
  </si>
  <si>
    <t xml:space="preserve">   Критерии оценки эффективности установлены решением Думы города Урай от 28.02.2008 №5. 
    В отчетном периоде изменений в данный документ не вносились
</t>
  </si>
  <si>
    <t>Во II квартале 2017 года специалистами кадровой службы управления по организационным вопросам и кадрам проводились консультации муниципальных служащих по заполнению справок о доходах за 2016 год.   Принято справок о доходах за 2016 год у 169 муниципальных служащих. Аттестовано 14 муниципальных служащих администрации города Урай и органов администрации города Урай</t>
  </si>
  <si>
    <t>За 9 месяцев 2017 года обучено 27 муниципальных служащих органов местного самоуправления города Урай, в т.ч. при проведении семинара по теме «Изменения законодательства в сфере контрактной системы в сфере закупок товаров, работ и услуг для обеспечения государственных и муниципальных нужд с 2017 года»</t>
  </si>
  <si>
    <t xml:space="preserve">     Постановлением  администрации города Урай от 22.12.2016 №3980 утвержден график сдачи документов для государственной  регистрации прав на недвижимое имущество (в отношении объектов коммунальной инфраструктуры, в том числе бесхозяйных объектов в городе Урай).                                                                                                                         Кроме этого  комитетом по управлению муниципальным имуществом администрации города Урай производится регистрация права собственности на  новые объекты, переданные от МКУ «Управление капитального строительства города Урай», прочие  незарегистрированные объекты и др.
За отчетный период зарегистрировано 57 объектов недвижимости</t>
  </si>
  <si>
    <t xml:space="preserve">     В соответствии с постановлением администрации города Урай от 29.12.2016 №4119 «О создании комиссии»                                                                                                                                       
проверено муниципальное имущество по договорам оперативного управления :
 1 кв. 2017 – 2 учреждения (Управление образования города Урай, МБУ «Молодежный центр»), 
 2 кв. 2017 – 2 учреждения (МКУ «Управление капитального строительства города Урай», МБОУ СОШ  №2), 
 3 кв. 2017 – 1 учреждение «МБУ ДО «ДЮСШ «Старт» -инвентаризация объектов освещения
</t>
  </si>
  <si>
    <t xml:space="preserve">В отчетном периоде были заключены договоры на:
- содержание нежилых помещений, находящихся в муниципальной собственности, которые расположены в многоквартирных жилых домах; 
- оплату за обработку лицевых счетов ООО «ПиП»;                                                                                                                                                                                                                                            - оценку объектов оценки;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выполнение кадастровых работ;
- услуги аудита
</t>
  </si>
  <si>
    <t xml:space="preserve">     В отчетном периоде оцифровано 126 дел постоянного хранения на 25 735 листах; подготовлено 966 архивных справок на социально-правовые, тематические запросы; изготовлено 245 копий с архивных документов на 560 листах  </t>
  </si>
  <si>
    <t xml:space="preserve">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9 месяцев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2017 году в органах местного самоуправления и муниципальных учреждениях города Урай 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9 месяцев 2017 года.
9)Информация о состоянии пожарной безопасности в бюджетных организациях города Урай за 9 месяцев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1.2.2 Обеспечение деятельности в сфере трудовых отношений и государственного управления охраной труда        На территории города Урай осуществляет свою деятельность Межведомственная комиссия по охране труда, которая утверждена постановлением администрации города Урай от 19.04.2011 №1077. За 3 квартала 2017 года проведено 3 заседания комиссии, в ходе которых рассмотрено 15 вопросов:
1) Состояние охраны труда на территории муниципального образования город Урай за 2016 год, исполнение плана мероприятий по улучшению условий труда в 2016 году в органах местного самоуправления и муниципальных учреждениях города Урай.
2) Анализ несчастных случаев на производстве с тяжелым и смертельным исходом, происшедших в организациях города Урай за 2016 год
3) Доклады руководителей и специалистов организаций, допустивших случаи тяжелого травматизма на производстве за 4 квартал 2016 года.
4) Контроль за проведением обязательных предварительных (при поступлении на работу) и периодических медицинских осмотров (обследований) работников, занятых на работах с вредными и (или) опасными условиями труда (по итогам 2016 года) в организациях города Урай
5) Порядок предоставления финансового обеспечения  предприятиям г. Урая на реализацию предупредительных мер по сокращению производственного травматизма и профессиональных заболеваний работников и санаторно-курортное лечение работников, занятых на работах с вредными и (или) опасными производственными факторами, в 2017 году
6) Об исполнении протокольных поручений
7) О состоянии производственного травматизма за истекший период 2017  года
8) Доклады руководителей и специалистов организаций, допустивших случаи тяжелого травматизма на производстве за 1 квартал 2017 года.
9)Информация о состоянии пожарной безопасности в бюджетных организациях города Урай за 1 полугодие 2017 года.
10) Об исполнении протокольных поручений. 
11) Порядок предоставления скидки к страховому тарифу по обязательному социальному страхованию от несчастных случаев на производстве и профессиональных заболеваний, на 2018 год.
12) Информация об установленных надбавках к страховому тарифу по обязательному социальному страхованию от несчастных случаев на производстве и профессиональных заболеваний, на 2018 год.
13) Проведение обязательного психиатрического освидетельствования работников, осуществляющих отдельные виды деятельности.
14) О состоянии ВИЧ-инфекции на территории города Урай.
15) Об исполнении протокольных поручений.
</t>
  </si>
  <si>
    <t xml:space="preserve">     За отчетный период заключены 25 муниципальных контрактов на содержание муниципального жилого фонда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</si>
  <si>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2018 год</t>
  </si>
  <si>
    <t xml:space="preserve">Цель 1. Совершенствование муниципального управления,  повышение его эффективности </t>
  </si>
  <si>
    <t>1.1.1.1</t>
  </si>
  <si>
    <t>Обеспечение деятельности 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</si>
  <si>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
</t>
  </si>
  <si>
    <t xml:space="preserve">1.1.1, 1.1.2,
1.1.4, 1.1.5
</t>
  </si>
  <si>
    <t>1.1.1.2.</t>
  </si>
  <si>
    <t>Обеспечение деятельности МКУ «УМТО города Урай»</t>
  </si>
  <si>
    <t>МКУ «УМТО города Урай»</t>
  </si>
  <si>
    <t>1.1.1</t>
  </si>
  <si>
    <t>1.1.1.3</t>
  </si>
  <si>
    <t>Внедрение проектной деятельности в органах местного самоуправления города Урай</t>
  </si>
  <si>
    <t>управление экономики, анализа и прогнозирования администрации города Урай, органы местного самоуправления</t>
  </si>
  <si>
    <t>1.1.1.4</t>
  </si>
  <si>
    <t>Обеспечение исполнения гарантий, предоставляемых  муниципальным служащим по выплате муниципальной пенсии</t>
  </si>
  <si>
    <t>1.1.7</t>
  </si>
  <si>
    <t>1.1.1.5.</t>
  </si>
  <si>
    <t>Организация общественных работ для временного трудоустройства незанятых трудовой деятельностью и безработных граждан</t>
  </si>
  <si>
    <t>сводно-аналитический отдел администрации города Урай, МКУ «УМТО города Урай», отдел по учету и отчетности администрации города Урай, муниципальное бюджетное учреждение «Молодежный центр»</t>
  </si>
  <si>
    <t>1.1.6</t>
  </si>
  <si>
    <t>1.1.1.6.</t>
  </si>
  <si>
    <t>Осуществление выплат согласно Положению о порядке предоставления  мер социальной поддержки и размерах возмещения расходов гражданам, удостоенным звания «Почетный гражданин города Урай»</t>
  </si>
  <si>
    <t>1.1.8</t>
  </si>
  <si>
    <t>Задача 2. Совершенствование предоставления государственных и муниципальных услуг</t>
  </si>
  <si>
    <t>Подпрограмма II «Предоставление государственных и муниципальных услуг»</t>
  </si>
  <si>
    <t>1.1.3</t>
  </si>
  <si>
    <t>1.2.1.1</t>
  </si>
  <si>
    <t>Разработка (актуализация) административных регламентов предоставления муниципальных услуг в муниципальном образовании городской округ город Урай и размещение (актуализация) сведений о муниципальных услугах в Реестре государственных и муниципальных услуг (функций) Ханты-Мансийского автономного округа – Югры</t>
  </si>
  <si>
    <t>органы администрации города Урай, предоставляющие муниципальные услуги, МКУ «УГЗиП города Урай»,  МАУ МФЦ</t>
  </si>
  <si>
    <t>1.2.2</t>
  </si>
  <si>
    <t>1.2.1.2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</si>
  <si>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</t>
  </si>
  <si>
    <t>органы администрации города Урай, предоставляющие муниципальные услуги, МКУ «УГЗиП  города Урай», МАУ МФЦ</t>
  </si>
  <si>
    <t>1.2.1, 1.2.4</t>
  </si>
  <si>
    <t>1.2.1.3</t>
  </si>
  <si>
    <t>Увеличение  количества услуг, получаемых гражданами в электронной форме</t>
  </si>
  <si>
    <t>органы администрации города Урай, предоставляющие муниципальные услуги, МКУ «УГЗиП города Урай», МАУ МФЦ</t>
  </si>
  <si>
    <t>1.2.3</t>
  </si>
  <si>
    <t>1.2.1.4</t>
  </si>
  <si>
    <t>Привлечение заявителей к получению услуг в электронной форме через Единый портал государственных и муниципальных услуг</t>
  </si>
  <si>
    <t>1.2.1.5</t>
  </si>
  <si>
    <t>Проведение социологического опроса по удовлетворенности граждан предоставлением муниципальных услуг</t>
  </si>
  <si>
    <t>отдел по работе с обращениями граждан администрации города Урай, управление экономики, анализа и прогнозирования</t>
  </si>
  <si>
    <t>1.2.1</t>
  </si>
  <si>
    <t>1.2.1.6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</si>
  <si>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</si>
  <si>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1.2.5, 1.2.6, 1.2.7</t>
  </si>
  <si>
    <t>Цель 2. Совершенствование организации муниципальной службы,  повышение ее эффективности</t>
  </si>
  <si>
    <t>Задача 3. Совершенствование профессиональных возможностей и способностей работников органов местного самоуправления</t>
  </si>
  <si>
    <t>2.1.1.1</t>
  </si>
  <si>
    <t>Анализ соответствия принятых муниципальных правовых актов действующему законодательству о муниципальной службе и противодействии коррупции</t>
  </si>
  <si>
    <t>2.1.4</t>
  </si>
  <si>
    <t>2.1.1.2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</si>
  <si>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</t>
  </si>
  <si>
    <t xml:space="preserve">управление по организационным вопросам и кадрам администрации города Урай </t>
  </si>
  <si>
    <t>2.1.2</t>
  </si>
  <si>
    <t>2.1.1.3</t>
  </si>
  <si>
    <t>Назначение из резерва кадров на  должности муниципальной службы высшей, главной и ведущей группы, учрежденных для выполнения функции «руководитель»</t>
  </si>
  <si>
    <t>2.1.3</t>
  </si>
  <si>
    <t>2.1.1.4</t>
  </si>
  <si>
    <t>2.1.5</t>
  </si>
  <si>
    <t>2.1.1.5</t>
  </si>
  <si>
    <t>2.1.1</t>
  </si>
  <si>
    <t>Цель 3.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</t>
  </si>
  <si>
    <t>Задача 4. Совершенствование управления и распоряжения муниципальным имуществом</t>
  </si>
  <si>
    <t>3.1.1.1</t>
  </si>
  <si>
    <t xml:space="preserve">комитет по управлению муниципальным имуществом
администрации города Урай
</t>
  </si>
  <si>
    <t>3.1.1</t>
  </si>
  <si>
    <t>3.1.1.2</t>
  </si>
  <si>
    <t>Вовлечение земельных участков в хозяйственный оборот</t>
  </si>
  <si>
    <t>3.1.6</t>
  </si>
  <si>
    <t>3.1.1.3</t>
  </si>
  <si>
    <t>Повышение результативности финансово-хозяйственной деятельности хозяйствующих субъектов с долей участия муниципального образования городской округ город Урай</t>
  </si>
  <si>
    <t>3.1.2, 3.1.3</t>
  </si>
  <si>
    <t>3.1.1.4</t>
  </si>
  <si>
    <t>Организация обеспечения формирования состава и структуры муниципального имущества  (содержание имущества казны (за исключением объектов муниципального жилищного фонда)</t>
  </si>
  <si>
    <t>3.1.4</t>
  </si>
  <si>
    <t>3.1.1.5</t>
  </si>
  <si>
    <t>3.1.1.6</t>
  </si>
  <si>
    <t>3.1.5</t>
  </si>
  <si>
    <t>управление по учету и распределению муниципального жилого фонда администрации города Урай, МКУ «УГЗиП города Урай»</t>
  </si>
  <si>
    <t>3.1.7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</si>
  <si>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01.02.2018</t>
  </si>
  <si>
    <t>Исполнитель: Кучина Ирина Вениаминовна</t>
  </si>
  <si>
    <t>Комплексный план (сетевой график) реализации  финансовых средств  муниципальной программы "Совершенствование и развитие муниципального управления в г.Урай" на 2018-2030 годы       на 01.04.2018</t>
  </si>
  <si>
    <t>Отклонение произошло в связи с  уменьшением                               количества командировок; оплата за коммунальные услуги произведена по факту потребления энергоресурсов</t>
  </si>
  <si>
    <t>В рамках реализации мероприятий целевой программы Ханты-Мансийского автономного округа - Югры «Содействие занятости населения в Ханты-Мансийском автономном округе-Югре на 2014-2020 годы» заключены следующие договоры:
- №38 от 20.12.2017г. «О совместной деятельности по организации временного трудоустройства граждан» на 60 человек. За 1 квартал 2018 года были трудоустроены 27 человек.
- №3 от 11.01.2018г. «О совместной деятельности по организации временного трудоустройства незанятых трудовой деятельностью и безработных граждан испытывающих трудности в поиске работы» на 10 человек. За 1 квартал 2018 года были трудоустроены 2 человека</t>
  </si>
  <si>
    <t xml:space="preserve">За отчетный период заключены муниципальные контракты и договоры в количестве 72 штук на содержание объектов муниципальной казны, из них 57 на  техническое обслуживание и содержание объектов  (содержание нежилых помещений в многоквартирных домах, приобретение материалов, поставка огнетушителей, оказание услуг связи и т.д.), 15 на содержание и ремонт транспортных средств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</t>
  </si>
  <si>
    <t>По Управлению образования и молодежной политики администрации города Урай неисполнение мероприятий произошло в связи с приведением в соответствие нормативно-правовой базы; по МКУ "УМТО" отклонение произошло из-за того, что оплата производится исходя из количества принятых сотрудников, а также наличием листов нетрудоспособности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</si>
  <si>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39 пенсионерам</t>
  </si>
  <si>
    <r>
      <t>Выплаты гражданам, удостоенным звания "Почетный гражданин города Урай</t>
    </r>
    <r>
      <rPr>
        <b/>
        <sz val="10"/>
        <rFont val="Times New Roman"/>
        <family val="1"/>
        <charset val="204"/>
      </rPr>
      <t xml:space="preserve">" </t>
    </r>
    <r>
      <rPr>
        <sz val="10"/>
        <rFont val="Times New Roman"/>
        <family val="1"/>
        <charset val="204"/>
      </rPr>
      <t>будут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производиться во 2 квартале 2018</t>
    </r>
  </si>
  <si>
    <t>Отклонение произошло из-за наличия листов нетрудоспособности</t>
  </si>
  <si>
    <t>Общее количество услуг на 01.04.2018 года составляет 54, в том числе 43 муниципальных и 11 услуг, предоставляемых муниципальными учреждениями. Предоставление государственных и муниципальных услуг осуществляется в строгом соответствии с административными регламентами. Для  всех 43 муниципальных услуг разработаны и утверждены административные регламенты. Актуальные редакции административных регламентов  размещены на сайте ОМСУ и в информационной системе «Реестр государственных и муниципальных услуг (функций) ХМАО-Югры» (далее – РРГУ). Обновление информации в РРГУ осуществляется по мере необходимости, с учетом изменения законодательства и утверждения новых муниципальных услуг. В 1 квартале 2018 года  актуализация информации в РРГУ была проведена в январе и марте ответственными лицами органов администрации  и МКУ по 31 муниципальной услуге</t>
  </si>
  <si>
    <t>Органами администрации города Урай оказываются 14 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содействия малому и среднему предпринимательству, отдел опеки и попечительства ,  управление по учету и распределению муниципального жилого фонда, ЗАГС)</t>
  </si>
  <si>
    <t xml:space="preserve">Обеспечена возможность предоставления услуг в электронном виде через ЕПГУ по 19 услугам: 14 муниципальным и 5 – услугам учреждений.  Заявителям доступны формы заявлений  и   иных   документов, необходимых для получения соответствующих услуг, обеспечен доступ к ним для копирования и заполнения в электронном виде. В 2017 году в  Департамент информационных технологий Ханты-Мансийского  автономного округа – Югры направлен перечень из 17 муниципальных услуг на перевод в электронную форму. За 1 квартал 2018 года всего оказано муниципальных услуг 153202, из них  в электронном виде 151016 (98,57%), в том числе:
оказанных ОМСУ в электронном виде  - 141, что составляет 25,7%,
оказанных учреждениями – 150875,  что составляет 98,83%
</t>
  </si>
  <si>
    <t xml:space="preserve">С целью популяризации получения государственных и муниципальных услуг в электронном виде:
- утвержден Координационный совет по  информатизации при администрации города Урай;
- в рамках исполнения Указа Президента Российской Федерации от 07.05.2012  №601 «Об основных направлениях совершенствования системы государственного управления» для увеличения доли граждан, использующих механизм получения государственных и муниципальных услуг в электронной  форме 
организованы Центры обслуживания единой системы идентификации и аутентификации (далее ЕСИА) для доступа к единому порталу государственных и муниципальных услуг: в МФЦ -1, в администрации города Урай (архив, отдел по обращениям  граждан, отдел СМП, управление образования, УИТиС) – 5, отделе ЗАГС - 1, МКУ «Управление градостроительства, землепользования и природопользования» -1. За  1 квартал 2018 года на Едином портале зарегистрировано   – 2547 человек
</t>
  </si>
  <si>
    <t>Социологический опрос по удовлетворенности граждан предоставлением муниципальных услуг  планируется провести в октябре 2018 года</t>
  </si>
  <si>
    <t xml:space="preserve">В соответствии с Федеральным законом от 27.07.2010 №210-ФЗ «Об организации предоставления государственных и муниципальных услуг» в рамках договоров о взаимодействии через  МФЦ предоставляются 225 услуг, в том числе 63 федеральных, 104 региональных, 15 прочих услуг  и 43 муниципальных. На 01.04.2018 года МАУ «МФЦ» оказано услуг 15410 (в том числе 1501 консультация), в том числе:
- федеральных 8910 (в том числе 724 консультации);
- региональных 4608 (в том числе 729 консультаций) - прочих 248 (в том числе 2 консультации);
- муниципальных 308 ( в том числе 46 консультаций);
- регистрация на портале 1336 услуг
</t>
  </si>
  <si>
    <t>За отчетный период комитетом по управлению муниципальным имуществом администрации города Урай зарегистрировано 59 объектов недвижимости, из них:                                                                                                                                         3 вновь построенных объектов недвижимости: магистральные сети горячего водоснабжения, теплоснабжения микрорайона Шаимский; 56 объектов  инженерных сетей (старые сети)</t>
  </si>
  <si>
    <t>За отчетный период в хозяйственный оборот вовлечено 8 земельных участков, переданных от  МКУ "Управление градостроительства, землепользования и природопользования города Урай" согласно постановлениям администрации города Урай "О заключении соглашения о перераспределении земельных участков": от 28.12.2017 №3941, от 28.12.2017 №3943, от 22.01.2018 №93,от 22.01.2018 №103, от 31.01.2018 №169, от 02.02.2018 №207</t>
  </si>
  <si>
    <t xml:space="preserve"> В соответствии с Федеральным законом от 26.12.1995 №208-ФЗ «Об акционерных обществах» органами управления акционерных обществ с участием муниципального образования являются: общее собрание акционеров и Совет директоров. Органом, осуществляющим контроль за  финансово-хозяйственной деятельностью акционерных обществ, является ревизионная комиссия, которая избирается общим собранием акционеров.
Деятельность ревизионной комиссии осуществляется в соответствии с Положениями о ревизионной комиссии, утвержденными Советом директоров каждого акционерного общества, постановлением админситрации города Урай (для МУП ритуальных услуг)  и графиком проверок, утвержденным главой города Урай.
В отчетном периоде   утверждены графики  проведения проверок 
ревизионными комиссиями  муниципального унитарного предприятия  ритуальных услуг и  акционерных обществ, доля акций которых в муниципальном образовании городской округ город Урай составляет  25%  и более. По результатам ревизионных проверок  за 2017 год будет произведена оценка состояния финансово-хозяйственной деятельности хозяйствующих субъектов и   выработаны    рекомендаций, направленные на повышение эффективности их деятельности</t>
  </si>
  <si>
    <t xml:space="preserve">За отчетный период в рамках реализации мероприятия программы производились расходы на содержание нежилых помещений, находящихся в муниципальной собственности, которые расположены в многоквартирных жилых домах; услуги аудита ООО "Омская дочерняя аудиторская фирма "Аудитинформ"; внесение записи о переходе прав собственности на ценные бумаги АО "Индустрия-РЕЕСТР"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</si>
  <si>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Отклонение произошло из-за сложившейся экономии по торгам: ООО "Омская дочерняя аудиторская фирма "Аудитинформ"  за услуги аудита бухгалтерской (финансовой) отчетности муниципального унитарного предприятия ритуальных услуг за 2017 год. </t>
  </si>
  <si>
    <t>Заключение муниципального контракта на услугу страхования и оплата по нему запланированы на 4 квартал 2018 года</t>
  </si>
  <si>
    <t xml:space="preserve">Перечень объектов подлежащих страхованию  утвержден постановлением администрации города Урай от 05.05.2017 №1199
</t>
  </si>
  <si>
    <t>Отклонение произошло в связи с тем, что оплата работ по договорам осуществляется по "факту" на основании актов выполненных работ и фактическим заселением жильцов</t>
  </si>
  <si>
    <t>В 1 квартале 2018 года заключены муниципальные контракты и договоры  на оказание услуг с ООО "Капитал", ООО "Эксперт", АО "Тюменская энергосбытовая компания", АО "Шаимгаз", АО "Урайтеплоэнергия"</t>
  </si>
  <si>
    <t>Освоение средств за отчетный период не в полном объеме обусловлено переносом сроков отпусков, оплаты стоимости проезда к месту использования отпуска  и обратно,
длительностью проведения конкурсных процедур, наличием экономии, сложившейся при проведении конкурсных процедур; в соответствии с сетевым графиком реализации финансовых средств муниципальной программы. Администрирование по ТКО предусмотрено в 4 квартале 2018 года</t>
  </si>
  <si>
    <t xml:space="preserve">Освоение средств предусмотрено во 2-4 кварталах 2018 года. </t>
  </si>
  <si>
    <t xml:space="preserve">  В отчетном периоде в действующие муниципальные нормативные правовые акты администрации города Урай внесено 69 изменений и дополнений, принято 12 новых муниципальных нормативных правовых актов администрации города Урай, 6 муниципальных нормативных правовых актов администрации города Урай о признании утратившим силу ранее принятого акта, 8 муниципальных нормативных правовых актов администрации города Урай взамен отмененных.
О деятельности органов власти подготовлено 196 информационных сообщения в эфире ТРК «Спектр+». 
В газете «Знамя» опубликован 141  материал о деятельности исполнительного и представительного органов власти. 
В разделе «Новости» на официальном сайте органов местного самоуправления города Урай  размещено 95 пресс-релизов о деятельности органов власти. В городе Урай 2018 объявлен Годом гражданских инициатив. Мероприятия в рамках объявленного года находят отражение в информационной картине урайских СМИ. Проведен мониторинг состояний и условий охраны труда в 67 организациях муниципального образования город Урай. Общая численность работников организаций предоставивших информацию составила 13 464 человека. Для руководителей и специалистов организаций, учреждений города проведено 2 семинара по вопросам охраны труда. Принято участие в расследовании 2 несчастных случаев, из них 1 несчастный случай квалифицирован, как несчастный случай, связанный с производством, 1 несчастный случай, по результатам расследования квалифицирован  как несчастный случай не связанный с производством. Отделом ЗАГС зарегистрировано 393 записи актов гражданского состояния, из них 133 о рождении, 56 о заключении брака, 109 о смерти, 62 о расторжении брака, 19   об установлении отцовства, 11 о перемене имени и 3 записи об усыновлении. За 1 квартал 2018 года отделом ЗАГС оказано государственных услуг населению 816, из них в электронном виде  55, оформлено 1586 юридически значимых действий, выдано справок и извещений-504.  В отчетном периоде Архивной службой  оцифровано 20 дел постоянного хранения на 4336 листах; подготовлено 570 архивных справок на социально-правовые, тематические запросы; поступило в службу 656 запросов; изготовлено 118 копий с архивных документов на 249 листах.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127 приемным родителям (среднегодовая численность) за воспитание ребенка. </t>
  </si>
  <si>
    <t>За 1 квартал 2018 года в сфере муниципальной службы изменено 2 нормативно-правовых акта</t>
  </si>
  <si>
    <t>В 1 квартале 2018 года проведён 1 конкурс в кадровый резерв на 4 должности</t>
  </si>
  <si>
    <t>В 1 квартале 2018 года назначения из резерва кадров на  должности муниципальной службы высшей, главной и ведущей группы, учрежденных для выполнения функции «руководитель» не осуществлялись</t>
  </si>
  <si>
    <t>В 1 квартале 2018 года конкурс «Лучший работник органов местного самоуправления» не проводился</t>
  </si>
  <si>
    <t>В 1 квартале 2018 года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не проводилось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</si>
  <si>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</si>
  <si>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</si>
  <si>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</si>
  <si>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</si>
  <si>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</si>
  <si>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>кроме того, местный бюджет, за счёт остатков прошлых лет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</si>
  <si>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</si>
  <si>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</si>
  <si>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</si>
  <si>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</si>
  <si>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</si>
  <si>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</si>
  <si>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</si>
  <si>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</si>
  <si>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</si>
  <si>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 xml:space="preserve">сводно-аналитический отдел администрации города Урай, отдел по учету и отчетности администрации города Урай,  отдел опеки и попечительства администрации города Урай,
МКУ «УЖКХ города Урай»,  МКУ «УМТО города Урай»
</t>
  </si>
  <si>
    <t>сводно-аналитический отдел администрации города Урай, МКУ «УМТО города Урай», МКУ «ЕДДС города Урай», МКУ «УЖКХ города Урай», МКУ «УКС города Урай», МКУ «УГЗиП города Урай», отдел по учету и отчетности администрации города Урай, Управление образования и молодежной политики администрации города Урай</t>
  </si>
  <si>
    <t>комитет по управлению муниципальным имуществом администрации города Урай, МКУ «УКС города Урай», управление по учету и распределению муниципального жилого фонда администрации города Урай, МКУ «УГЗиП города Урай»</t>
  </si>
  <si>
    <t>сводно-аналитический отдел администрации города Урай, МАУ  МФЦ</t>
  </si>
  <si>
    <t>Управление образования и молодежной политики администрации города Урай</t>
  </si>
  <si>
    <t>правовое управление администрации города Урай</t>
  </si>
  <si>
    <t>местный бюджет, за счёт остатков прошлых лет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</si>
  <si>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</si>
  <si>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</si>
  <si>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</si>
  <si>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</si>
  <si>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</si>
  <si>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</si>
  <si>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</si>
  <si>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</si>
  <si>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</si>
  <si>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</si>
  <si>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</si>
  <si>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деятельности органов местного самоуправления (1)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</si>
  <si>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</si>
  <si>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</si>
  <si>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</si>
  <si>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</si>
  <si>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</si>
  <si>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</si>
  <si>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</si>
  <si>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</si>
  <si>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3.2.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</si>
  <si>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</si>
  <si>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</si>
  <si>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Содействие развитию управленческой культуры и повышению престижа муниципальной службы (11)</t>
  </si>
  <si>
    <t>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 (12)</t>
  </si>
  <si>
    <t>Инвестиции в объекты муниципальной собственности</t>
  </si>
  <si>
    <t>Прочие расходы</t>
  </si>
  <si>
    <t>Ответственный исполнитель - сводно-аналитический отдел администрации города Урай, отдел по учету и отчетности администрации города Урай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</si>
  <si>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</si>
  <si>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 Правовое управление администрации города Урай )</t>
  </si>
  <si>
    <t>Соисполнитель 3   (Управление образования и молодежной политики администрации города Урай)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</si>
  <si>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</si>
  <si>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</si>
  <si>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</si>
  <si>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управление по развитию местного самоуправления администрации города Урай</t>
  </si>
  <si>
    <t xml:space="preserve">управление по развитию местного самоуправления администрации города Урай,
сводно-аналитический отдел администрации города Урай, отдел по учету и отчетности администрации города Урай, Комитет по финансам администрации города Урай
</t>
  </si>
  <si>
    <t>В отчетном периоде ежегодный конкурс "Лучший работник органов местного самоуправления города Урай" не проводился</t>
  </si>
  <si>
    <t xml:space="preserve">В рамках реализации данного мероприятия в отчетном периоде между муниципальными учрежденями и Центром занятости заключены  договора «О совместной деятельности по организации временного трудоустройства граждан» и на организацию деятельности по вопросу трудоустройства несовершеннолетних.       </t>
  </si>
  <si>
    <r>
      <t xml:space="preserve">"______"_________________2020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</si>
  <si>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 xml:space="preserve">Неисполнение связано с временным ограничением на выезд муниципальных служащих в служебные командировки (курсы повышения квалификации), в связи с напряженной эпидемиологической обстановкой </t>
  </si>
  <si>
    <t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 Кроме этого, в связи с напряженной эпидемиологической обстановкой прием на работу курьеров закрыт</t>
  </si>
  <si>
    <t xml:space="preserve"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01.10. 2020 </t>
  </si>
  <si>
    <t>В отчетном периоде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Урай.  Обучено 70 муниципальный служащий администрации и органов администрации города Урай</t>
  </si>
  <si>
    <t xml:space="preserve">В отчетном периоде прошло  2 конкурса на включение в кадровый резерв. 17.03.2020 проведен конкурс на включение в кадровый резерв для замещения вакантных должностей МС в администрации города Урай. По результатам конкурса постановлением администрации города Урай от 19.03.2020 № 717  в кадровый резерв включен 1 человек для замещения вакантных должностей МС в администрации города Урай. 15.06.2020 проведен конкурс на включение в резерв управленческих кадров. По результатам конкурса постановлением администрации города Урай от 16.06.2020 № 1389  в кадровый резерв включен 1 человек                 </t>
  </si>
  <si>
    <t>Органами администрации оказываются 46 муниципальных  услуг, 11 услуг, предоставляемых муниципальными учреждениями и 13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управление экономического развития, отдел опеки и попечительства,  управление по учету и распределению муниципального жилого фонда, ЗАГС).
За 9 месяцев 2020 года всего оказано услуг – 41 443, из них: 
муниципальных услуг – 1 371,
услуг учреждений – 37 721, государственных услуг – 2 351.
За  9 месяцев 2020 года всего оказано услуг в электронном виде  35 904 (86,63%),                                         в том числе:
оказанных ОМСУ   в электронном виде - 263, что составляет 19,18%,
оказанных учреждениями – 35 037,  что составляет 92,88%, по переданным государственным полномочиям - 604,  что составляет 25,69%.</t>
  </si>
  <si>
    <t xml:space="preserve">В соответствии с Федеральным законом от 27.07.2010 №210-ФЗ «Об организации предоставления государственных и муниципальных услуг» в рамках договоров о взаимодействии через  МФЦ предоставляются 254 услуг, в том числе 69 федеральных, 119 региональных, 18 прочих,  48 муниципальных.
На 01.10.2020 в рамках муниципального задания МАУ «МФЦ» оказано 39 979 услуг, в том числе:
- федеральных 31 976 услуг;
- региональных 7 084 услуги;
- прочих 142 услуга;
- муниципальных 763 услуг;                                                                                                                                  - гос.услуги по переданным полномочиям (ЗАГС) – 14 услуги.                         
Кроме того:
1) оказано 124 услуг консультационного характера, в том числе:
- федеральных 57 услуг;
- региональных 60 услуг;
- муниципальных 7 услуг.
2) по заявлению заявителя регистрация на Госпортале (консультация, регистрация, восстановление доступа, подтверждение личности) - 2 844 услуги.
</t>
  </si>
  <si>
    <t xml:space="preserve">За 9 месяцев 2020 года в службу по защите прав потребителей поступило 164 обращения (45 обратившихся лично и 119 - по телефону).  Большая часть обращений граждан  в службу происходит по вопросам  торговли (всего 121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42 обращения, далее электробытовые машины и приборы – 16 обращений, компьютерная техника - 8 обращений, автомобили и запасные части к ним – 4 обращений, бытовая радиоэлектронная аппаратура – 15 обращений, качество обуви – 16 обращений, одежды – 2 обращения, мебель и мебельные гарнитуры – 2 обращения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(14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
 За отчетный период 2020 года составлено и направлено в суд 4 исковых заявления от имени потребителей.Сумма исковых требований потребителей - 790 тысяч рублей. 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 (1 публикация).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9 материалов
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</si>
  <si>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45 пенсионерам</t>
  </si>
  <si>
    <t>В отчетном периоде в действующие муниципальные нормативные правовые акты администрации города Урай внесено 237 изменений и дополнений, принято 55 новых муниципальных нормативных правовых актов администрации города Урай, 13 муниципальных нормативных правовых актов администрации города Урай о признании утратившим силу ранее принятого акта, 20 муниципальных нормативных правовых актов администрации города Урай взамен отмененных.
За 9 месяцев 2020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подготовлено 460 материала. Официальная информация о ходе социально-экономических преобразований и политических событий в городе Урай размещается в газете «Знамя».  За 9 месяцев 2020 года в печатной газете «Знамя» было опубликовано 305 материалов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муниципалитете. В разделе «Новости» на официальном сайте органов местного самоуправления за 9 месяцев 2020 года размещено 679 пресс-релиза. Продолжено активное ведение официальных страниц муниципалитета в социальных сетях (количество подписчиков в "ВКонтакте" - 4 951, в "Одноклассники" - 6 000, в Instagram - 4500.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65 организациях муниципального образования город Урай. Общая численность работников организаций предоставивших информацию составила 10 221 человек. Подготовлено 13 правовых актов по охране труда, разработано 11 методических пособий по охране труда.  Организовано и проведено 4 городских семинаров по охране труда. Организовано 1 заседание Межведомственной комиссии по охране труда города Урай, на котором рассмотрено 2 вопроса. Принято участие в расследовании 2 несчастных случаев связанных с производством и в 3 несчастных случаев не связанных с производством. На сайте органов местного самоуправления города Урай опубликовано 47 информационных, справочных материалов. Рассмотрено 49 устных обращений. Распространено 513 экземпляра справочной литературы.
Отделом ЗАГС зарегистрировано 1 051 записи актов гражданского состояния, из них 359 о рождении, 181 о заключении брака, 289 о смерти, 144 о расторжении брака, 61 об установлении отцовства, 14 о перемене имени и 3 записей об усыновлении. Рассмотрено 1176  заявления на государственную регистрацию актов гражданского состояния. Оказано населению 1968  государственных  услуг, из них в электронном виде 598. Рассмотрено 41 заявление по внесению исправлений,  изменений в записи актов гражданского состояния.  Оформлено 19 дел по внесению исправлений, изменений, дополнений. Проставлено 1948 отметок в записи актов гражданского состояния. Рассмотрено обращений граждан об истребовании документов о государственной регистрации актов гражданского состояния с территорий иностранных государств- 11. Подготовлены к переплету за 2020 год: проверены,  пронумерованы 11 книг регистрации актов гражданского состояния.  Оформлено в соответствии с номенклатурой  58 дел временного срока хранения. С 1 января 2020 года по решению Правительства Югры каждой югорской семье, в которой родится ребенок и будет зарегистрирован на территории  округа в органах ЗАГС вручается подарок «Расту в Югре». 03 января 2020 года в отделе ЗАГС нашего города был зарегистрирован первый новорожденный малыш, рожденный в 2020 году.  Главе семьи был  торжественно вручен подарок «Расту в Югре» - мультиконтектная пластиковая карта номиналом в 20000 рублей, упакованная в шкатулку. В отчетном периоде  2020 г. в отделе ЗАГС администрации города Урай  проведено чествование   семейной  пары, проживших в браке 50 лет : 20 марта « Вместе и навсегда». 25 марта проведена торжественная регистрация Имя наречения - регистрация рождения 100 ребенка. Учитывая неблагоприятную обстановку, связанную с распространение  коронавирусной инфекции были введены ограничительные меры: предложено лицам, желающим произвести государственную регистрацию заключения  брака в торжественной обстановке, перенести ее на более поздний срок,  а в  случае отказа ограничивалось количество участников мероприятия  (не более 10 человек, включая сотрудников   органа ЗАГС).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произведены выплаты 18 Почетным гражданам города.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1157 архивных справок на социально-правовые, тематические запросы; поступило в службу 1292 запроса; изготовлено 99 копий с архивных документов.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
 Произведены ежемесячные выплаты вознаграждения 113 приемным родителям  за воспитание ребенка.</t>
  </si>
  <si>
    <t>Низкий процент исполнения связан с наличием больничных листов; с временным ограничением на выезд работников в служебные командировки, льготные отпуска, отпуска к месту лечения в связи с напряженной эпидемиологической обстановкой; с несвоевременностью представления исполнителями работ (поставщиками, подрядчиками) документов для расчетов; временным приостановлением обучения граждан, организацией предоставляющей услуги по подготовке лиц, желающих принять на воспитание  в свою семью ребенка, оставшегося без попечения родителей, вызванного напряженной эпидемиологической обстановкой;   оплатой услуг по фактически произведенным затратам.</t>
  </si>
  <si>
    <t xml:space="preserve"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 
В рамках данной деятельности за 9 месяцев 2020 год заключены муниципальные контракты и договора в количестве 87 штук, в том числе: на содержание объектов муниципальной казны (содержание нежилых помещений в многоквартирных домах, приобретение стройительных и хозяйственных материалов, поставка огнетушителей, оказание услуг связи и т.д.) – 60 муниципальных контрактов и договоров; на содержание и ремонт транспортных средств (ремонт, техническое обслуживание, приобретение запасных частей, горюче-смазочных материалов) – 27 муниципальных контрактов и договоро . Организована бесперебойная работа всех служб учреждения для поддержания хозяйственно-технической деятельности. </t>
  </si>
  <si>
    <t xml:space="preserve">Отклонение исполнения от плановых назначений связано с напряженной эпидемиологической обстановкой (отмена командировок, льготных отпусков, санаторно-курортного лечения, экономия ГСМ), с наличием вакансий, с длительными листками нетрудоспособности,  оплатой услуг по фактически произведенным затратам, переносом сроков проведения медицинского осмотра, а также длительностью проведения конкурсных процедур по закупке ТМЦ
</t>
  </si>
  <si>
    <t>Финансирование мероприятия осуществляется по фактически произведенным затратам, а также  наличием экономии средств, сложившейся в результате проведения конкурсных процедур на выполнение кадастровых работ и страхование муниципального имущества</t>
  </si>
  <si>
    <t xml:space="preserve">За отчетный период комитетом по управлению муниципальным имуществом администрации города Урай зарегистрировано 34 объекта недвижимости, из них: 1) 17 объектов -старые инженерные сети; 2) 4 объекта - вновь построенные инженерные сети по ул.Ленина 104; 3) 1 объект - бесхозный газопровод; 4) 8 объектов - сети крытого катка и сети по ул.Ленина 96; 5) 1 объект - здание крытого катка; 6) 1 объект - старая сеть водоснабжения; 7) 1 объект - безхозные сети водоснабжения по ул.Нагорной.                                                                                                                                                                        За 9 месяцев 2020 года года в хозяйственный оборот вовлечено 32 земельных участков: 1) земельные участки переданные в аренду  МКУ "Управление градостроительства, землепользования и природопользования города Урай" (15 земельных участка); 2) с аукциона на право заключения договора аренды передано 3 земельных участка; 3) реализовано 14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</si>
</sst>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164" fontId="13" fillId="0" borderId="0" applyFont="0" applyFill="0" applyBorder="0" applyAlignment="0" applyProtection="0"/>
    <xf numFmtId="0" fontId="31" fillId="0" borderId="0"/>
  </cellStyleXfs>
  <cellXfs count="505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7" fontId="19" fillId="4" borderId="1" xfId="2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167" fontId="21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 wrapText="1"/>
      <protection locked="0"/>
    </xf>
    <xf numFmtId="165" fontId="2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16" fillId="0" borderId="0" xfId="2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165" fontId="19" fillId="5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ill="1"/>
    <xf numFmtId="167" fontId="19" fillId="5" borderId="1" xfId="2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7" fontId="24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0" xfId="0" applyFont="1"/>
    <xf numFmtId="167" fontId="19" fillId="5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65" fontId="19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right" vertical="center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readingOrder="1"/>
    </xf>
    <xf numFmtId="0" fontId="26" fillId="0" borderId="0" xfId="0" applyFont="1" applyAlignment="1"/>
    <xf numFmtId="165" fontId="3" fillId="0" borderId="7" xfId="0" applyNumberFormat="1" applyFont="1" applyFill="1" applyBorder="1" applyAlignment="1">
      <alignment horizontal="left" vertical="center" wrapText="1"/>
    </xf>
    <xf numFmtId="167" fontId="21" fillId="5" borderId="1" xfId="2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" fontId="19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167" fontId="1" fillId="0" borderId="14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1" fillId="0" borderId="1" xfId="2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left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wrapText="1"/>
    </xf>
    <xf numFmtId="165" fontId="21" fillId="5" borderId="1" xfId="0" applyNumberFormat="1" applyFont="1" applyFill="1" applyBorder="1" applyAlignment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6" fontId="19" fillId="5" borderId="1" xfId="2" applyNumberFormat="1" applyFont="1" applyFill="1" applyBorder="1" applyAlignment="1">
      <alignment horizontal="center" vertical="center" wrapText="1"/>
    </xf>
    <xf numFmtId="4" fontId="19" fillId="5" borderId="1" xfId="2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165" fontId="32" fillId="5" borderId="1" xfId="0" applyNumberFormat="1" applyFont="1" applyFill="1" applyBorder="1" applyAlignment="1">
      <alignment horizontal="left" vertical="center" wrapText="1"/>
    </xf>
    <xf numFmtId="0" fontId="20" fillId="5" borderId="0" xfId="0" applyFont="1" applyFill="1" applyAlignment="1">
      <alignment vertical="center"/>
    </xf>
    <xf numFmtId="165" fontId="21" fillId="5" borderId="1" xfId="2" applyNumberFormat="1" applyFont="1" applyFill="1" applyBorder="1" applyAlignment="1">
      <alignment horizontal="center" vertical="center" wrapText="1"/>
    </xf>
    <xf numFmtId="167" fontId="21" fillId="5" borderId="4" xfId="2" applyNumberFormat="1" applyFont="1" applyFill="1" applyBorder="1" applyAlignment="1">
      <alignment horizontal="center" vertical="center" wrapText="1"/>
    </xf>
    <xf numFmtId="167" fontId="19" fillId="5" borderId="4" xfId="2" applyNumberFormat="1" applyFont="1" applyFill="1" applyBorder="1" applyAlignment="1">
      <alignment horizontal="center" vertical="center" wrapText="1"/>
    </xf>
    <xf numFmtId="167" fontId="32" fillId="5" borderId="1" xfId="2" applyNumberFormat="1" applyFont="1" applyFill="1" applyBorder="1" applyAlignment="1">
      <alignment horizontal="center" vertical="center" wrapText="1"/>
    </xf>
    <xf numFmtId="165" fontId="32" fillId="5" borderId="1" xfId="2" applyNumberFormat="1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vertical="center"/>
    </xf>
    <xf numFmtId="167" fontId="3" fillId="5" borderId="0" xfId="0" applyNumberFormat="1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0" fontId="20" fillId="5" borderId="0" xfId="0" applyFont="1" applyFill="1" applyBorder="1" applyAlignment="1">
      <alignment vertical="center"/>
    </xf>
    <xf numFmtId="167" fontId="3" fillId="5" borderId="1" xfId="0" applyNumberFormat="1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vertical="center" wrapText="1"/>
    </xf>
    <xf numFmtId="167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166" fontId="3" fillId="5" borderId="0" xfId="0" applyNumberFormat="1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Border="1"/>
    <xf numFmtId="0" fontId="6" fillId="5" borderId="0" xfId="0" applyFont="1" applyFill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21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34" fillId="5" borderId="0" xfId="0" applyFont="1" applyFill="1"/>
    <xf numFmtId="0" fontId="34" fillId="5" borderId="0" xfId="0" applyFont="1" applyFill="1" applyBorder="1"/>
    <xf numFmtId="0" fontId="3" fillId="5" borderId="0" xfId="0" applyFont="1" applyFill="1"/>
    <xf numFmtId="0" fontId="20" fillId="5" borderId="0" xfId="0" applyFont="1" applyFill="1" applyAlignment="1"/>
    <xf numFmtId="0" fontId="20" fillId="5" borderId="0" xfId="0" applyFont="1" applyFill="1" applyAlignment="1">
      <alignment horizontal="left" readingOrder="1"/>
    </xf>
    <xf numFmtId="0" fontId="3" fillId="5" borderId="0" xfId="0" applyFont="1" applyFill="1" applyAlignment="1">
      <alignment horizontal="left" readingOrder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5" fontId="1" fillId="4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14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7" fontId="3" fillId="5" borderId="10" xfId="0" applyNumberFormat="1" applyFont="1" applyFill="1" applyBorder="1" applyAlignment="1">
      <alignment horizontal="center" vertical="center"/>
    </xf>
    <xf numFmtId="167" fontId="3" fillId="5" borderId="8" xfId="0" applyNumberFormat="1" applyFont="1" applyFill="1" applyBorder="1" applyAlignment="1">
      <alignment horizontal="center" vertical="center"/>
    </xf>
    <xf numFmtId="167" fontId="3" fillId="5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 applyProtection="1">
      <alignment horizontal="left" vertical="center" wrapText="1"/>
      <protection locked="0"/>
    </xf>
    <xf numFmtId="0" fontId="22" fillId="5" borderId="8" xfId="0" applyFont="1" applyFill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0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left" vertical="center" wrapText="1"/>
    </xf>
    <xf numFmtId="165" fontId="20" fillId="0" borderId="5" xfId="0" applyNumberFormat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  <protection locked="0"/>
    </xf>
    <xf numFmtId="0" fontId="28" fillId="4" borderId="12" xfId="0" applyFont="1" applyFill="1" applyBorder="1" applyAlignment="1" applyProtection="1">
      <alignment horizontal="left" vertical="center" wrapText="1"/>
      <protection locked="0"/>
    </xf>
    <xf numFmtId="0" fontId="28" fillId="4" borderId="13" xfId="0" applyFont="1" applyFill="1" applyBorder="1" applyAlignment="1" applyProtection="1">
      <alignment horizontal="left" vertical="center" wrapText="1"/>
      <protection locked="0"/>
    </xf>
    <xf numFmtId="0" fontId="28" fillId="4" borderId="9" xfId="0" applyFont="1" applyFill="1" applyBorder="1" applyAlignment="1" applyProtection="1">
      <alignment horizontal="left"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8" fillId="4" borderId="14" xfId="0" applyFont="1" applyFill="1" applyBorder="1" applyAlignment="1" applyProtection="1">
      <alignment horizontal="left" vertical="center" wrapText="1"/>
      <protection locked="0"/>
    </xf>
    <xf numFmtId="0" fontId="28" fillId="4" borderId="15" xfId="0" applyFont="1" applyFill="1" applyBorder="1" applyAlignment="1" applyProtection="1">
      <alignment horizontal="left" vertical="center" wrapText="1"/>
      <protection locked="0"/>
    </xf>
    <xf numFmtId="0" fontId="28" fillId="4" borderId="7" xfId="0" applyFont="1" applyFill="1" applyBorder="1" applyAlignment="1" applyProtection="1">
      <alignment horizontal="left" vertical="center" wrapText="1"/>
      <protection locked="0"/>
    </xf>
    <xf numFmtId="0" fontId="28" fillId="4" borderId="3" xfId="0" applyFont="1" applyFill="1" applyBorder="1" applyAlignment="1" applyProtection="1">
      <alignment horizontal="left" vertical="center" wrapText="1"/>
      <protection locked="0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21" fillId="4" borderId="11" xfId="0" applyNumberFormat="1" applyFont="1" applyFill="1" applyBorder="1" applyAlignment="1">
      <alignment horizontal="left" vertical="center" wrapText="1"/>
    </xf>
    <xf numFmtId="165" fontId="21" fillId="4" borderId="12" xfId="0" applyNumberFormat="1" applyFont="1" applyFill="1" applyBorder="1" applyAlignment="1">
      <alignment horizontal="left" vertical="center" wrapText="1"/>
    </xf>
    <xf numFmtId="165" fontId="21" fillId="4" borderId="13" xfId="0" applyNumberFormat="1" applyFont="1" applyFill="1" applyBorder="1" applyAlignment="1">
      <alignment horizontal="left" vertical="center" wrapText="1"/>
    </xf>
    <xf numFmtId="165" fontId="21" fillId="4" borderId="9" xfId="0" applyNumberFormat="1" applyFont="1" applyFill="1" applyBorder="1" applyAlignment="1">
      <alignment horizontal="left" vertical="center" wrapText="1"/>
    </xf>
    <xf numFmtId="165" fontId="21" fillId="4" borderId="0" xfId="0" applyNumberFormat="1" applyFont="1" applyFill="1" applyBorder="1" applyAlignment="1">
      <alignment horizontal="left" vertical="center" wrapText="1"/>
    </xf>
    <xf numFmtId="165" fontId="21" fillId="4" borderId="14" xfId="0" applyNumberFormat="1" applyFont="1" applyFill="1" applyBorder="1" applyAlignment="1">
      <alignment horizontal="left" vertical="center" wrapText="1"/>
    </xf>
    <xf numFmtId="165" fontId="21" fillId="4" borderId="15" xfId="0" applyNumberFormat="1" applyFont="1" applyFill="1" applyBorder="1" applyAlignment="1">
      <alignment horizontal="left" vertical="center" wrapText="1"/>
    </xf>
    <xf numFmtId="165" fontId="21" fillId="4" borderId="7" xfId="0" applyNumberFormat="1" applyFont="1" applyFill="1" applyBorder="1" applyAlignment="1">
      <alignment horizontal="left" vertical="center" wrapText="1"/>
    </xf>
    <xf numFmtId="165" fontId="21" fillId="4" borderId="3" xfId="0" applyNumberFormat="1" applyFont="1" applyFill="1" applyBorder="1" applyAlignment="1">
      <alignment horizontal="left" vertical="center" wrapText="1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7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4" borderId="2" xfId="0" applyNumberFormat="1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left" vertical="center" wrapText="1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165" fontId="1" fillId="5" borderId="1" xfId="0" applyNumberFormat="1" applyFont="1" applyFill="1" applyBorder="1" applyAlignment="1">
      <alignment horizontal="center" vertical="center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165" fontId="3" fillId="5" borderId="14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165" fontId="19" fillId="5" borderId="10" xfId="0" applyNumberFormat="1" applyFont="1" applyFill="1" applyBorder="1" applyAlignment="1">
      <alignment horizontal="center" vertical="center" wrapText="1"/>
    </xf>
    <xf numFmtId="165" fontId="19" fillId="5" borderId="8" xfId="0" applyNumberFormat="1" applyFont="1" applyFill="1" applyBorder="1" applyAlignment="1">
      <alignment horizontal="center" vertical="center" wrapText="1"/>
    </xf>
    <xf numFmtId="165" fontId="19" fillId="5" borderId="6" xfId="0" applyNumberFormat="1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165" fontId="21" fillId="5" borderId="10" xfId="0" applyNumberFormat="1" applyFont="1" applyFill="1" applyBorder="1" applyAlignment="1">
      <alignment horizontal="center" vertical="center" wrapText="1"/>
    </xf>
    <xf numFmtId="165" fontId="21" fillId="5" borderId="8" xfId="0" applyNumberFormat="1" applyFont="1" applyFill="1" applyBorder="1" applyAlignment="1">
      <alignment horizontal="center" vertical="center" wrapText="1"/>
    </xf>
    <xf numFmtId="165" fontId="21" fillId="5" borderId="6" xfId="0" applyNumberFormat="1" applyFont="1" applyFill="1" applyBorder="1" applyAlignment="1">
      <alignment horizontal="center" vertical="center" wrapText="1"/>
    </xf>
    <xf numFmtId="165" fontId="21" fillId="5" borderId="11" xfId="0" applyNumberFormat="1" applyFont="1" applyFill="1" applyBorder="1" applyAlignment="1">
      <alignment horizontal="center" vertical="center" wrapText="1"/>
    </xf>
    <xf numFmtId="165" fontId="21" fillId="5" borderId="13" xfId="0" applyNumberFormat="1" applyFont="1" applyFill="1" applyBorder="1" applyAlignment="1">
      <alignment horizontal="center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165" fontId="21" fillId="5" borderId="14" xfId="0" applyNumberFormat="1" applyFont="1" applyFill="1" applyBorder="1" applyAlignment="1">
      <alignment horizontal="center" vertical="center" wrapText="1"/>
    </xf>
    <xf numFmtId="165" fontId="21" fillId="5" borderId="15" xfId="0" applyNumberFormat="1" applyFont="1" applyFill="1" applyBorder="1" applyAlignment="1">
      <alignment horizontal="center" vertical="center" wrapText="1"/>
    </xf>
    <xf numFmtId="165" fontId="21" fillId="5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6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 applyProtection="1">
      <alignment horizontal="left" vertical="center" wrapText="1"/>
      <protection locked="0"/>
    </xf>
    <xf numFmtId="0" fontId="19" fillId="5" borderId="8" xfId="0" applyFont="1" applyFill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 applyProtection="1">
      <alignment horizontal="left" vertical="center" wrapText="1"/>
      <protection locked="0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8" xfId="0" applyFont="1" applyFill="1" applyBorder="1" applyAlignment="1" applyProtection="1">
      <alignment horizontal="center" vertical="center" wrapText="1"/>
      <protection locked="0"/>
    </xf>
    <xf numFmtId="0" fontId="19" fillId="5" borderId="6" xfId="0" applyFont="1" applyFill="1" applyBorder="1" applyAlignment="1" applyProtection="1">
      <alignment horizontal="center" vertical="center" wrapText="1"/>
      <protection locked="0"/>
    </xf>
    <xf numFmtId="49" fontId="2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  <protection locked="0"/>
    </xf>
    <xf numFmtId="0" fontId="21" fillId="5" borderId="13" xfId="0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  <protection locked="0"/>
    </xf>
    <xf numFmtId="0" fontId="21" fillId="5" borderId="14" xfId="0" applyFont="1" applyFill="1" applyBorder="1" applyAlignment="1" applyProtection="1">
      <alignment horizontal="center" vertical="center" wrapText="1"/>
      <protection locked="0"/>
    </xf>
    <xf numFmtId="0" fontId="21" fillId="5" borderId="15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167" fontId="3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>
      <alignment horizontal="center"/>
    </xf>
    <xf numFmtId="0" fontId="20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58150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1757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87</xdr:row>
      <xdr:rowOff>19050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45653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57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33575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4357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4511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47310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48853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50853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52701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54244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55787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57330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590645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57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21212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9841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31384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33575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5118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7118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8966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40509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42052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43595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64" t="s">
        <v>40</v>
      </c>
      <c r="B1" s="265"/>
      <c r="C1" s="266" t="s">
        <v>41</v>
      </c>
      <c r="D1" s="267" t="s">
        <v>45</v>
      </c>
      <c r="E1" s="268"/>
      <c r="F1" s="269"/>
      <c r="G1" s="267" t="s">
        <v>18</v>
      </c>
      <c r="H1" s="268"/>
      <c r="I1" s="269"/>
      <c r="J1" s="267" t="s">
        <v>19</v>
      </c>
      <c r="K1" s="268"/>
      <c r="L1" s="269"/>
      <c r="M1" s="267" t="s">
        <v>23</v>
      </c>
      <c r="N1" s="268"/>
      <c r="O1" s="269"/>
      <c r="P1" s="270" t="s">
        <v>24</v>
      </c>
      <c r="Q1" s="271"/>
      <c r="R1" s="267" t="s">
        <v>25</v>
      </c>
      <c r="S1" s="268"/>
      <c r="T1" s="269"/>
      <c r="U1" s="267" t="s">
        <v>26</v>
      </c>
      <c r="V1" s="268"/>
      <c r="W1" s="269"/>
      <c r="X1" s="270" t="s">
        <v>27</v>
      </c>
      <c r="Y1" s="272"/>
      <c r="Z1" s="271"/>
      <c r="AA1" s="270" t="s">
        <v>28</v>
      </c>
      <c r="AB1" s="271"/>
      <c r="AC1" s="267" t="s">
        <v>29</v>
      </c>
      <c r="AD1" s="268"/>
      <c r="AE1" s="269"/>
      <c r="AF1" s="267" t="s">
        <v>30</v>
      </c>
      <c r="AG1" s="268"/>
      <c r="AH1" s="269"/>
      <c r="AI1" s="267" t="s">
        <v>31</v>
      </c>
      <c r="AJ1" s="268"/>
      <c r="AK1" s="269"/>
      <c r="AL1" s="270" t="s">
        <v>32</v>
      </c>
      <c r="AM1" s="271"/>
      <c r="AN1" s="267" t="s">
        <v>33</v>
      </c>
      <c r="AO1" s="268"/>
      <c r="AP1" s="269"/>
      <c r="AQ1" s="267" t="s">
        <v>34</v>
      </c>
      <c r="AR1" s="268"/>
      <c r="AS1" s="269"/>
      <c r="AT1" s="267" t="s">
        <v>35</v>
      </c>
      <c r="AU1" s="268"/>
      <c r="AV1" s="269"/>
    </row>
    <row r="2" spans="1:48" ht="39" customHeight="1">
      <c r="A2" s="265"/>
      <c r="B2" s="265"/>
      <c r="C2" s="266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66" t="s">
        <v>83</v>
      </c>
      <c r="B3" s="266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66"/>
      <c r="B4" s="266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6"/>
      <c r="B5" s="266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66"/>
      <c r="B6" s="266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6"/>
      <c r="B7" s="26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66"/>
      <c r="B8" s="266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66"/>
      <c r="B9" s="26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74" t="s">
        <v>58</v>
      </c>
      <c r="B1" s="274"/>
      <c r="C1" s="274"/>
      <c r="D1" s="274"/>
      <c r="E1" s="274"/>
    </row>
    <row r="2" spans="1:5">
      <c r="A2" s="12"/>
      <c r="B2" s="12"/>
      <c r="C2" s="12"/>
      <c r="D2" s="12"/>
      <c r="E2" s="12"/>
    </row>
    <row r="3" spans="1:5">
      <c r="A3" s="275" t="s">
        <v>130</v>
      </c>
      <c r="B3" s="275"/>
      <c r="C3" s="275"/>
      <c r="D3" s="275"/>
      <c r="E3" s="27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3" t="s">
        <v>79</v>
      </c>
      <c r="B26" s="273"/>
      <c r="C26" s="273"/>
      <c r="D26" s="273"/>
      <c r="E26" s="273"/>
    </row>
    <row r="27" spans="1:5">
      <c r="A27" s="28"/>
      <c r="B27" s="28"/>
      <c r="C27" s="28"/>
      <c r="D27" s="28"/>
      <c r="E27" s="28"/>
    </row>
    <row r="28" spans="1:5">
      <c r="A28" s="273" t="s">
        <v>80</v>
      </c>
      <c r="B28" s="273"/>
      <c r="C28" s="273"/>
      <c r="D28" s="273"/>
      <c r="E28" s="273"/>
    </row>
    <row r="29" spans="1:5">
      <c r="A29" s="273"/>
      <c r="B29" s="273"/>
      <c r="C29" s="273"/>
      <c r="D29" s="273"/>
      <c r="E29" s="273"/>
    </row>
  </sheetData>
  <mergeCells count="5">
    <mergeCell ref="A29:E29"/>
    <mergeCell ref="A1:E1"/>
    <mergeCell ref="A3:E3"/>
    <mergeCell ref="A26:E26"/>
    <mergeCell ref="A28:E28"/>
  </mergeCells>
  <phoneticPr fontId="17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8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0" t="s">
        <v>0</v>
      </c>
      <c r="B3" s="288" t="s">
        <v>46</v>
      </c>
      <c r="C3" s="288"/>
      <c r="D3" s="40" t="s">
        <v>18</v>
      </c>
      <c r="E3" s="52" t="s">
        <v>19</v>
      </c>
      <c r="F3" s="40" t="s">
        <v>23</v>
      </c>
      <c r="G3" s="52" t="s">
        <v>25</v>
      </c>
      <c r="H3" s="40" t="s">
        <v>26</v>
      </c>
      <c r="I3" s="52" t="s">
        <v>27</v>
      </c>
      <c r="J3" s="40" t="s">
        <v>29</v>
      </c>
      <c r="K3" s="52" t="s">
        <v>30</v>
      </c>
      <c r="L3" s="40" t="s">
        <v>31</v>
      </c>
      <c r="M3" s="52" t="s">
        <v>33</v>
      </c>
      <c r="N3" s="40" t="s">
        <v>34</v>
      </c>
      <c r="O3" s="52" t="s">
        <v>35</v>
      </c>
      <c r="P3" s="40" t="s">
        <v>81</v>
      </c>
      <c r="Q3" s="40" t="s">
        <v>50</v>
      </c>
      <c r="R3" s="39" t="s">
        <v>18</v>
      </c>
      <c r="S3" s="33" t="s">
        <v>19</v>
      </c>
      <c r="T3" s="39" t="s">
        <v>23</v>
      </c>
      <c r="U3" s="33" t="s">
        <v>25</v>
      </c>
      <c r="V3" s="39" t="s">
        <v>26</v>
      </c>
      <c r="W3" s="33" t="s">
        <v>27</v>
      </c>
      <c r="X3" s="39" t="s">
        <v>29</v>
      </c>
      <c r="Y3" s="33" t="s">
        <v>30</v>
      </c>
      <c r="Z3" s="39" t="s">
        <v>31</v>
      </c>
      <c r="AA3" s="33" t="s">
        <v>33</v>
      </c>
      <c r="AB3" s="39" t="s">
        <v>34</v>
      </c>
      <c r="AC3" s="33" t="s">
        <v>35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289" t="s">
        <v>2</v>
      </c>
      <c r="B5" s="282" t="s">
        <v>85</v>
      </c>
      <c r="C5" s="57" t="s">
        <v>21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289"/>
      <c r="B6" s="282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289"/>
      <c r="B7" s="282"/>
      <c r="C7" s="57" t="s">
        <v>22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289" t="s">
        <v>4</v>
      </c>
      <c r="B8" s="282" t="s">
        <v>86</v>
      </c>
      <c r="C8" s="57" t="s">
        <v>21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276" t="s">
        <v>205</v>
      </c>
      <c r="N8" s="277"/>
      <c r="O8" s="278"/>
      <c r="P8" s="60"/>
      <c r="Q8" s="60"/>
    </row>
    <row r="9" spans="1:256" ht="33.75" customHeight="1">
      <c r="A9" s="289"/>
      <c r="B9" s="282"/>
      <c r="C9" s="57" t="s">
        <v>22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289" t="s">
        <v>5</v>
      </c>
      <c r="B10" s="282" t="s">
        <v>87</v>
      </c>
      <c r="C10" s="57" t="s">
        <v>21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289"/>
      <c r="B11" s="282"/>
      <c r="C11" s="57" t="s">
        <v>22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289" t="s">
        <v>6</v>
      </c>
      <c r="B12" s="282" t="s">
        <v>228</v>
      </c>
      <c r="C12" s="57" t="s">
        <v>21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289"/>
      <c r="B13" s="282"/>
      <c r="C13" s="57" t="s">
        <v>22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289" t="s">
        <v>10</v>
      </c>
      <c r="B14" s="282" t="s">
        <v>88</v>
      </c>
      <c r="C14" s="57" t="s">
        <v>21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289"/>
      <c r="B15" s="282"/>
      <c r="C15" s="57" t="s">
        <v>22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5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295"/>
      <c r="AJ16" s="295"/>
      <c r="AK16" s="295"/>
      <c r="AZ16" s="295"/>
      <c r="BA16" s="295"/>
      <c r="BB16" s="295"/>
      <c r="BQ16" s="295"/>
      <c r="BR16" s="295"/>
      <c r="BS16" s="295"/>
      <c r="CH16" s="295"/>
      <c r="CI16" s="295"/>
      <c r="CJ16" s="295"/>
      <c r="CY16" s="295"/>
      <c r="CZ16" s="295"/>
      <c r="DA16" s="295"/>
      <c r="DP16" s="295"/>
      <c r="DQ16" s="295"/>
      <c r="DR16" s="295"/>
      <c r="EG16" s="295"/>
      <c r="EH16" s="295"/>
      <c r="EI16" s="295"/>
      <c r="EX16" s="295"/>
      <c r="EY16" s="295"/>
      <c r="EZ16" s="295"/>
      <c r="FO16" s="295"/>
      <c r="FP16" s="295"/>
      <c r="FQ16" s="295"/>
      <c r="GF16" s="295"/>
      <c r="GG16" s="295"/>
      <c r="GH16" s="295"/>
      <c r="GW16" s="295"/>
      <c r="GX16" s="295"/>
      <c r="GY16" s="295"/>
      <c r="HN16" s="295"/>
      <c r="HO16" s="295"/>
      <c r="HP16" s="295"/>
      <c r="IE16" s="295"/>
      <c r="IF16" s="295"/>
      <c r="IG16" s="295"/>
      <c r="IV16" s="295"/>
    </row>
    <row r="17" spans="1:17" ht="320.25" customHeight="1">
      <c r="A17" s="289" t="s">
        <v>7</v>
      </c>
      <c r="B17" s="282" t="s">
        <v>90</v>
      </c>
      <c r="C17" s="57" t="s">
        <v>21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289"/>
      <c r="B18" s="282"/>
      <c r="C18" s="57" t="s">
        <v>22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289" t="s">
        <v>8</v>
      </c>
      <c r="B19" s="282" t="s">
        <v>226</v>
      </c>
      <c r="C19" s="57" t="s">
        <v>21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289"/>
      <c r="B20" s="282"/>
      <c r="C20" s="57" t="s">
        <v>22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289" t="s">
        <v>9</v>
      </c>
      <c r="B21" s="282" t="s">
        <v>229</v>
      </c>
      <c r="C21" s="57" t="s">
        <v>21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289"/>
      <c r="B22" s="282"/>
      <c r="C22" s="57" t="s">
        <v>22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279" t="s">
        <v>15</v>
      </c>
      <c r="B23" s="296" t="s">
        <v>230</v>
      </c>
      <c r="C23" s="72" t="s">
        <v>21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281"/>
      <c r="B24" s="296"/>
      <c r="C24" s="72" t="s">
        <v>22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292" t="s">
        <v>16</v>
      </c>
      <c r="B25" s="296" t="s">
        <v>231</v>
      </c>
      <c r="C25" s="72" t="s">
        <v>21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292"/>
      <c r="B26" s="296"/>
      <c r="C26" s="72" t="s">
        <v>22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5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17</v>
      </c>
      <c r="B28" s="58" t="s">
        <v>232</v>
      </c>
      <c r="C28" s="57" t="s">
        <v>21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22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6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289" t="s">
        <v>94</v>
      </c>
      <c r="B31" s="282" t="s">
        <v>93</v>
      </c>
      <c r="C31" s="57" t="s">
        <v>21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289"/>
      <c r="B32" s="282"/>
      <c r="C32" s="57" t="s">
        <v>22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5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289" t="s">
        <v>96</v>
      </c>
      <c r="B34" s="282" t="s">
        <v>97</v>
      </c>
      <c r="C34" s="57" t="s">
        <v>21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289"/>
      <c r="B35" s="282"/>
      <c r="C35" s="57" t="s">
        <v>22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293" t="s">
        <v>98</v>
      </c>
      <c r="B36" s="283" t="s">
        <v>129</v>
      </c>
      <c r="C36" s="57" t="s">
        <v>21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294"/>
      <c r="B37" s="284"/>
      <c r="C37" s="57" t="s">
        <v>22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7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289" t="s">
        <v>100</v>
      </c>
      <c r="B39" s="282" t="s">
        <v>227</v>
      </c>
      <c r="C39" s="57" t="s">
        <v>21</v>
      </c>
      <c r="D39" s="96"/>
      <c r="E39" s="96" t="s">
        <v>246</v>
      </c>
      <c r="F39" s="96" t="s">
        <v>245</v>
      </c>
      <c r="G39" s="96" t="s">
        <v>234</v>
      </c>
      <c r="H39" s="285" t="s">
        <v>247</v>
      </c>
      <c r="I39" s="286"/>
      <c r="J39" s="286"/>
      <c r="K39" s="286"/>
      <c r="L39" s="286"/>
      <c r="M39" s="286"/>
      <c r="N39" s="286"/>
      <c r="O39" s="287"/>
      <c r="P39" s="59" t="s">
        <v>189</v>
      </c>
      <c r="Q39" s="60"/>
    </row>
    <row r="40" spans="1:17" ht="39.950000000000003" customHeight="1">
      <c r="A40" s="289" t="s">
        <v>11</v>
      </c>
      <c r="B40" s="282" t="s">
        <v>12</v>
      </c>
      <c r="C40" s="57" t="s">
        <v>22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289" t="s">
        <v>101</v>
      </c>
      <c r="B41" s="282" t="s">
        <v>102</v>
      </c>
      <c r="C41" s="57" t="s">
        <v>21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289"/>
      <c r="B42" s="282"/>
      <c r="C42" s="57" t="s">
        <v>22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289" t="s">
        <v>103</v>
      </c>
      <c r="B43" s="282" t="s">
        <v>104</v>
      </c>
      <c r="C43" s="57" t="s">
        <v>21</v>
      </c>
      <c r="D43" s="61" t="s">
        <v>200</v>
      </c>
      <c r="E43" s="61" t="s">
        <v>201</v>
      </c>
      <c r="F43" s="61" t="s">
        <v>204</v>
      </c>
      <c r="G43" s="299" t="s">
        <v>192</v>
      </c>
      <c r="H43" s="300"/>
      <c r="I43" s="300"/>
      <c r="J43" s="300"/>
      <c r="K43" s="300"/>
      <c r="L43" s="300"/>
      <c r="M43" s="300"/>
      <c r="N43" s="300"/>
      <c r="O43" s="301"/>
      <c r="P43" s="60"/>
      <c r="Q43" s="60"/>
    </row>
    <row r="44" spans="1:17" ht="39.950000000000003" customHeight="1">
      <c r="A44" s="289"/>
      <c r="B44" s="282"/>
      <c r="C44" s="57" t="s">
        <v>22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289" t="s">
        <v>105</v>
      </c>
      <c r="B45" s="282" t="s">
        <v>106</v>
      </c>
      <c r="C45" s="57" t="s">
        <v>21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289" t="s">
        <v>13</v>
      </c>
      <c r="B46" s="282" t="s">
        <v>14</v>
      </c>
      <c r="C46" s="57" t="s">
        <v>22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290" t="s">
        <v>108</v>
      </c>
      <c r="B47" s="283" t="s">
        <v>107</v>
      </c>
      <c r="C47" s="57" t="s">
        <v>21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291"/>
      <c r="B48" s="284"/>
      <c r="C48" s="57" t="s">
        <v>22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290" t="s">
        <v>109</v>
      </c>
      <c r="B49" s="283" t="s">
        <v>110</v>
      </c>
      <c r="C49" s="88" t="s">
        <v>21</v>
      </c>
      <c r="D49" s="34" t="s">
        <v>248</v>
      </c>
      <c r="E49" s="34" t="s">
        <v>248</v>
      </c>
      <c r="F49" s="34" t="s">
        <v>248</v>
      </c>
      <c r="G49" s="34" t="s">
        <v>249</v>
      </c>
      <c r="H49" s="34" t="s">
        <v>250</v>
      </c>
      <c r="I49" s="98" t="s">
        <v>251</v>
      </c>
      <c r="J49" s="34" t="s">
        <v>252</v>
      </c>
      <c r="K49" s="34" t="s">
        <v>248</v>
      </c>
      <c r="L49" s="34" t="s">
        <v>253</v>
      </c>
      <c r="M49" s="34" t="s">
        <v>248</v>
      </c>
      <c r="N49" s="98" t="s">
        <v>254</v>
      </c>
      <c r="O49" s="34" t="s">
        <v>248</v>
      </c>
      <c r="P49" s="89"/>
      <c r="Q49" s="89"/>
    </row>
    <row r="50" spans="1:17" ht="39.950000000000003" customHeight="1">
      <c r="A50" s="291"/>
      <c r="B50" s="284"/>
      <c r="C50" s="57" t="s">
        <v>22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289" t="s">
        <v>111</v>
      </c>
      <c r="B51" s="282" t="s">
        <v>112</v>
      </c>
      <c r="C51" s="72" t="s">
        <v>21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289"/>
      <c r="B52" s="282"/>
      <c r="C52" s="57" t="s">
        <v>22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289" t="s">
        <v>114</v>
      </c>
      <c r="B53" s="282" t="s">
        <v>113</v>
      </c>
      <c r="C53" s="57" t="s">
        <v>21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289"/>
      <c r="B54" s="282"/>
      <c r="C54" s="57" t="s">
        <v>22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289" t="s">
        <v>115</v>
      </c>
      <c r="B55" s="282" t="s">
        <v>116</v>
      </c>
      <c r="C55" s="57" t="s">
        <v>21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289"/>
      <c r="B56" s="282"/>
      <c r="C56" s="57" t="s">
        <v>22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289" t="s">
        <v>117</v>
      </c>
      <c r="B57" s="282" t="s">
        <v>118</v>
      </c>
      <c r="C57" s="57" t="s">
        <v>21</v>
      </c>
      <c r="D57" s="97" t="s">
        <v>235</v>
      </c>
      <c r="E57" s="96"/>
      <c r="F57" s="96" t="s">
        <v>236</v>
      </c>
      <c r="G57" s="302" t="s">
        <v>233</v>
      </c>
      <c r="H57" s="302"/>
      <c r="I57" s="96" t="s">
        <v>237</v>
      </c>
      <c r="J57" s="96" t="s">
        <v>238</v>
      </c>
      <c r="K57" s="276" t="s">
        <v>239</v>
      </c>
      <c r="L57" s="277"/>
      <c r="M57" s="277"/>
      <c r="N57" s="277"/>
      <c r="O57" s="278"/>
      <c r="P57" s="92" t="s">
        <v>199</v>
      </c>
      <c r="Q57" s="60"/>
    </row>
    <row r="58" spans="1:17" ht="39.950000000000003" customHeight="1">
      <c r="A58" s="289"/>
      <c r="B58" s="282"/>
      <c r="C58" s="57" t="s">
        <v>22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279" t="s">
        <v>120</v>
      </c>
      <c r="B59" s="279" t="s">
        <v>119</v>
      </c>
      <c r="C59" s="279" t="s">
        <v>21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280"/>
      <c r="B60" s="280"/>
      <c r="C60" s="280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280"/>
      <c r="B61" s="280"/>
      <c r="C61" s="281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281"/>
      <c r="B62" s="281"/>
      <c r="C62" s="72" t="s">
        <v>22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289" t="s">
        <v>121</v>
      </c>
      <c r="B63" s="282" t="s">
        <v>122</v>
      </c>
      <c r="C63" s="57" t="s">
        <v>21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289"/>
      <c r="B64" s="282"/>
      <c r="C64" s="57" t="s">
        <v>22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292" t="s">
        <v>123</v>
      </c>
      <c r="B65" s="296" t="s">
        <v>124</v>
      </c>
      <c r="C65" s="72" t="s">
        <v>21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292"/>
      <c r="B66" s="296"/>
      <c r="C66" s="72" t="s">
        <v>22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289" t="s">
        <v>125</v>
      </c>
      <c r="B67" s="282" t="s">
        <v>126</v>
      </c>
      <c r="C67" s="57" t="s">
        <v>21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289"/>
      <c r="B68" s="282"/>
      <c r="C68" s="57" t="s">
        <v>22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290" t="s">
        <v>127</v>
      </c>
      <c r="B69" s="283" t="s">
        <v>128</v>
      </c>
      <c r="C69" s="57" t="s">
        <v>21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291"/>
      <c r="B70" s="284"/>
      <c r="C70" s="57" t="s">
        <v>22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297" t="s">
        <v>255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298" t="s">
        <v>216</v>
      </c>
      <c r="C79" s="298"/>
      <c r="D79" s="298"/>
      <c r="E79" s="298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7" type="noConversion"/>
  <conditionalFormatting sqref="R5:AN6 R7:AC70">
    <cfRule type="expression" dxfId="5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180"/>
  <sheetViews>
    <sheetView workbookViewId="0">
      <pane xSplit="4" ySplit="8" topLeftCell="E13" activePane="bottomRight" state="frozen"/>
      <selection pane="topRight" activeCell="E1" sqref="E1"/>
      <selection pane="bottomLeft" activeCell="A9" sqref="A9"/>
      <selection pane="bottomRight" activeCell="A13" sqref="A13:A16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hidden="1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hidden="1" customWidth="1"/>
    <col min="46" max="46" width="44.7109375" hidden="1" customWidth="1"/>
    <col min="47" max="50" width="0" hidden="1" customWidth="1"/>
  </cols>
  <sheetData>
    <row r="1" spans="1:49" s="31" customFormat="1" ht="20.25" customHeight="1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40.5" customHeight="1">
      <c r="A2" s="397" t="s">
        <v>321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152"/>
    </row>
    <row r="3" spans="1:49" s="118" customFormat="1" ht="10.5" customHeight="1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153"/>
    </row>
    <row r="4" spans="1:49" s="31" customFormat="1" ht="30" customHeight="1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41.25" customHeight="1">
      <c r="A5" s="396" t="s">
        <v>0</v>
      </c>
      <c r="B5" s="396" t="s">
        <v>261</v>
      </c>
      <c r="C5" s="399" t="s">
        <v>47</v>
      </c>
      <c r="D5" s="399" t="s">
        <v>262</v>
      </c>
      <c r="E5" s="396" t="s">
        <v>1</v>
      </c>
      <c r="F5" s="396" t="s">
        <v>263</v>
      </c>
      <c r="G5" s="396"/>
      <c r="H5" s="396"/>
      <c r="I5" s="396" t="s">
        <v>18</v>
      </c>
      <c r="J5" s="396"/>
      <c r="K5" s="396"/>
      <c r="L5" s="396" t="s">
        <v>19</v>
      </c>
      <c r="M5" s="396"/>
      <c r="N5" s="396"/>
      <c r="O5" s="396" t="s">
        <v>23</v>
      </c>
      <c r="P5" s="396"/>
      <c r="Q5" s="396"/>
      <c r="R5" s="396" t="s">
        <v>25</v>
      </c>
      <c r="S5" s="396"/>
      <c r="T5" s="396"/>
      <c r="U5" s="396" t="s">
        <v>26</v>
      </c>
      <c r="V5" s="396"/>
      <c r="W5" s="396"/>
      <c r="X5" s="396" t="s">
        <v>27</v>
      </c>
      <c r="Y5" s="396"/>
      <c r="Z5" s="396"/>
      <c r="AA5" s="396" t="s">
        <v>29</v>
      </c>
      <c r="AB5" s="396"/>
      <c r="AC5" s="396"/>
      <c r="AD5" s="396" t="s">
        <v>30</v>
      </c>
      <c r="AE5" s="396"/>
      <c r="AF5" s="396"/>
      <c r="AG5" s="396" t="s">
        <v>31</v>
      </c>
      <c r="AH5" s="396"/>
      <c r="AI5" s="396"/>
      <c r="AJ5" s="396" t="s">
        <v>33</v>
      </c>
      <c r="AK5" s="396"/>
      <c r="AL5" s="396"/>
      <c r="AM5" s="396" t="s">
        <v>34</v>
      </c>
      <c r="AN5" s="396"/>
      <c r="AO5" s="396"/>
      <c r="AP5" s="396" t="s">
        <v>35</v>
      </c>
      <c r="AQ5" s="396"/>
      <c r="AR5" s="396"/>
      <c r="AS5" s="394" t="s">
        <v>273</v>
      </c>
      <c r="AT5" s="395" t="s">
        <v>274</v>
      </c>
      <c r="AU5" s="32"/>
      <c r="AV5" s="32"/>
    </row>
    <row r="6" spans="1:49" s="31" customFormat="1" ht="24.75" customHeight="1">
      <c r="A6" s="396"/>
      <c r="B6" s="396"/>
      <c r="C6" s="400"/>
      <c r="D6" s="400"/>
      <c r="E6" s="396"/>
      <c r="F6" s="154" t="s">
        <v>264</v>
      </c>
      <c r="G6" s="154" t="s">
        <v>265</v>
      </c>
      <c r="H6" s="128" t="s">
        <v>266</v>
      </c>
      <c r="I6" s="154" t="s">
        <v>264</v>
      </c>
      <c r="J6" s="154" t="s">
        <v>265</v>
      </c>
      <c r="K6" s="128" t="s">
        <v>266</v>
      </c>
      <c r="L6" s="154" t="s">
        <v>264</v>
      </c>
      <c r="M6" s="154" t="s">
        <v>265</v>
      </c>
      <c r="N6" s="128" t="s">
        <v>266</v>
      </c>
      <c r="O6" s="154" t="s">
        <v>264</v>
      </c>
      <c r="P6" s="154" t="s">
        <v>265</v>
      </c>
      <c r="Q6" s="128" t="s">
        <v>266</v>
      </c>
      <c r="R6" s="154" t="s">
        <v>264</v>
      </c>
      <c r="S6" s="154" t="s">
        <v>265</v>
      </c>
      <c r="T6" s="128" t="s">
        <v>266</v>
      </c>
      <c r="U6" s="154" t="s">
        <v>264</v>
      </c>
      <c r="V6" s="154" t="s">
        <v>265</v>
      </c>
      <c r="W6" s="128" t="s">
        <v>266</v>
      </c>
      <c r="X6" s="154" t="s">
        <v>264</v>
      </c>
      <c r="Y6" s="154" t="s">
        <v>265</v>
      </c>
      <c r="Z6" s="128" t="s">
        <v>266</v>
      </c>
      <c r="AA6" s="154" t="s">
        <v>264</v>
      </c>
      <c r="AB6" s="154" t="s">
        <v>265</v>
      </c>
      <c r="AC6" s="128" t="s">
        <v>266</v>
      </c>
      <c r="AD6" s="154" t="s">
        <v>264</v>
      </c>
      <c r="AE6" s="154" t="s">
        <v>265</v>
      </c>
      <c r="AF6" s="128" t="s">
        <v>266</v>
      </c>
      <c r="AG6" s="154" t="s">
        <v>264</v>
      </c>
      <c r="AH6" s="154" t="s">
        <v>265</v>
      </c>
      <c r="AI6" s="128" t="s">
        <v>266</v>
      </c>
      <c r="AJ6" s="154" t="s">
        <v>264</v>
      </c>
      <c r="AK6" s="154" t="s">
        <v>265</v>
      </c>
      <c r="AL6" s="128" t="s">
        <v>266</v>
      </c>
      <c r="AM6" s="154" t="s">
        <v>264</v>
      </c>
      <c r="AN6" s="154" t="s">
        <v>265</v>
      </c>
      <c r="AO6" s="128" t="s">
        <v>266</v>
      </c>
      <c r="AP6" s="154" t="s">
        <v>264</v>
      </c>
      <c r="AQ6" s="154" t="s">
        <v>265</v>
      </c>
      <c r="AR6" s="128" t="s">
        <v>266</v>
      </c>
      <c r="AS6" s="394"/>
      <c r="AT6" s="395"/>
    </row>
    <row r="7" spans="1:49" s="31" customFormat="1" ht="24.75" customHeight="1">
      <c r="A7" s="346" t="s">
        <v>322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8"/>
    </row>
    <row r="8" spans="1:49" s="31" customFormat="1" ht="24.75" customHeight="1">
      <c r="A8" s="346" t="s">
        <v>294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8"/>
    </row>
    <row r="9" spans="1:49" s="100" customFormat="1" ht="12.75" customHeight="1">
      <c r="A9" s="382" t="s">
        <v>267</v>
      </c>
      <c r="B9" s="383"/>
      <c r="C9" s="383"/>
      <c r="D9" s="384"/>
      <c r="E9" s="129" t="s">
        <v>42</v>
      </c>
      <c r="F9" s="106">
        <f>F10+F11+F12</f>
        <v>387855.89999999991</v>
      </c>
      <c r="G9" s="106">
        <f t="shared" ref="G9:AP9" si="0">G10+G11+G12</f>
        <v>0</v>
      </c>
      <c r="H9" s="106">
        <f>G9/F9*100</f>
        <v>0</v>
      </c>
      <c r="I9" s="106">
        <f t="shared" si="0"/>
        <v>14263.3</v>
      </c>
      <c r="J9" s="106">
        <f t="shared" si="0"/>
        <v>0</v>
      </c>
      <c r="K9" s="106">
        <f>J9/I9*100</f>
        <v>0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33406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34593.499999999993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43737.299999999996</v>
      </c>
      <c r="AQ9" s="106" t="e">
        <f>#REF!+#REF!</f>
        <v>#REF!</v>
      </c>
      <c r="AR9" s="106" t="e">
        <f>#REF!+#REF!</f>
        <v>#REF!</v>
      </c>
      <c r="AS9" s="313"/>
      <c r="AT9" s="391"/>
      <c r="AU9" s="127"/>
    </row>
    <row r="10" spans="1:49" s="100" customFormat="1" ht="36">
      <c r="A10" s="385"/>
      <c r="B10" s="386"/>
      <c r="C10" s="386"/>
      <c r="D10" s="387"/>
      <c r="E10" s="111" t="s">
        <v>3</v>
      </c>
      <c r="F10" s="106">
        <f>F14+F18+F23+F26+F30</f>
        <v>93990.699999999983</v>
      </c>
      <c r="G10" s="106">
        <f>G14+G18+G23+G26+G30</f>
        <v>0</v>
      </c>
      <c r="H10" s="106">
        <f>G10/F10*100</f>
        <v>0</v>
      </c>
      <c r="I10" s="106">
        <f>I14+I18+I23+I26+I30</f>
        <v>949.6</v>
      </c>
      <c r="J10" s="106">
        <f>J14+J18+J23+J26+J30</f>
        <v>0</v>
      </c>
      <c r="K10" s="106">
        <f t="shared" ref="K10:K12" si="1">J10/I10*100</f>
        <v>0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7360.1999999999989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19745.599999999999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4"/>
      <c r="AT10" s="392"/>
      <c r="AU10" s="127"/>
    </row>
    <row r="11" spans="1:49" s="100" customFormat="1" ht="24">
      <c r="A11" s="385"/>
      <c r="B11" s="386"/>
      <c r="C11" s="386"/>
      <c r="D11" s="387"/>
      <c r="E11" s="111" t="s">
        <v>44</v>
      </c>
      <c r="F11" s="106">
        <f>F15+F19+F24+F27+F31</f>
        <v>288033.09999999998</v>
      </c>
      <c r="G11" s="106">
        <f>G15+G19+G24+G27+G31</f>
        <v>0</v>
      </c>
      <c r="H11" s="106">
        <f>G11/F11*100</f>
        <v>0</v>
      </c>
      <c r="I11" s="106">
        <f>I15+I19+I24+I27+I31</f>
        <v>13051.9</v>
      </c>
      <c r="J11" s="106">
        <f>J15+J19+J24+J27+J31</f>
        <v>0</v>
      </c>
      <c r="K11" s="106">
        <f t="shared" si="1"/>
        <v>0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26640.999999999993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4"/>
      <c r="AT11" s="392"/>
      <c r="AU11" s="127"/>
    </row>
    <row r="12" spans="1:49" s="100" customFormat="1" ht="24">
      <c r="A12" s="388"/>
      <c r="B12" s="389"/>
      <c r="C12" s="389"/>
      <c r="D12" s="390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5"/>
      <c r="AT12" s="393"/>
      <c r="AU12" s="127"/>
    </row>
    <row r="13" spans="1:49" s="31" customFormat="1" ht="31.5" customHeight="1">
      <c r="A13" s="361" t="s">
        <v>323</v>
      </c>
      <c r="B13" s="325" t="s">
        <v>324</v>
      </c>
      <c r="C13" s="328" t="s">
        <v>325</v>
      </c>
      <c r="D13" s="328" t="s">
        <v>326</v>
      </c>
      <c r="E13" s="107" t="s">
        <v>42</v>
      </c>
      <c r="F13" s="123">
        <f>SUM(F14:F16)</f>
        <v>300702.99999999994</v>
      </c>
      <c r="G13" s="123">
        <f t="shared" ref="G13:P13" si="7">SUM(G14:G16)</f>
        <v>0</v>
      </c>
      <c r="H13" s="123">
        <f>G13/F13*100</f>
        <v>0</v>
      </c>
      <c r="I13" s="123">
        <f t="shared" si="7"/>
        <v>6636.9000000000005</v>
      </c>
      <c r="J13" s="123">
        <f t="shared" si="7"/>
        <v>0</v>
      </c>
      <c r="K13" s="123">
        <f t="shared" si="7"/>
        <v>0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25852.799999999999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26660.099999999995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36679.599999999999</v>
      </c>
      <c r="AQ13" s="123">
        <f t="shared" si="8"/>
        <v>0</v>
      </c>
      <c r="AR13" s="123">
        <f t="shared" si="8"/>
        <v>0</v>
      </c>
      <c r="AS13" s="334" t="s">
        <v>309</v>
      </c>
      <c r="AT13" s="379" t="s">
        <v>308</v>
      </c>
      <c r="AU13" s="121">
        <f>I13+L13+O13+R13+U13+X13+AA13+AD13+AG13</f>
        <v>232355.5</v>
      </c>
      <c r="AV13" s="121">
        <f>J13+M13+P13+S13+V13+Y13+AB13+AE13+AH13</f>
        <v>0</v>
      </c>
      <c r="AW13" s="155">
        <f>AV13/AU13*100</f>
        <v>0</v>
      </c>
    </row>
    <row r="14" spans="1:49" s="31" customFormat="1" ht="53.25" customHeight="1">
      <c r="A14" s="362"/>
      <c r="B14" s="326"/>
      <c r="C14" s="329"/>
      <c r="D14" s="329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0</v>
      </c>
      <c r="H14" s="123">
        <v>0</v>
      </c>
      <c r="I14" s="123">
        <f>47.4+15+887.2</f>
        <v>949.6</v>
      </c>
      <c r="J14" s="123">
        <v>0</v>
      </c>
      <c r="K14" s="123">
        <v>0</v>
      </c>
      <c r="L14" s="123">
        <f>5300+92.5+1181.4</f>
        <v>6573.9</v>
      </c>
      <c r="M14" s="123">
        <v>0</v>
      </c>
      <c r="N14" s="123">
        <v>0</v>
      </c>
      <c r="O14" s="123">
        <f>5300+79.4+1165.4-6.3</f>
        <v>6538.4999999999991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</f>
        <v>19525.599999999999</v>
      </c>
      <c r="AQ14" s="123"/>
      <c r="AR14" s="123"/>
      <c r="AS14" s="335"/>
      <c r="AT14" s="380"/>
      <c r="AU14" s="121"/>
      <c r="AV14" s="121"/>
      <c r="AW14" s="155"/>
    </row>
    <row r="15" spans="1:49" s="31" customFormat="1" ht="46.5" customHeight="1">
      <c r="A15" s="362"/>
      <c r="B15" s="326"/>
      <c r="C15" s="329"/>
      <c r="D15" s="329"/>
      <c r="E15" s="108" t="s">
        <v>44</v>
      </c>
      <c r="F15" s="123">
        <f t="shared" ref="F15:F16" si="9">I15+L15+O15+R15+U15+X15+AA15+AD15+AG15+AJ15+AM15+AP15</f>
        <v>203427.59999999998</v>
      </c>
      <c r="G15" s="123">
        <f t="shared" ref="G15:G16" si="10">J15+M15+P15+S15+V15+Y15+AB15+AE15+AH15+AK15+AN15+AQ15</f>
        <v>0</v>
      </c>
      <c r="H15" s="123">
        <f>G15/F15*100</f>
        <v>0</v>
      </c>
      <c r="I15" s="123">
        <f>40+428.8+4937+6.7+13</f>
        <v>5425.5</v>
      </c>
      <c r="J15" s="123">
        <v>0</v>
      </c>
      <c r="K15" s="123">
        <f>J15/I15*100</f>
        <v>0</v>
      </c>
      <c r="L15" s="123">
        <f>517.2+2195.7+21252+496.8+361.9+645.7</f>
        <v>25469.300000000003</v>
      </c>
      <c r="M15" s="123">
        <v>0</v>
      </c>
      <c r="N15" s="123">
        <f t="shared" ref="N15:N22" si="11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2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</f>
        <v>18848.999999999996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5"/>
      <c r="AT15" s="380"/>
      <c r="AU15" s="121">
        <f t="shared" ref="AU15:AU29" si="15">I15+L15+O15+R15+U15+X15+AA15+AD15+AG15</f>
        <v>169534.19999999998</v>
      </c>
      <c r="AV15" s="121">
        <f t="shared" ref="AV15:AV29" si="16">J15+M15+P15+S15+V15+Y15+AB15+AE15+AH15</f>
        <v>0</v>
      </c>
      <c r="AW15" s="155">
        <f t="shared" ref="AW15:AW29" si="17">AV15/AU15*100</f>
        <v>0</v>
      </c>
    </row>
    <row r="16" spans="1:49" s="31" customFormat="1" ht="61.5" customHeight="1">
      <c r="A16" s="363"/>
      <c r="B16" s="327"/>
      <c r="C16" s="330"/>
      <c r="D16" s="330"/>
      <c r="E16" s="109" t="s">
        <v>257</v>
      </c>
      <c r="F16" s="123">
        <f t="shared" si="9"/>
        <v>5832.1</v>
      </c>
      <c r="G16" s="123">
        <f t="shared" si="10"/>
        <v>0</v>
      </c>
      <c r="H16" s="123">
        <v>0</v>
      </c>
      <c r="I16" s="123">
        <v>261.8</v>
      </c>
      <c r="J16" s="123">
        <v>0</v>
      </c>
      <c r="K16" s="123"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36"/>
      <c r="AT16" s="381"/>
      <c r="AU16" s="121"/>
      <c r="AV16" s="121"/>
      <c r="AW16" s="155"/>
    </row>
    <row r="17" spans="1:49" s="31" customFormat="1" ht="12.75">
      <c r="A17" s="361" t="s">
        <v>327</v>
      </c>
      <c r="B17" s="325" t="s">
        <v>328</v>
      </c>
      <c r="C17" s="328" t="s">
        <v>329</v>
      </c>
      <c r="D17" s="331" t="s">
        <v>330</v>
      </c>
      <c r="E17" s="107" t="s">
        <v>42</v>
      </c>
      <c r="F17" s="123">
        <f>SUM(F18:F20)</f>
        <v>77800</v>
      </c>
      <c r="G17" s="123">
        <f t="shared" ref="G17:P17" si="18">SUM(G18:G20)</f>
        <v>0</v>
      </c>
      <c r="H17" s="123">
        <f>G17/F17*100</f>
        <v>0</v>
      </c>
      <c r="I17" s="123">
        <f t="shared" si="18"/>
        <v>7091.6</v>
      </c>
      <c r="J17" s="123">
        <f t="shared" si="18"/>
        <v>0</v>
      </c>
      <c r="K17" s="123">
        <f>J17/I17*100</f>
        <v>0</v>
      </c>
      <c r="L17" s="123">
        <f t="shared" si="18"/>
        <v>7886.9</v>
      </c>
      <c r="M17" s="123">
        <f t="shared" si="18"/>
        <v>0</v>
      </c>
      <c r="N17" s="123">
        <f t="shared" si="11"/>
        <v>0</v>
      </c>
      <c r="O17" s="123">
        <f t="shared" si="18"/>
        <v>6038</v>
      </c>
      <c r="P17" s="123">
        <f t="shared" si="18"/>
        <v>0</v>
      </c>
      <c r="Q17" s="123">
        <f t="shared" si="12"/>
        <v>0</v>
      </c>
      <c r="R17" s="123">
        <f t="shared" ref="R17:AB17" si="19">SUM(R18:R20)</f>
        <v>6900</v>
      </c>
      <c r="S17" s="123">
        <f t="shared" si="19"/>
        <v>0</v>
      </c>
      <c r="T17" s="123">
        <f t="shared" si="13"/>
        <v>0</v>
      </c>
      <c r="U17" s="123">
        <f t="shared" si="19"/>
        <v>6826.3</v>
      </c>
      <c r="V17" s="123">
        <f t="shared" si="19"/>
        <v>0</v>
      </c>
      <c r="W17" s="123">
        <f t="shared" ref="W17" si="20">V17/U17*100</f>
        <v>0</v>
      </c>
      <c r="X17" s="123">
        <f t="shared" si="19"/>
        <v>7190.9</v>
      </c>
      <c r="Y17" s="123">
        <f t="shared" si="19"/>
        <v>0</v>
      </c>
      <c r="Z17" s="123">
        <f>Y17/X17*100</f>
        <v>0</v>
      </c>
      <c r="AA17" s="104">
        <f t="shared" si="19"/>
        <v>7431.5</v>
      </c>
      <c r="AB17" s="123">
        <f t="shared" si="19"/>
        <v>0</v>
      </c>
      <c r="AC17" s="123">
        <f>SUM(AC18:AC20)</f>
        <v>0</v>
      </c>
      <c r="AD17" s="104">
        <f t="shared" ref="AD17:AR17" si="21">SUM(AD18:AD20)</f>
        <v>6016.2</v>
      </c>
      <c r="AE17" s="104">
        <f t="shared" si="21"/>
        <v>0</v>
      </c>
      <c r="AF17" s="104">
        <f t="shared" si="6"/>
        <v>0</v>
      </c>
      <c r="AG17" s="104">
        <f t="shared" si="21"/>
        <v>5470</v>
      </c>
      <c r="AH17" s="123">
        <f t="shared" si="21"/>
        <v>0</v>
      </c>
      <c r="AI17" s="123">
        <f t="shared" si="21"/>
        <v>0</v>
      </c>
      <c r="AJ17" s="123">
        <f t="shared" si="21"/>
        <v>5540.8</v>
      </c>
      <c r="AK17" s="123">
        <f t="shared" si="21"/>
        <v>0</v>
      </c>
      <c r="AL17" s="123">
        <f t="shared" si="21"/>
        <v>0</v>
      </c>
      <c r="AM17" s="104">
        <f t="shared" si="21"/>
        <v>5036.7</v>
      </c>
      <c r="AN17" s="123">
        <f t="shared" si="21"/>
        <v>0</v>
      </c>
      <c r="AO17" s="123">
        <f t="shared" si="21"/>
        <v>0</v>
      </c>
      <c r="AP17" s="104">
        <f t="shared" si="21"/>
        <v>6371.1</v>
      </c>
      <c r="AQ17" s="123">
        <f t="shared" si="21"/>
        <v>0</v>
      </c>
      <c r="AR17" s="123">
        <f t="shared" si="21"/>
        <v>0</v>
      </c>
      <c r="AS17" s="334" t="s">
        <v>299</v>
      </c>
      <c r="AT17" s="379" t="s">
        <v>296</v>
      </c>
      <c r="AU17" s="121">
        <f t="shared" si="15"/>
        <v>60851.4</v>
      </c>
      <c r="AV17" s="121">
        <f t="shared" si="16"/>
        <v>0</v>
      </c>
      <c r="AW17" s="155">
        <f t="shared" si="17"/>
        <v>0</v>
      </c>
    </row>
    <row r="18" spans="1:49" s="31" customFormat="1" ht="36">
      <c r="A18" s="362"/>
      <c r="B18" s="326"/>
      <c r="C18" s="329"/>
      <c r="D18" s="332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5"/>
      <c r="AT18" s="380"/>
      <c r="AU18" s="121">
        <f t="shared" si="15"/>
        <v>0</v>
      </c>
      <c r="AV18" s="121">
        <f t="shared" si="16"/>
        <v>0</v>
      </c>
      <c r="AW18" s="155" t="e">
        <f t="shared" si="17"/>
        <v>#DIV/0!</v>
      </c>
    </row>
    <row r="19" spans="1:49" s="31" customFormat="1" ht="12.75">
      <c r="A19" s="362"/>
      <c r="B19" s="326"/>
      <c r="C19" s="329"/>
      <c r="D19" s="332"/>
      <c r="E19" s="108" t="s">
        <v>44</v>
      </c>
      <c r="F19" s="123">
        <f t="shared" ref="F19:F20" si="22">I19+L19+O19+R19+U19+X19+AA19+AD19+AG19+AJ19+AM19+AP19</f>
        <v>77800</v>
      </c>
      <c r="G19" s="123">
        <f t="shared" ref="G19:G20" si="23">J19+M19+P19+S19+V19+Y19+AB19+AE19+AH19+AK19+AN19+AQ19</f>
        <v>0</v>
      </c>
      <c r="H19" s="123">
        <v>0</v>
      </c>
      <c r="I19" s="123">
        <v>7091.6</v>
      </c>
      <c r="J19" s="123">
        <v>0</v>
      </c>
      <c r="K19" s="123">
        <v>0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5"/>
      <c r="AT19" s="380"/>
      <c r="AU19" s="121"/>
      <c r="AV19" s="121"/>
      <c r="AW19" s="155"/>
    </row>
    <row r="20" spans="1:49" s="31" customFormat="1" ht="63" customHeight="1">
      <c r="A20" s="363"/>
      <c r="B20" s="327"/>
      <c r="C20" s="330"/>
      <c r="D20" s="333"/>
      <c r="E20" s="109" t="s">
        <v>257</v>
      </c>
      <c r="F20" s="123">
        <f t="shared" si="22"/>
        <v>0</v>
      </c>
      <c r="G20" s="123">
        <f t="shared" si="23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36"/>
      <c r="AT20" s="381"/>
      <c r="AU20" s="121">
        <f t="shared" si="15"/>
        <v>0</v>
      </c>
      <c r="AV20" s="121">
        <f t="shared" si="16"/>
        <v>0</v>
      </c>
      <c r="AW20" s="155" t="e">
        <f t="shared" si="17"/>
        <v>#DIV/0!</v>
      </c>
    </row>
    <row r="21" spans="1:49" s="31" customFormat="1" ht="74.25" customHeight="1">
      <c r="A21" s="157" t="s">
        <v>331</v>
      </c>
      <c r="B21" s="164" t="s">
        <v>332</v>
      </c>
      <c r="C21" s="158" t="s">
        <v>333</v>
      </c>
      <c r="D21" s="169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63" t="s">
        <v>319</v>
      </c>
      <c r="AT21" s="167" t="s">
        <v>297</v>
      </c>
      <c r="AU21" s="121" t="e">
        <f t="shared" ref="AU21" si="24">I21+L21+O21+R21+U21+X21+AA21+AD21+AG21</f>
        <v>#VALUE!</v>
      </c>
      <c r="AV21" s="121" t="e">
        <f t="shared" ref="AV21" si="25">J21+M21+P21+S21+V21+Y21+AB21+AE21+AH21</f>
        <v>#VALUE!</v>
      </c>
      <c r="AW21" s="155" t="e">
        <f t="shared" ref="AW21" si="26">AV21/AU21*100</f>
        <v>#VALUE!</v>
      </c>
    </row>
    <row r="22" spans="1:49" s="31" customFormat="1" ht="12.75">
      <c r="A22" s="361" t="s">
        <v>334</v>
      </c>
      <c r="B22" s="325" t="s">
        <v>335</v>
      </c>
      <c r="C22" s="328" t="s">
        <v>268</v>
      </c>
      <c r="D22" s="331" t="s">
        <v>336</v>
      </c>
      <c r="E22" s="107" t="s">
        <v>42</v>
      </c>
      <c r="F22" s="123">
        <f>SUM(F23:F24)</f>
        <v>3987.3</v>
      </c>
      <c r="G22" s="123">
        <f>SUM(G23:G24)</f>
        <v>0</v>
      </c>
      <c r="H22" s="123">
        <f>G22/F22*100</f>
        <v>0</v>
      </c>
      <c r="I22" s="123">
        <f>SUM(I23:I24)</f>
        <v>326</v>
      </c>
      <c r="J22" s="123">
        <f>SUM(J23:J24)</f>
        <v>0</v>
      </c>
      <c r="K22" s="123">
        <f t="shared" ref="K22" si="27">J22/I22*100</f>
        <v>0</v>
      </c>
      <c r="L22" s="123">
        <f>SUM(L23:L24)</f>
        <v>326</v>
      </c>
      <c r="M22" s="123">
        <f>SUM(M23:M24)</f>
        <v>0</v>
      </c>
      <c r="N22" s="123">
        <f t="shared" si="11"/>
        <v>0</v>
      </c>
      <c r="O22" s="123">
        <f>SUM(O23:O24)</f>
        <v>326</v>
      </c>
      <c r="P22" s="123">
        <f>SUM(P23:P24)</f>
        <v>0</v>
      </c>
      <c r="Q22" s="123">
        <f t="shared" si="12"/>
        <v>0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8">V22/U22*100</f>
        <v>0</v>
      </c>
      <c r="X22" s="123">
        <f t="shared" ref="X22:AE22" si="29">SUM(X23:X24)</f>
        <v>326</v>
      </c>
      <c r="Y22" s="123">
        <f t="shared" si="29"/>
        <v>0</v>
      </c>
      <c r="Z22" s="123">
        <f t="shared" si="29"/>
        <v>0</v>
      </c>
      <c r="AA22" s="104">
        <f t="shared" si="29"/>
        <v>326</v>
      </c>
      <c r="AB22" s="123">
        <f t="shared" si="29"/>
        <v>0</v>
      </c>
      <c r="AC22" s="123">
        <f t="shared" si="29"/>
        <v>0</v>
      </c>
      <c r="AD22" s="104">
        <f t="shared" si="29"/>
        <v>326</v>
      </c>
      <c r="AE22" s="104">
        <f t="shared" si="29"/>
        <v>0</v>
      </c>
      <c r="AF22" s="104">
        <f t="shared" si="6"/>
        <v>0</v>
      </c>
      <c r="AG22" s="104">
        <f t="shared" ref="AG22:AR22" si="30">SUM(AG23:AG24)</f>
        <v>326</v>
      </c>
      <c r="AH22" s="123">
        <f t="shared" si="30"/>
        <v>0</v>
      </c>
      <c r="AI22" s="123">
        <f t="shared" si="30"/>
        <v>0</v>
      </c>
      <c r="AJ22" s="123">
        <f t="shared" si="30"/>
        <v>326</v>
      </c>
      <c r="AK22" s="123">
        <f t="shared" si="30"/>
        <v>0</v>
      </c>
      <c r="AL22" s="123">
        <f t="shared" si="30"/>
        <v>0</v>
      </c>
      <c r="AM22" s="104">
        <f t="shared" si="30"/>
        <v>326</v>
      </c>
      <c r="AN22" s="123">
        <f t="shared" si="30"/>
        <v>0</v>
      </c>
      <c r="AO22" s="123">
        <f t="shared" si="30"/>
        <v>0</v>
      </c>
      <c r="AP22" s="104">
        <f t="shared" si="30"/>
        <v>401.3</v>
      </c>
      <c r="AQ22" s="123">
        <f t="shared" si="30"/>
        <v>0</v>
      </c>
      <c r="AR22" s="123">
        <f t="shared" si="30"/>
        <v>0</v>
      </c>
      <c r="AS22" s="334" t="s">
        <v>319</v>
      </c>
      <c r="AT22" s="337" t="s">
        <v>297</v>
      </c>
      <c r="AU22" s="121">
        <f t="shared" si="15"/>
        <v>2934</v>
      </c>
      <c r="AV22" s="121">
        <f t="shared" si="16"/>
        <v>0</v>
      </c>
      <c r="AW22" s="155">
        <f t="shared" si="17"/>
        <v>0</v>
      </c>
    </row>
    <row r="23" spans="1:49" s="31" customFormat="1" ht="36">
      <c r="A23" s="362"/>
      <c r="B23" s="326"/>
      <c r="C23" s="329"/>
      <c r="D23" s="332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5"/>
      <c r="AT23" s="338"/>
      <c r="AU23" s="121">
        <f t="shared" si="15"/>
        <v>0</v>
      </c>
      <c r="AV23" s="121">
        <f t="shared" si="16"/>
        <v>0</v>
      </c>
      <c r="AW23" s="155" t="e">
        <f t="shared" si="17"/>
        <v>#DIV/0!</v>
      </c>
    </row>
    <row r="24" spans="1:49" s="31" customFormat="1" ht="12.75">
      <c r="A24" s="362"/>
      <c r="B24" s="326"/>
      <c r="C24" s="329"/>
      <c r="D24" s="332"/>
      <c r="E24" s="108" t="s">
        <v>44</v>
      </c>
      <c r="F24" s="123">
        <f t="shared" ref="F24" si="31">I24+L24+O24+R24+U24+X24+AA24+AD24+AG24+AJ24+AM24+AP24</f>
        <v>3987.3</v>
      </c>
      <c r="G24" s="123">
        <f t="shared" ref="G24" si="32">J24+M24+P24+S24+V24+Y24+AB24+AE24+AH24+AK24+AN24+AQ24</f>
        <v>0</v>
      </c>
      <c r="H24" s="123">
        <v>0</v>
      </c>
      <c r="I24" s="123">
        <v>326</v>
      </c>
      <c r="J24" s="123">
        <v>0</v>
      </c>
      <c r="K24" s="123">
        <v>0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5"/>
      <c r="AT24" s="338"/>
      <c r="AU24" s="121"/>
      <c r="AV24" s="121"/>
      <c r="AW24" s="155"/>
    </row>
    <row r="25" spans="1:49" s="31" customFormat="1" ht="12.75">
      <c r="A25" s="361" t="s">
        <v>337</v>
      </c>
      <c r="B25" s="325" t="s">
        <v>338</v>
      </c>
      <c r="C25" s="328" t="s">
        <v>339</v>
      </c>
      <c r="D25" s="331" t="s">
        <v>340</v>
      </c>
      <c r="E25" s="107" t="s">
        <v>42</v>
      </c>
      <c r="F25" s="123">
        <f>SUM(F26:F28)</f>
        <v>5215.6000000000004</v>
      </c>
      <c r="G25" s="123">
        <f t="shared" ref="G25:P25" si="33">SUM(G26:G28)</f>
        <v>0</v>
      </c>
      <c r="H25" s="123">
        <f>G25/F25*100</f>
        <v>0</v>
      </c>
      <c r="I25" s="123">
        <f t="shared" si="33"/>
        <v>208.8</v>
      </c>
      <c r="J25" s="123">
        <f t="shared" si="33"/>
        <v>0</v>
      </c>
      <c r="K25" s="123">
        <f t="shared" si="33"/>
        <v>0</v>
      </c>
      <c r="L25" s="123">
        <f t="shared" si="33"/>
        <v>384.9</v>
      </c>
      <c r="M25" s="123">
        <f t="shared" si="33"/>
        <v>0</v>
      </c>
      <c r="N25" s="123">
        <v>0</v>
      </c>
      <c r="O25" s="123">
        <f t="shared" si="33"/>
        <v>1039.2</v>
      </c>
      <c r="P25" s="123">
        <f t="shared" si="33"/>
        <v>0</v>
      </c>
      <c r="Q25" s="123">
        <v>0</v>
      </c>
      <c r="R25" s="123">
        <f t="shared" ref="R25:Z25" si="34">SUM(R26:R28)</f>
        <v>353</v>
      </c>
      <c r="S25" s="123">
        <f t="shared" si="34"/>
        <v>0</v>
      </c>
      <c r="T25" s="123">
        <v>0</v>
      </c>
      <c r="U25" s="123">
        <f t="shared" si="34"/>
        <v>378</v>
      </c>
      <c r="V25" s="123">
        <f t="shared" si="34"/>
        <v>0</v>
      </c>
      <c r="W25" s="123">
        <f t="shared" si="34"/>
        <v>0</v>
      </c>
      <c r="X25" s="123">
        <f t="shared" si="34"/>
        <v>416.5</v>
      </c>
      <c r="Y25" s="123">
        <f t="shared" si="34"/>
        <v>0</v>
      </c>
      <c r="Z25" s="123">
        <f t="shared" si="34"/>
        <v>0</v>
      </c>
      <c r="AA25" s="104">
        <f t="shared" ref="AA25:AB25" si="35">SUM(AA26:AA28)</f>
        <v>482.40000000000003</v>
      </c>
      <c r="AB25" s="123">
        <f t="shared" si="35"/>
        <v>0</v>
      </c>
      <c r="AC25" s="123">
        <f>SUM(AC26:AC28)</f>
        <v>0</v>
      </c>
      <c r="AD25" s="104">
        <f t="shared" ref="AD25:AR25" si="36">SUM(AD26:AD28)</f>
        <v>451.1</v>
      </c>
      <c r="AE25" s="104">
        <f t="shared" si="36"/>
        <v>0</v>
      </c>
      <c r="AF25" s="104">
        <f t="shared" si="6"/>
        <v>0</v>
      </c>
      <c r="AG25" s="104">
        <f t="shared" si="36"/>
        <v>471.79999999999995</v>
      </c>
      <c r="AH25" s="123">
        <f t="shared" si="36"/>
        <v>0</v>
      </c>
      <c r="AI25" s="104">
        <f t="shared" ref="AI25" si="37">AH25/AG25*100</f>
        <v>0</v>
      </c>
      <c r="AJ25" s="123">
        <f t="shared" si="36"/>
        <v>517.1</v>
      </c>
      <c r="AK25" s="123">
        <f t="shared" si="36"/>
        <v>0</v>
      </c>
      <c r="AL25" s="123">
        <f t="shared" si="36"/>
        <v>0</v>
      </c>
      <c r="AM25" s="104">
        <f t="shared" si="36"/>
        <v>227.5</v>
      </c>
      <c r="AN25" s="123">
        <f t="shared" si="36"/>
        <v>0</v>
      </c>
      <c r="AO25" s="123">
        <f t="shared" si="36"/>
        <v>0</v>
      </c>
      <c r="AP25" s="104">
        <f t="shared" si="36"/>
        <v>285.3</v>
      </c>
      <c r="AQ25" s="123">
        <f t="shared" si="36"/>
        <v>0</v>
      </c>
      <c r="AR25" s="123">
        <f t="shared" si="36"/>
        <v>0</v>
      </c>
      <c r="AS25" s="334" t="s">
        <v>318</v>
      </c>
      <c r="AT25" s="343"/>
      <c r="AU25" s="121">
        <f t="shared" si="15"/>
        <v>4185.7</v>
      </c>
      <c r="AV25" s="121">
        <f t="shared" si="16"/>
        <v>0</v>
      </c>
      <c r="AW25" s="155">
        <f t="shared" si="17"/>
        <v>0</v>
      </c>
    </row>
    <row r="26" spans="1:49" s="31" customFormat="1" ht="36">
      <c r="A26" s="362"/>
      <c r="B26" s="326"/>
      <c r="C26" s="329"/>
      <c r="D26" s="332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0</v>
      </c>
      <c r="H26" s="123">
        <f>G26/F26*100</f>
        <v>0</v>
      </c>
      <c r="I26" s="104">
        <v>0</v>
      </c>
      <c r="J26" s="104">
        <v>0</v>
      </c>
      <c r="K26" s="104">
        <v>0</v>
      </c>
      <c r="L26" s="126">
        <v>124.5</v>
      </c>
      <c r="M26" s="104">
        <v>0</v>
      </c>
      <c r="N26" s="123">
        <v>0</v>
      </c>
      <c r="O26" s="104">
        <f>124.5+697.2</f>
        <v>821.7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5"/>
      <c r="AT26" s="344"/>
      <c r="AU26" s="121">
        <f t="shared" si="15"/>
        <v>1948.3000000000002</v>
      </c>
      <c r="AV26" s="121">
        <f t="shared" si="16"/>
        <v>0</v>
      </c>
      <c r="AW26" s="155">
        <f t="shared" si="17"/>
        <v>0</v>
      </c>
    </row>
    <row r="27" spans="1:49" s="31" customFormat="1" ht="12.75">
      <c r="A27" s="362"/>
      <c r="B27" s="326"/>
      <c r="C27" s="329"/>
      <c r="D27" s="332"/>
      <c r="E27" s="108" t="s">
        <v>44</v>
      </c>
      <c r="F27" s="123">
        <f t="shared" ref="F27:F28" si="38">I27+L27+O27+R27+U27+X27+AA27+AD27+AG27+AJ27+AM27+AP27</f>
        <v>2668.2000000000003</v>
      </c>
      <c r="G27" s="123">
        <f t="shared" ref="G27:G28" si="39">J27+M27+P27+S27+V27+Y27+AB27+AE27+AH27+AK27+AN27+AQ27</f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5"/>
      <c r="AT27" s="344"/>
      <c r="AU27" s="121"/>
      <c r="AV27" s="121"/>
      <c r="AW27" s="155"/>
    </row>
    <row r="28" spans="1:49" s="31" customFormat="1" ht="27" customHeight="1">
      <c r="A28" s="363"/>
      <c r="B28" s="327"/>
      <c r="C28" s="330"/>
      <c r="D28" s="333"/>
      <c r="E28" s="109" t="s">
        <v>257</v>
      </c>
      <c r="F28" s="123">
        <f t="shared" si="38"/>
        <v>0</v>
      </c>
      <c r="G28" s="123">
        <f t="shared" si="39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36"/>
      <c r="AT28" s="345"/>
      <c r="AU28" s="121"/>
      <c r="AV28" s="121"/>
      <c r="AW28" s="155"/>
    </row>
    <row r="29" spans="1:49" s="31" customFormat="1" ht="21" customHeight="1">
      <c r="A29" s="361" t="s">
        <v>341</v>
      </c>
      <c r="B29" s="325" t="s">
        <v>342</v>
      </c>
      <c r="C29" s="328" t="s">
        <v>268</v>
      </c>
      <c r="D29" s="331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40">SUM(U30:U31)</f>
        <v>0</v>
      </c>
      <c r="V29" s="123">
        <f t="shared" si="40"/>
        <v>0</v>
      </c>
      <c r="W29" s="123">
        <f t="shared" si="40"/>
        <v>0</v>
      </c>
      <c r="X29" s="123">
        <f t="shared" si="40"/>
        <v>0</v>
      </c>
      <c r="Y29" s="123">
        <f t="shared" si="40"/>
        <v>0</v>
      </c>
      <c r="Z29" s="123">
        <f t="shared" si="40"/>
        <v>0</v>
      </c>
      <c r="AA29" s="104">
        <f t="shared" si="40"/>
        <v>0</v>
      </c>
      <c r="AB29" s="123">
        <f t="shared" si="40"/>
        <v>0</v>
      </c>
      <c r="AC29" s="123">
        <f t="shared" si="40"/>
        <v>0</v>
      </c>
      <c r="AD29" s="104">
        <f t="shared" si="40"/>
        <v>0</v>
      </c>
      <c r="AE29" s="104">
        <f t="shared" si="40"/>
        <v>0</v>
      </c>
      <c r="AF29" s="104">
        <f t="shared" si="40"/>
        <v>0</v>
      </c>
      <c r="AG29" s="104">
        <f t="shared" si="40"/>
        <v>0</v>
      </c>
      <c r="AH29" s="123">
        <f t="shared" si="40"/>
        <v>0</v>
      </c>
      <c r="AI29" s="117">
        <v>0</v>
      </c>
      <c r="AJ29" s="123">
        <f t="shared" ref="AJ29:AR29" si="41">SUM(AJ30:AJ31)</f>
        <v>0</v>
      </c>
      <c r="AK29" s="123">
        <f t="shared" si="41"/>
        <v>0</v>
      </c>
      <c r="AL29" s="123">
        <f t="shared" si="41"/>
        <v>0</v>
      </c>
      <c r="AM29" s="104">
        <f t="shared" si="41"/>
        <v>0</v>
      </c>
      <c r="AN29" s="123">
        <f t="shared" si="41"/>
        <v>0</v>
      </c>
      <c r="AO29" s="123">
        <f t="shared" si="41"/>
        <v>0</v>
      </c>
      <c r="AP29" s="104">
        <f t="shared" si="41"/>
        <v>0</v>
      </c>
      <c r="AQ29" s="123">
        <f t="shared" si="41"/>
        <v>0</v>
      </c>
      <c r="AR29" s="123">
        <f t="shared" si="41"/>
        <v>0</v>
      </c>
      <c r="AS29" s="334" t="s">
        <v>298</v>
      </c>
      <c r="AT29" s="343"/>
      <c r="AU29" s="121">
        <f t="shared" si="15"/>
        <v>150</v>
      </c>
      <c r="AV29" s="121">
        <f t="shared" si="16"/>
        <v>0</v>
      </c>
      <c r="AW29" s="155">
        <f t="shared" si="17"/>
        <v>0</v>
      </c>
    </row>
    <row r="30" spans="1:49" s="31" customFormat="1" ht="44.25" customHeight="1">
      <c r="A30" s="362"/>
      <c r="B30" s="326"/>
      <c r="C30" s="329"/>
      <c r="D30" s="332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5"/>
      <c r="AT30" s="344"/>
      <c r="AU30" s="121"/>
      <c r="AV30" s="121"/>
      <c r="AW30" s="155"/>
    </row>
    <row r="31" spans="1:49" s="31" customFormat="1" ht="33" customHeight="1">
      <c r="A31" s="362"/>
      <c r="B31" s="326"/>
      <c r="C31" s="329"/>
      <c r="D31" s="332"/>
      <c r="E31" s="108" t="s">
        <v>44</v>
      </c>
      <c r="F31" s="123">
        <f t="shared" ref="F31" si="42">I31+L31+O31+R31+U31+X31+AA31+AD31+AG31+AJ31+AM31+AP31</f>
        <v>150</v>
      </c>
      <c r="G31" s="123">
        <f t="shared" ref="G31" si="43">J31+M31+P31+S31+V31+Y31+AB31+AE31+AH31+AK31+AN31+AQ31</f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5"/>
      <c r="AT31" s="344"/>
      <c r="AU31" s="121"/>
      <c r="AV31" s="121"/>
      <c r="AW31" s="155"/>
    </row>
    <row r="32" spans="1:49" s="31" customFormat="1" ht="24.75" customHeight="1">
      <c r="A32" s="346" t="s">
        <v>344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8"/>
    </row>
    <row r="33" spans="1:49" s="100" customFormat="1" ht="20.25" customHeight="1">
      <c r="A33" s="349" t="s">
        <v>345</v>
      </c>
      <c r="B33" s="350"/>
      <c r="C33" s="350"/>
      <c r="D33" s="351"/>
      <c r="E33" s="129" t="s">
        <v>42</v>
      </c>
      <c r="F33" s="106">
        <f>F34+F35+F36</f>
        <v>33940.800000000003</v>
      </c>
      <c r="G33" s="106">
        <f t="shared" ref="G33:AR33" si="44">G34+G35+G36</f>
        <v>0</v>
      </c>
      <c r="H33" s="106">
        <f>G33/F33*100</f>
        <v>0</v>
      </c>
      <c r="I33" s="106">
        <f t="shared" si="44"/>
        <v>556</v>
      </c>
      <c r="J33" s="106">
        <f t="shared" si="44"/>
        <v>0</v>
      </c>
      <c r="K33" s="106">
        <f>J33/I33*100</f>
        <v>0</v>
      </c>
      <c r="L33" s="106">
        <f t="shared" si="44"/>
        <v>2428</v>
      </c>
      <c r="M33" s="106">
        <f t="shared" si="44"/>
        <v>0</v>
      </c>
      <c r="N33" s="106">
        <f>M33/L33*100</f>
        <v>0</v>
      </c>
      <c r="O33" s="106">
        <f t="shared" si="44"/>
        <v>2242</v>
      </c>
      <c r="P33" s="106">
        <f t="shared" si="44"/>
        <v>0</v>
      </c>
      <c r="Q33" s="106">
        <f>P33/O33*100</f>
        <v>0</v>
      </c>
      <c r="R33" s="106">
        <f t="shared" si="44"/>
        <v>3060</v>
      </c>
      <c r="S33" s="106">
        <f t="shared" si="44"/>
        <v>0</v>
      </c>
      <c r="T33" s="106">
        <f>S33/R33*100</f>
        <v>0</v>
      </c>
      <c r="U33" s="106">
        <f t="shared" si="44"/>
        <v>2489</v>
      </c>
      <c r="V33" s="106">
        <f t="shared" si="44"/>
        <v>0</v>
      </c>
      <c r="W33" s="106">
        <f t="shared" si="44"/>
        <v>0</v>
      </c>
      <c r="X33" s="106">
        <f t="shared" si="44"/>
        <v>2628</v>
      </c>
      <c r="Y33" s="106">
        <f t="shared" si="44"/>
        <v>0</v>
      </c>
      <c r="Z33" s="106">
        <f t="shared" si="44"/>
        <v>0</v>
      </c>
      <c r="AA33" s="106">
        <f t="shared" si="44"/>
        <v>3576</v>
      </c>
      <c r="AB33" s="106">
        <f t="shared" si="44"/>
        <v>0</v>
      </c>
      <c r="AC33" s="106">
        <f t="shared" si="44"/>
        <v>0</v>
      </c>
      <c r="AD33" s="106">
        <f t="shared" si="44"/>
        <v>2569</v>
      </c>
      <c r="AE33" s="106">
        <f t="shared" si="44"/>
        <v>0</v>
      </c>
      <c r="AF33" s="106">
        <f t="shared" ref="AF33:AF35" si="45">AE33/AD33*100</f>
        <v>0</v>
      </c>
      <c r="AG33" s="106">
        <f t="shared" si="44"/>
        <v>2544</v>
      </c>
      <c r="AH33" s="106">
        <f t="shared" si="44"/>
        <v>0</v>
      </c>
      <c r="AI33" s="106">
        <f t="shared" si="44"/>
        <v>0</v>
      </c>
      <c r="AJ33" s="106">
        <f t="shared" si="44"/>
        <v>2984</v>
      </c>
      <c r="AK33" s="106">
        <f t="shared" si="44"/>
        <v>0</v>
      </c>
      <c r="AL33" s="106">
        <f t="shared" si="44"/>
        <v>0</v>
      </c>
      <c r="AM33" s="106">
        <f t="shared" si="44"/>
        <v>2265.6</v>
      </c>
      <c r="AN33" s="106">
        <f t="shared" si="44"/>
        <v>0</v>
      </c>
      <c r="AO33" s="106">
        <f t="shared" si="44"/>
        <v>0</v>
      </c>
      <c r="AP33" s="106">
        <f t="shared" si="44"/>
        <v>6599.2</v>
      </c>
      <c r="AQ33" s="106">
        <f t="shared" si="44"/>
        <v>0</v>
      </c>
      <c r="AR33" s="106">
        <f t="shared" si="44"/>
        <v>0</v>
      </c>
      <c r="AS33" s="364"/>
      <c r="AT33" s="358"/>
      <c r="AU33" s="121">
        <f t="shared" ref="AU33:AU79" si="46">I33+L33+O33+R33+U33+X33+AA33+AD33+AG33</f>
        <v>22092</v>
      </c>
      <c r="AV33" s="121">
        <f t="shared" ref="AV33:AV79" si="47">J33+M33+P33+S33+V33+Y33+AB33+AE33+AH33</f>
        <v>0</v>
      </c>
      <c r="AW33" s="155">
        <f t="shared" ref="AW33:AW79" si="48">AV33/AU33*100</f>
        <v>0</v>
      </c>
    </row>
    <row r="34" spans="1:49" s="100" customFormat="1" ht="36">
      <c r="A34" s="352"/>
      <c r="B34" s="353"/>
      <c r="C34" s="353"/>
      <c r="D34" s="354"/>
      <c r="E34" s="111" t="s">
        <v>3</v>
      </c>
      <c r="F34" s="106">
        <f>F43</f>
        <v>30600.9</v>
      </c>
      <c r="G34" s="106">
        <f t="shared" ref="G34:AR36" si="49">G43</f>
        <v>0</v>
      </c>
      <c r="H34" s="106">
        <f>G34/F34*100</f>
        <v>0</v>
      </c>
      <c r="I34" s="106">
        <f t="shared" si="49"/>
        <v>0</v>
      </c>
      <c r="J34" s="106">
        <f t="shared" si="49"/>
        <v>0</v>
      </c>
      <c r="K34" s="106" t="e">
        <f t="shared" ref="K34:K35" si="50">J34/I34*100</f>
        <v>#DIV/0!</v>
      </c>
      <c r="L34" s="106">
        <f t="shared" si="49"/>
        <v>2178</v>
      </c>
      <c r="M34" s="106">
        <f t="shared" si="49"/>
        <v>0</v>
      </c>
      <c r="N34" s="106">
        <f t="shared" ref="N34:N35" si="51">M34/L34*100</f>
        <v>0</v>
      </c>
      <c r="O34" s="106">
        <f t="shared" si="49"/>
        <v>1989</v>
      </c>
      <c r="P34" s="106">
        <f t="shared" si="49"/>
        <v>0</v>
      </c>
      <c r="Q34" s="106">
        <f t="shared" ref="Q34:Q35" si="52">P34/O34*100</f>
        <v>0</v>
      </c>
      <c r="R34" s="106">
        <f t="shared" si="49"/>
        <v>3010</v>
      </c>
      <c r="S34" s="106">
        <f t="shared" si="49"/>
        <v>0</v>
      </c>
      <c r="T34" s="106">
        <f t="shared" ref="T34:T35" si="53">S34/R34*100</f>
        <v>0</v>
      </c>
      <c r="U34" s="106">
        <f t="shared" si="49"/>
        <v>2037</v>
      </c>
      <c r="V34" s="106">
        <f t="shared" si="49"/>
        <v>0</v>
      </c>
      <c r="W34" s="106">
        <f t="shared" si="49"/>
        <v>0</v>
      </c>
      <c r="X34" s="106">
        <f t="shared" si="49"/>
        <v>2578</v>
      </c>
      <c r="Y34" s="106">
        <f t="shared" si="49"/>
        <v>0</v>
      </c>
      <c r="Z34" s="106">
        <f t="shared" si="49"/>
        <v>0</v>
      </c>
      <c r="AA34" s="106">
        <f t="shared" si="49"/>
        <v>3526</v>
      </c>
      <c r="AB34" s="106">
        <f t="shared" si="49"/>
        <v>0</v>
      </c>
      <c r="AC34" s="106">
        <f t="shared" si="49"/>
        <v>0</v>
      </c>
      <c r="AD34" s="106">
        <f t="shared" si="49"/>
        <v>2117</v>
      </c>
      <c r="AE34" s="106">
        <f t="shared" si="49"/>
        <v>0</v>
      </c>
      <c r="AF34" s="106">
        <f t="shared" si="45"/>
        <v>0</v>
      </c>
      <c r="AG34" s="106">
        <f t="shared" si="49"/>
        <v>2494</v>
      </c>
      <c r="AH34" s="106">
        <f t="shared" si="49"/>
        <v>0</v>
      </c>
      <c r="AI34" s="106">
        <f t="shared" si="49"/>
        <v>0</v>
      </c>
      <c r="AJ34" s="106">
        <f t="shared" si="49"/>
        <v>2934</v>
      </c>
      <c r="AK34" s="106">
        <f t="shared" si="49"/>
        <v>0</v>
      </c>
      <c r="AL34" s="106">
        <f t="shared" si="49"/>
        <v>0</v>
      </c>
      <c r="AM34" s="106">
        <f t="shared" si="49"/>
        <v>1812</v>
      </c>
      <c r="AN34" s="106">
        <f t="shared" si="49"/>
        <v>0</v>
      </c>
      <c r="AO34" s="106">
        <f t="shared" si="49"/>
        <v>0</v>
      </c>
      <c r="AP34" s="106">
        <f t="shared" si="49"/>
        <v>5925.9</v>
      </c>
      <c r="AQ34" s="106">
        <f t="shared" si="49"/>
        <v>0</v>
      </c>
      <c r="AR34" s="106">
        <f t="shared" si="49"/>
        <v>0</v>
      </c>
      <c r="AS34" s="365"/>
      <c r="AT34" s="359"/>
      <c r="AU34" s="121">
        <f t="shared" si="46"/>
        <v>19929</v>
      </c>
      <c r="AV34" s="121">
        <f t="shared" si="47"/>
        <v>0</v>
      </c>
      <c r="AW34" s="155">
        <f t="shared" si="48"/>
        <v>0</v>
      </c>
    </row>
    <row r="35" spans="1:49" s="100" customFormat="1" ht="24">
      <c r="A35" s="352"/>
      <c r="B35" s="353"/>
      <c r="C35" s="353"/>
      <c r="D35" s="354"/>
      <c r="E35" s="111" t="s">
        <v>44</v>
      </c>
      <c r="F35" s="106">
        <f>F44</f>
        <v>3339.8999999999996</v>
      </c>
      <c r="G35" s="106">
        <f t="shared" si="49"/>
        <v>0</v>
      </c>
      <c r="H35" s="106">
        <f>G35/F35*100</f>
        <v>0</v>
      </c>
      <c r="I35" s="106">
        <f t="shared" si="49"/>
        <v>556</v>
      </c>
      <c r="J35" s="106">
        <f t="shared" si="49"/>
        <v>0</v>
      </c>
      <c r="K35" s="106">
        <f t="shared" si="50"/>
        <v>0</v>
      </c>
      <c r="L35" s="106">
        <f t="shared" si="49"/>
        <v>250</v>
      </c>
      <c r="M35" s="106">
        <f t="shared" si="49"/>
        <v>0</v>
      </c>
      <c r="N35" s="106">
        <f t="shared" si="51"/>
        <v>0</v>
      </c>
      <c r="O35" s="106">
        <f t="shared" si="49"/>
        <v>253</v>
      </c>
      <c r="P35" s="106">
        <f t="shared" si="49"/>
        <v>0</v>
      </c>
      <c r="Q35" s="106">
        <f t="shared" si="52"/>
        <v>0</v>
      </c>
      <c r="R35" s="106">
        <f t="shared" si="49"/>
        <v>50</v>
      </c>
      <c r="S35" s="106">
        <f t="shared" si="49"/>
        <v>0</v>
      </c>
      <c r="T35" s="106">
        <f t="shared" si="53"/>
        <v>0</v>
      </c>
      <c r="U35" s="106">
        <f t="shared" si="49"/>
        <v>452</v>
      </c>
      <c r="V35" s="106">
        <f t="shared" si="49"/>
        <v>0</v>
      </c>
      <c r="W35" s="106">
        <f t="shared" si="49"/>
        <v>0</v>
      </c>
      <c r="X35" s="106">
        <f t="shared" si="49"/>
        <v>50</v>
      </c>
      <c r="Y35" s="106">
        <f t="shared" si="49"/>
        <v>0</v>
      </c>
      <c r="Z35" s="106">
        <f t="shared" si="49"/>
        <v>0</v>
      </c>
      <c r="AA35" s="106">
        <f t="shared" si="49"/>
        <v>50</v>
      </c>
      <c r="AB35" s="106">
        <f t="shared" si="49"/>
        <v>0</v>
      </c>
      <c r="AC35" s="106">
        <f t="shared" si="49"/>
        <v>0</v>
      </c>
      <c r="AD35" s="106">
        <f t="shared" si="49"/>
        <v>452</v>
      </c>
      <c r="AE35" s="106">
        <f t="shared" si="49"/>
        <v>0</v>
      </c>
      <c r="AF35" s="106">
        <f t="shared" si="45"/>
        <v>0</v>
      </c>
      <c r="AG35" s="106">
        <f t="shared" si="49"/>
        <v>50</v>
      </c>
      <c r="AH35" s="106">
        <f t="shared" si="49"/>
        <v>0</v>
      </c>
      <c r="AI35" s="106">
        <f t="shared" si="49"/>
        <v>0</v>
      </c>
      <c r="AJ35" s="106">
        <f t="shared" si="49"/>
        <v>50</v>
      </c>
      <c r="AK35" s="106">
        <f t="shared" si="49"/>
        <v>0</v>
      </c>
      <c r="AL35" s="106">
        <f t="shared" si="49"/>
        <v>0</v>
      </c>
      <c r="AM35" s="106">
        <f t="shared" si="49"/>
        <v>453.6</v>
      </c>
      <c r="AN35" s="106">
        <f t="shared" si="49"/>
        <v>0</v>
      </c>
      <c r="AO35" s="106">
        <f t="shared" si="49"/>
        <v>0</v>
      </c>
      <c r="AP35" s="106">
        <f t="shared" si="49"/>
        <v>673.3</v>
      </c>
      <c r="AQ35" s="106">
        <f t="shared" si="49"/>
        <v>0</v>
      </c>
      <c r="AR35" s="106">
        <f t="shared" si="49"/>
        <v>0</v>
      </c>
      <c r="AS35" s="365"/>
      <c r="AT35" s="359"/>
      <c r="AU35" s="121">
        <f t="shared" si="46"/>
        <v>2163</v>
      </c>
      <c r="AV35" s="121">
        <f t="shared" si="47"/>
        <v>0</v>
      </c>
      <c r="AW35" s="155">
        <f t="shared" si="48"/>
        <v>0</v>
      </c>
    </row>
    <row r="36" spans="1:49" s="100" customFormat="1" ht="24">
      <c r="A36" s="355"/>
      <c r="B36" s="356"/>
      <c r="C36" s="356"/>
      <c r="D36" s="357"/>
      <c r="E36" s="110" t="s">
        <v>257</v>
      </c>
      <c r="F36" s="106">
        <f>F45</f>
        <v>0</v>
      </c>
      <c r="G36" s="106">
        <f t="shared" si="49"/>
        <v>0</v>
      </c>
      <c r="H36" s="106">
        <v>0</v>
      </c>
      <c r="I36" s="106">
        <f t="shared" si="49"/>
        <v>0</v>
      </c>
      <c r="J36" s="106">
        <f t="shared" si="49"/>
        <v>0</v>
      </c>
      <c r="K36" s="106">
        <v>0</v>
      </c>
      <c r="L36" s="106">
        <f t="shared" si="49"/>
        <v>0</v>
      </c>
      <c r="M36" s="106">
        <f t="shared" si="49"/>
        <v>0</v>
      </c>
      <c r="N36" s="106">
        <v>0</v>
      </c>
      <c r="O36" s="106">
        <f t="shared" si="49"/>
        <v>0</v>
      </c>
      <c r="P36" s="106">
        <f t="shared" si="49"/>
        <v>0</v>
      </c>
      <c r="Q36" s="106">
        <f t="shared" si="49"/>
        <v>0</v>
      </c>
      <c r="R36" s="106">
        <f t="shared" si="49"/>
        <v>0</v>
      </c>
      <c r="S36" s="106">
        <f t="shared" si="49"/>
        <v>0</v>
      </c>
      <c r="T36" s="106">
        <v>0</v>
      </c>
      <c r="U36" s="106">
        <f t="shared" si="49"/>
        <v>0</v>
      </c>
      <c r="V36" s="106">
        <f t="shared" si="49"/>
        <v>0</v>
      </c>
      <c r="W36" s="106">
        <f t="shared" si="49"/>
        <v>0</v>
      </c>
      <c r="X36" s="106">
        <f t="shared" si="49"/>
        <v>0</v>
      </c>
      <c r="Y36" s="106">
        <f t="shared" si="49"/>
        <v>0</v>
      </c>
      <c r="Z36" s="106">
        <f t="shared" si="49"/>
        <v>0</v>
      </c>
      <c r="AA36" s="106">
        <f t="shared" si="49"/>
        <v>0</v>
      </c>
      <c r="AB36" s="106">
        <f t="shared" si="49"/>
        <v>0</v>
      </c>
      <c r="AC36" s="106">
        <f t="shared" si="49"/>
        <v>0</v>
      </c>
      <c r="AD36" s="106">
        <f t="shared" si="49"/>
        <v>0</v>
      </c>
      <c r="AE36" s="106">
        <f t="shared" si="49"/>
        <v>0</v>
      </c>
      <c r="AF36" s="106">
        <f t="shared" si="49"/>
        <v>0</v>
      </c>
      <c r="AG36" s="106">
        <f t="shared" si="49"/>
        <v>0</v>
      </c>
      <c r="AH36" s="106">
        <f t="shared" si="49"/>
        <v>0</v>
      </c>
      <c r="AI36" s="106">
        <f t="shared" si="49"/>
        <v>0</v>
      </c>
      <c r="AJ36" s="106">
        <f t="shared" si="49"/>
        <v>0</v>
      </c>
      <c r="AK36" s="106">
        <f t="shared" si="49"/>
        <v>0</v>
      </c>
      <c r="AL36" s="106">
        <f t="shared" si="49"/>
        <v>0</v>
      </c>
      <c r="AM36" s="106">
        <f t="shared" si="49"/>
        <v>0</v>
      </c>
      <c r="AN36" s="106">
        <f t="shared" si="49"/>
        <v>0</v>
      </c>
      <c r="AO36" s="106">
        <f t="shared" si="49"/>
        <v>0</v>
      </c>
      <c r="AP36" s="106">
        <f t="shared" si="49"/>
        <v>0</v>
      </c>
      <c r="AQ36" s="106">
        <f t="shared" si="49"/>
        <v>0</v>
      </c>
      <c r="AR36" s="106">
        <f t="shared" si="49"/>
        <v>0</v>
      </c>
      <c r="AS36" s="366"/>
      <c r="AT36" s="360"/>
      <c r="AU36" s="121"/>
      <c r="AV36" s="121"/>
      <c r="AW36" s="155"/>
    </row>
    <row r="37" spans="1:49" s="100" customFormat="1" ht="112.5" customHeight="1">
      <c r="A37" s="159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68" t="s">
        <v>351</v>
      </c>
      <c r="B38" s="166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59" t="s">
        <v>355</v>
      </c>
      <c r="B39" s="166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59" t="s">
        <v>359</v>
      </c>
      <c r="B40" s="166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59" t="s">
        <v>361</v>
      </c>
      <c r="B41" s="166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67" t="s">
        <v>365</v>
      </c>
      <c r="B42" s="370" t="s">
        <v>366</v>
      </c>
      <c r="C42" s="373" t="s">
        <v>269</v>
      </c>
      <c r="D42" s="331" t="s">
        <v>367</v>
      </c>
      <c r="E42" s="107" t="s">
        <v>42</v>
      </c>
      <c r="F42" s="123">
        <f>SUM(F43:F45)</f>
        <v>33940.800000000003</v>
      </c>
      <c r="G42" s="123">
        <f t="shared" ref="G42" si="54">SUM(G43:G45)</f>
        <v>0</v>
      </c>
      <c r="H42" s="123">
        <f>G42/F42*100</f>
        <v>0</v>
      </c>
      <c r="I42" s="132">
        <f>I43+I44+I45</f>
        <v>556</v>
      </c>
      <c r="J42" s="132">
        <f>J43+J44+J45</f>
        <v>0</v>
      </c>
      <c r="K42" s="123">
        <f t="shared" ref="K42:K44" si="55">J42/I42*100</f>
        <v>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56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57">U43+U44+U45</f>
        <v>2489</v>
      </c>
      <c r="V42" s="132">
        <f t="shared" si="57"/>
        <v>0</v>
      </c>
      <c r="W42" s="132">
        <f>V42/U42*100</f>
        <v>0</v>
      </c>
      <c r="X42" s="132">
        <f t="shared" si="57"/>
        <v>2628</v>
      </c>
      <c r="Y42" s="132">
        <f t="shared" si="57"/>
        <v>0</v>
      </c>
      <c r="Z42" s="132">
        <f>Y42/X42*100</f>
        <v>0</v>
      </c>
      <c r="AA42" s="132">
        <f t="shared" si="57"/>
        <v>3576</v>
      </c>
      <c r="AB42" s="132">
        <f t="shared" si="57"/>
        <v>0</v>
      </c>
      <c r="AC42" s="132">
        <f>AB42/AA42*100</f>
        <v>0</v>
      </c>
      <c r="AD42" s="132">
        <f t="shared" si="57"/>
        <v>2569</v>
      </c>
      <c r="AE42" s="132">
        <f t="shared" si="57"/>
        <v>0</v>
      </c>
      <c r="AF42" s="132">
        <f>AE42/AD42*100</f>
        <v>0</v>
      </c>
      <c r="AG42" s="132">
        <f t="shared" si="57"/>
        <v>2544</v>
      </c>
      <c r="AH42" s="132">
        <f t="shared" si="57"/>
        <v>0</v>
      </c>
      <c r="AI42" s="117">
        <f>AH42/AG42*100</f>
        <v>0</v>
      </c>
      <c r="AJ42" s="132">
        <f t="shared" si="57"/>
        <v>2984</v>
      </c>
      <c r="AK42" s="132">
        <f t="shared" si="57"/>
        <v>0</v>
      </c>
      <c r="AL42" s="132">
        <f t="shared" si="57"/>
        <v>0</v>
      </c>
      <c r="AM42" s="132">
        <f t="shared" si="57"/>
        <v>2265.6</v>
      </c>
      <c r="AN42" s="132">
        <f t="shared" si="57"/>
        <v>0</v>
      </c>
      <c r="AO42" s="132">
        <f t="shared" si="57"/>
        <v>0</v>
      </c>
      <c r="AP42" s="132">
        <f t="shared" si="57"/>
        <v>6599.2</v>
      </c>
      <c r="AQ42" s="104"/>
      <c r="AR42" s="104"/>
      <c r="AS42" s="334" t="s">
        <v>310</v>
      </c>
      <c r="AT42" s="376"/>
      <c r="AU42" s="121">
        <f t="shared" si="46"/>
        <v>22092</v>
      </c>
      <c r="AV42" s="121">
        <f t="shared" si="47"/>
        <v>0</v>
      </c>
      <c r="AW42" s="155">
        <f t="shared" si="48"/>
        <v>0</v>
      </c>
    </row>
    <row r="43" spans="1:49" s="31" customFormat="1" ht="36">
      <c r="A43" s="368"/>
      <c r="B43" s="371"/>
      <c r="C43" s="374"/>
      <c r="D43" s="332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55"/>
        <v>#DIV/0!</v>
      </c>
      <c r="L43" s="150">
        <v>2178</v>
      </c>
      <c r="M43" s="123">
        <v>0</v>
      </c>
      <c r="N43" s="138">
        <f t="shared" ref="N43:N44" si="58">M43/L43*100</f>
        <v>0</v>
      </c>
      <c r="O43" s="123">
        <v>1989</v>
      </c>
      <c r="P43" s="123">
        <v>0</v>
      </c>
      <c r="Q43" s="123">
        <f t="shared" si="56"/>
        <v>0</v>
      </c>
      <c r="R43" s="123">
        <v>3010</v>
      </c>
      <c r="S43" s="123">
        <v>0</v>
      </c>
      <c r="T43" s="132">
        <f t="shared" ref="T43:T44" si="59">S43/R43*100</f>
        <v>0</v>
      </c>
      <c r="U43" s="117">
        <v>2037</v>
      </c>
      <c r="V43" s="117">
        <v>0</v>
      </c>
      <c r="W43" s="132">
        <f t="shared" ref="W43:W44" si="60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5"/>
      <c r="AT43" s="377"/>
      <c r="AU43" s="121">
        <f t="shared" si="46"/>
        <v>19929</v>
      </c>
      <c r="AV43" s="121">
        <f t="shared" si="47"/>
        <v>0</v>
      </c>
      <c r="AW43" s="155">
        <f t="shared" si="48"/>
        <v>0</v>
      </c>
    </row>
    <row r="44" spans="1:49" s="31" customFormat="1" ht="12.75">
      <c r="A44" s="368"/>
      <c r="B44" s="371"/>
      <c r="C44" s="374"/>
      <c r="D44" s="332"/>
      <c r="E44" s="108" t="s">
        <v>44</v>
      </c>
      <c r="F44" s="123">
        <f t="shared" ref="F44:F45" si="61">I44+L44+O44+R44+U44+X44+AA44+AD44+AG44+AJ44+AM44+AP44</f>
        <v>3339.8999999999996</v>
      </c>
      <c r="G44" s="123">
        <f t="shared" ref="G44:G45" si="62">J44+M44+P44+S44+V44+Y44+AB44+AE44+AH44+AK44+AN44+AQ44</f>
        <v>0</v>
      </c>
      <c r="H44" s="123">
        <f>G44/F44*100</f>
        <v>0</v>
      </c>
      <c r="I44" s="123">
        <v>556</v>
      </c>
      <c r="J44" s="123">
        <v>0</v>
      </c>
      <c r="K44" s="123">
        <f t="shared" si="55"/>
        <v>0</v>
      </c>
      <c r="L44" s="150">
        <v>250</v>
      </c>
      <c r="M44" s="123">
        <v>0</v>
      </c>
      <c r="N44" s="138">
        <f t="shared" si="58"/>
        <v>0</v>
      </c>
      <c r="O44" s="123">
        <v>253</v>
      </c>
      <c r="P44" s="123">
        <v>0</v>
      </c>
      <c r="Q44" s="123">
        <f t="shared" si="56"/>
        <v>0</v>
      </c>
      <c r="R44" s="123">
        <v>50</v>
      </c>
      <c r="S44" s="123">
        <v>0</v>
      </c>
      <c r="T44" s="132">
        <f t="shared" si="59"/>
        <v>0</v>
      </c>
      <c r="U44" s="117">
        <v>452</v>
      </c>
      <c r="V44" s="117">
        <v>0</v>
      </c>
      <c r="W44" s="132">
        <f t="shared" si="60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5"/>
      <c r="AT44" s="377"/>
      <c r="AU44" s="121">
        <f t="shared" si="46"/>
        <v>2163</v>
      </c>
      <c r="AV44" s="121">
        <f t="shared" si="47"/>
        <v>0</v>
      </c>
      <c r="AW44" s="155">
        <f t="shared" si="48"/>
        <v>0</v>
      </c>
    </row>
    <row r="45" spans="1:49" s="31" customFormat="1" ht="25.5" customHeight="1">
      <c r="A45" s="369"/>
      <c r="B45" s="372"/>
      <c r="C45" s="375"/>
      <c r="D45" s="333"/>
      <c r="E45" s="109" t="s">
        <v>257</v>
      </c>
      <c r="F45" s="123">
        <f t="shared" si="61"/>
        <v>0</v>
      </c>
      <c r="G45" s="123">
        <f t="shared" si="62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36"/>
      <c r="AT45" s="378"/>
      <c r="AU45" s="121"/>
      <c r="AV45" s="121"/>
      <c r="AW45" s="155"/>
    </row>
    <row r="46" spans="1:49" s="31" customFormat="1" ht="15.75">
      <c r="A46" s="346" t="s">
        <v>368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8"/>
      <c r="AU46" s="121"/>
      <c r="AV46" s="121"/>
      <c r="AW46" s="155"/>
    </row>
    <row r="47" spans="1:49" s="31" customFormat="1" ht="15.75">
      <c r="A47" s="346" t="s">
        <v>369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8"/>
      <c r="AU47" s="121"/>
      <c r="AV47" s="121"/>
      <c r="AW47" s="155"/>
    </row>
    <row r="48" spans="1:49" s="100" customFormat="1" ht="12.75">
      <c r="A48" s="349" t="s">
        <v>270</v>
      </c>
      <c r="B48" s="350"/>
      <c r="C48" s="350"/>
      <c r="D48" s="351"/>
      <c r="E48" s="129" t="s">
        <v>42</v>
      </c>
      <c r="F48" s="106">
        <f>F49+F50+F51</f>
        <v>599.4</v>
      </c>
      <c r="G48" s="106">
        <f t="shared" ref="G48:AR48" si="63">G49+G50+G51</f>
        <v>0</v>
      </c>
      <c r="H48" s="106">
        <f>G48/F48*100</f>
        <v>0</v>
      </c>
      <c r="I48" s="106">
        <f t="shared" si="63"/>
        <v>0</v>
      </c>
      <c r="J48" s="106">
        <f t="shared" si="63"/>
        <v>0</v>
      </c>
      <c r="K48" s="106">
        <v>0</v>
      </c>
      <c r="L48" s="106">
        <f t="shared" si="63"/>
        <v>0</v>
      </c>
      <c r="M48" s="106">
        <f t="shared" si="63"/>
        <v>0</v>
      </c>
      <c r="N48" s="106">
        <v>0</v>
      </c>
      <c r="O48" s="106">
        <f t="shared" si="63"/>
        <v>119.8</v>
      </c>
      <c r="P48" s="106">
        <f t="shared" si="63"/>
        <v>0</v>
      </c>
      <c r="Q48" s="106">
        <f>P48/O48*100</f>
        <v>0</v>
      </c>
      <c r="R48" s="106">
        <f t="shared" si="63"/>
        <v>0</v>
      </c>
      <c r="S48" s="106">
        <f t="shared" si="63"/>
        <v>0</v>
      </c>
      <c r="T48" s="106">
        <v>0</v>
      </c>
      <c r="U48" s="106">
        <f t="shared" si="63"/>
        <v>0</v>
      </c>
      <c r="V48" s="106">
        <f t="shared" si="63"/>
        <v>0</v>
      </c>
      <c r="W48" s="106">
        <f t="shared" si="63"/>
        <v>0</v>
      </c>
      <c r="X48" s="106">
        <f t="shared" si="63"/>
        <v>179.7</v>
      </c>
      <c r="Y48" s="106">
        <f t="shared" si="63"/>
        <v>0</v>
      </c>
      <c r="Z48" s="106">
        <f t="shared" si="63"/>
        <v>0</v>
      </c>
      <c r="AA48" s="106">
        <f t="shared" si="63"/>
        <v>0</v>
      </c>
      <c r="AB48" s="106">
        <f t="shared" si="63"/>
        <v>0</v>
      </c>
      <c r="AC48" s="106">
        <f t="shared" si="63"/>
        <v>0</v>
      </c>
      <c r="AD48" s="106">
        <f t="shared" si="63"/>
        <v>0</v>
      </c>
      <c r="AE48" s="106">
        <f t="shared" si="63"/>
        <v>0</v>
      </c>
      <c r="AF48" s="106">
        <f t="shared" si="63"/>
        <v>0</v>
      </c>
      <c r="AG48" s="106">
        <f t="shared" si="63"/>
        <v>179.7</v>
      </c>
      <c r="AH48" s="106">
        <f t="shared" si="63"/>
        <v>0</v>
      </c>
      <c r="AI48" s="106">
        <f t="shared" si="63"/>
        <v>0</v>
      </c>
      <c r="AJ48" s="106">
        <f t="shared" si="63"/>
        <v>0</v>
      </c>
      <c r="AK48" s="106">
        <f t="shared" si="63"/>
        <v>0</v>
      </c>
      <c r="AL48" s="106">
        <f t="shared" si="63"/>
        <v>0</v>
      </c>
      <c r="AM48" s="106">
        <f t="shared" si="63"/>
        <v>120.2</v>
      </c>
      <c r="AN48" s="106">
        <f t="shared" si="63"/>
        <v>0</v>
      </c>
      <c r="AO48" s="106">
        <f t="shared" si="63"/>
        <v>0</v>
      </c>
      <c r="AP48" s="106">
        <f t="shared" si="63"/>
        <v>0</v>
      </c>
      <c r="AQ48" s="106">
        <f t="shared" si="63"/>
        <v>0</v>
      </c>
      <c r="AR48" s="106">
        <f t="shared" si="63"/>
        <v>0</v>
      </c>
      <c r="AS48" s="313"/>
      <c r="AT48" s="358"/>
      <c r="AU48" s="121">
        <f t="shared" si="46"/>
        <v>479.2</v>
      </c>
      <c r="AV48" s="121">
        <f t="shared" si="47"/>
        <v>0</v>
      </c>
      <c r="AW48" s="155">
        <f t="shared" si="48"/>
        <v>0</v>
      </c>
    </row>
    <row r="49" spans="1:49" s="100" customFormat="1" ht="36">
      <c r="A49" s="352"/>
      <c r="B49" s="353"/>
      <c r="C49" s="353"/>
      <c r="D49" s="354"/>
      <c r="E49" s="111" t="s">
        <v>3</v>
      </c>
      <c r="F49" s="106">
        <f>F57</f>
        <v>0</v>
      </c>
      <c r="G49" s="106">
        <f t="shared" ref="G49:AR51" si="64">G57</f>
        <v>0</v>
      </c>
      <c r="H49" s="106">
        <v>0</v>
      </c>
      <c r="I49" s="106">
        <f t="shared" si="64"/>
        <v>0</v>
      </c>
      <c r="J49" s="106">
        <f t="shared" si="64"/>
        <v>0</v>
      </c>
      <c r="K49" s="106">
        <v>0</v>
      </c>
      <c r="L49" s="106">
        <f t="shared" si="64"/>
        <v>0</v>
      </c>
      <c r="M49" s="106">
        <f t="shared" si="64"/>
        <v>0</v>
      </c>
      <c r="N49" s="106">
        <v>0</v>
      </c>
      <c r="O49" s="106">
        <f t="shared" si="64"/>
        <v>0</v>
      </c>
      <c r="P49" s="106">
        <f t="shared" si="64"/>
        <v>0</v>
      </c>
      <c r="Q49" s="106">
        <v>0</v>
      </c>
      <c r="R49" s="106">
        <f t="shared" si="64"/>
        <v>0</v>
      </c>
      <c r="S49" s="106">
        <f t="shared" si="64"/>
        <v>0</v>
      </c>
      <c r="T49" s="106">
        <f t="shared" si="64"/>
        <v>0</v>
      </c>
      <c r="U49" s="106">
        <f t="shared" si="64"/>
        <v>0</v>
      </c>
      <c r="V49" s="106">
        <f t="shared" si="64"/>
        <v>0</v>
      </c>
      <c r="W49" s="106">
        <f t="shared" si="64"/>
        <v>0</v>
      </c>
      <c r="X49" s="106">
        <f t="shared" si="64"/>
        <v>0</v>
      </c>
      <c r="Y49" s="106">
        <f t="shared" si="64"/>
        <v>0</v>
      </c>
      <c r="Z49" s="106">
        <f t="shared" si="64"/>
        <v>0</v>
      </c>
      <c r="AA49" s="106">
        <f t="shared" si="64"/>
        <v>0</v>
      </c>
      <c r="AB49" s="106">
        <f t="shared" si="64"/>
        <v>0</v>
      </c>
      <c r="AC49" s="106">
        <f t="shared" si="64"/>
        <v>0</v>
      </c>
      <c r="AD49" s="106">
        <f t="shared" si="64"/>
        <v>0</v>
      </c>
      <c r="AE49" s="106">
        <f t="shared" si="64"/>
        <v>0</v>
      </c>
      <c r="AF49" s="106">
        <f t="shared" si="64"/>
        <v>0</v>
      </c>
      <c r="AG49" s="106">
        <f t="shared" si="64"/>
        <v>0</v>
      </c>
      <c r="AH49" s="106">
        <f t="shared" si="64"/>
        <v>0</v>
      </c>
      <c r="AI49" s="106">
        <f t="shared" si="64"/>
        <v>0</v>
      </c>
      <c r="AJ49" s="106">
        <f t="shared" si="64"/>
        <v>0</v>
      </c>
      <c r="AK49" s="106">
        <f t="shared" si="64"/>
        <v>0</v>
      </c>
      <c r="AL49" s="106">
        <f t="shared" si="64"/>
        <v>0</v>
      </c>
      <c r="AM49" s="106">
        <f t="shared" si="64"/>
        <v>0</v>
      </c>
      <c r="AN49" s="106">
        <f t="shared" si="64"/>
        <v>0</v>
      </c>
      <c r="AO49" s="106">
        <f t="shared" si="64"/>
        <v>0</v>
      </c>
      <c r="AP49" s="106">
        <f t="shared" si="64"/>
        <v>0</v>
      </c>
      <c r="AQ49" s="106">
        <f t="shared" si="64"/>
        <v>0</v>
      </c>
      <c r="AR49" s="106">
        <f t="shared" si="64"/>
        <v>0</v>
      </c>
      <c r="AS49" s="314"/>
      <c r="AT49" s="359"/>
      <c r="AU49" s="121"/>
      <c r="AV49" s="121"/>
      <c r="AW49" s="155"/>
    </row>
    <row r="50" spans="1:49" s="100" customFormat="1" ht="24">
      <c r="A50" s="352"/>
      <c r="B50" s="353"/>
      <c r="C50" s="353"/>
      <c r="D50" s="354"/>
      <c r="E50" s="111" t="s">
        <v>44</v>
      </c>
      <c r="F50" s="106">
        <f>F58</f>
        <v>599.4</v>
      </c>
      <c r="G50" s="106">
        <f t="shared" si="64"/>
        <v>0</v>
      </c>
      <c r="H50" s="106">
        <f>G50/F50*100</f>
        <v>0</v>
      </c>
      <c r="I50" s="106">
        <f t="shared" si="64"/>
        <v>0</v>
      </c>
      <c r="J50" s="106">
        <f t="shared" si="64"/>
        <v>0</v>
      </c>
      <c r="K50" s="106">
        <v>0</v>
      </c>
      <c r="L50" s="106">
        <f t="shared" si="64"/>
        <v>0</v>
      </c>
      <c r="M50" s="106">
        <f t="shared" si="64"/>
        <v>0</v>
      </c>
      <c r="N50" s="106">
        <v>0</v>
      </c>
      <c r="O50" s="106">
        <f t="shared" si="64"/>
        <v>119.8</v>
      </c>
      <c r="P50" s="106">
        <f t="shared" si="64"/>
        <v>0</v>
      </c>
      <c r="Q50" s="106">
        <f t="shared" ref="Q50" si="65">P50/O50*100</f>
        <v>0</v>
      </c>
      <c r="R50" s="106">
        <f t="shared" si="64"/>
        <v>0</v>
      </c>
      <c r="S50" s="106">
        <f t="shared" si="64"/>
        <v>0</v>
      </c>
      <c r="T50" s="106">
        <f t="shared" si="64"/>
        <v>0</v>
      </c>
      <c r="U50" s="106">
        <f t="shared" si="64"/>
        <v>0</v>
      </c>
      <c r="V50" s="106">
        <f t="shared" si="64"/>
        <v>0</v>
      </c>
      <c r="W50" s="106">
        <f t="shared" si="64"/>
        <v>0</v>
      </c>
      <c r="X50" s="106">
        <f t="shared" si="64"/>
        <v>179.7</v>
      </c>
      <c r="Y50" s="106">
        <f t="shared" si="64"/>
        <v>0</v>
      </c>
      <c r="Z50" s="106">
        <f t="shared" si="64"/>
        <v>0</v>
      </c>
      <c r="AA50" s="106">
        <f t="shared" si="64"/>
        <v>0</v>
      </c>
      <c r="AB50" s="106">
        <f t="shared" si="64"/>
        <v>0</v>
      </c>
      <c r="AC50" s="106">
        <f t="shared" si="64"/>
        <v>0</v>
      </c>
      <c r="AD50" s="106">
        <f t="shared" si="64"/>
        <v>0</v>
      </c>
      <c r="AE50" s="106">
        <f t="shared" si="64"/>
        <v>0</v>
      </c>
      <c r="AF50" s="106">
        <f t="shared" si="64"/>
        <v>0</v>
      </c>
      <c r="AG50" s="106">
        <f t="shared" si="64"/>
        <v>179.7</v>
      </c>
      <c r="AH50" s="106">
        <f t="shared" si="64"/>
        <v>0</v>
      </c>
      <c r="AI50" s="106">
        <f t="shared" si="64"/>
        <v>0</v>
      </c>
      <c r="AJ50" s="106">
        <f t="shared" si="64"/>
        <v>0</v>
      </c>
      <c r="AK50" s="106">
        <f t="shared" si="64"/>
        <v>0</v>
      </c>
      <c r="AL50" s="106">
        <f t="shared" si="64"/>
        <v>0</v>
      </c>
      <c r="AM50" s="106">
        <f t="shared" si="64"/>
        <v>120.2</v>
      </c>
      <c r="AN50" s="106">
        <f t="shared" si="64"/>
        <v>0</v>
      </c>
      <c r="AO50" s="106">
        <f t="shared" si="64"/>
        <v>0</v>
      </c>
      <c r="AP50" s="106">
        <f t="shared" si="64"/>
        <v>0</v>
      </c>
      <c r="AQ50" s="106">
        <f t="shared" si="64"/>
        <v>0</v>
      </c>
      <c r="AR50" s="106">
        <f t="shared" si="64"/>
        <v>0</v>
      </c>
      <c r="AS50" s="314"/>
      <c r="AT50" s="359"/>
      <c r="AU50" s="121">
        <f t="shared" si="46"/>
        <v>479.2</v>
      </c>
      <c r="AV50" s="121">
        <f t="shared" si="47"/>
        <v>0</v>
      </c>
      <c r="AW50" s="155">
        <f t="shared" si="48"/>
        <v>0</v>
      </c>
    </row>
    <row r="51" spans="1:49" s="100" customFormat="1" ht="24">
      <c r="A51" s="355"/>
      <c r="B51" s="356"/>
      <c r="C51" s="356"/>
      <c r="D51" s="357"/>
      <c r="E51" s="110" t="s">
        <v>257</v>
      </c>
      <c r="F51" s="106">
        <f>F59</f>
        <v>0</v>
      </c>
      <c r="G51" s="106">
        <f t="shared" si="64"/>
        <v>0</v>
      </c>
      <c r="H51" s="106">
        <v>0</v>
      </c>
      <c r="I51" s="106">
        <f t="shared" si="64"/>
        <v>0</v>
      </c>
      <c r="J51" s="106">
        <f t="shared" si="64"/>
        <v>0</v>
      </c>
      <c r="K51" s="106">
        <f t="shared" si="64"/>
        <v>0</v>
      </c>
      <c r="L51" s="106">
        <f t="shared" si="64"/>
        <v>0</v>
      </c>
      <c r="M51" s="106">
        <f t="shared" si="64"/>
        <v>0</v>
      </c>
      <c r="N51" s="106">
        <v>0</v>
      </c>
      <c r="O51" s="106">
        <f t="shared" si="64"/>
        <v>0</v>
      </c>
      <c r="P51" s="106">
        <f t="shared" si="64"/>
        <v>0</v>
      </c>
      <c r="Q51" s="106">
        <f t="shared" si="64"/>
        <v>0</v>
      </c>
      <c r="R51" s="106">
        <f t="shared" si="64"/>
        <v>0</v>
      </c>
      <c r="S51" s="106">
        <f t="shared" si="64"/>
        <v>0</v>
      </c>
      <c r="T51" s="106">
        <f t="shared" si="64"/>
        <v>0</v>
      </c>
      <c r="U51" s="106">
        <f t="shared" si="64"/>
        <v>0</v>
      </c>
      <c r="V51" s="106">
        <f t="shared" si="64"/>
        <v>0</v>
      </c>
      <c r="W51" s="106">
        <f t="shared" si="64"/>
        <v>0</v>
      </c>
      <c r="X51" s="106">
        <f t="shared" si="64"/>
        <v>0</v>
      </c>
      <c r="Y51" s="106">
        <f t="shared" si="64"/>
        <v>0</v>
      </c>
      <c r="Z51" s="106">
        <f t="shared" si="64"/>
        <v>0</v>
      </c>
      <c r="AA51" s="106">
        <f t="shared" si="64"/>
        <v>0</v>
      </c>
      <c r="AB51" s="106">
        <f t="shared" si="64"/>
        <v>0</v>
      </c>
      <c r="AC51" s="106">
        <f t="shared" si="64"/>
        <v>0</v>
      </c>
      <c r="AD51" s="106">
        <f t="shared" si="64"/>
        <v>0</v>
      </c>
      <c r="AE51" s="106">
        <f t="shared" si="64"/>
        <v>0</v>
      </c>
      <c r="AF51" s="106">
        <f t="shared" si="64"/>
        <v>0</v>
      </c>
      <c r="AG51" s="106">
        <f t="shared" si="64"/>
        <v>0</v>
      </c>
      <c r="AH51" s="106">
        <f t="shared" si="64"/>
        <v>0</v>
      </c>
      <c r="AI51" s="106">
        <f t="shared" si="64"/>
        <v>0</v>
      </c>
      <c r="AJ51" s="106">
        <f t="shared" si="64"/>
        <v>0</v>
      </c>
      <c r="AK51" s="106">
        <f t="shared" si="64"/>
        <v>0</v>
      </c>
      <c r="AL51" s="106">
        <f t="shared" si="64"/>
        <v>0</v>
      </c>
      <c r="AM51" s="106">
        <f t="shared" si="64"/>
        <v>0</v>
      </c>
      <c r="AN51" s="106">
        <f t="shared" si="64"/>
        <v>0</v>
      </c>
      <c r="AO51" s="106">
        <f t="shared" si="64"/>
        <v>0</v>
      </c>
      <c r="AP51" s="106">
        <f t="shared" si="64"/>
        <v>0</v>
      </c>
      <c r="AQ51" s="106">
        <f t="shared" si="64"/>
        <v>0</v>
      </c>
      <c r="AR51" s="106">
        <f t="shared" si="64"/>
        <v>0</v>
      </c>
      <c r="AS51" s="315"/>
      <c r="AT51" s="360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1" t="s">
        <v>372</v>
      </c>
      <c r="E52" s="143" t="s">
        <v>275</v>
      </c>
      <c r="F52" s="149" t="s">
        <v>279</v>
      </c>
      <c r="G52" s="149" t="s">
        <v>279</v>
      </c>
      <c r="H52" s="149" t="s">
        <v>279</v>
      </c>
      <c r="I52" s="149" t="s">
        <v>279</v>
      </c>
      <c r="J52" s="149" t="s">
        <v>279</v>
      </c>
      <c r="K52" s="149" t="s">
        <v>279</v>
      </c>
      <c r="L52" s="149" t="s">
        <v>279</v>
      </c>
      <c r="M52" s="149" t="s">
        <v>279</v>
      </c>
      <c r="N52" s="149" t="s">
        <v>279</v>
      </c>
      <c r="O52" s="149" t="s">
        <v>279</v>
      </c>
      <c r="P52" s="149" t="s">
        <v>279</v>
      </c>
      <c r="Q52" s="149" t="s">
        <v>279</v>
      </c>
      <c r="R52" s="149" t="s">
        <v>279</v>
      </c>
      <c r="S52" s="149" t="s">
        <v>279</v>
      </c>
      <c r="T52" s="149" t="s">
        <v>279</v>
      </c>
      <c r="U52" s="149" t="s">
        <v>279</v>
      </c>
      <c r="V52" s="149" t="s">
        <v>279</v>
      </c>
      <c r="W52" s="149" t="s">
        <v>279</v>
      </c>
      <c r="X52" s="149" t="s">
        <v>279</v>
      </c>
      <c r="Y52" s="149" t="s">
        <v>279</v>
      </c>
      <c r="Z52" s="149" t="s">
        <v>279</v>
      </c>
      <c r="AA52" s="149" t="s">
        <v>279</v>
      </c>
      <c r="AB52" s="149" t="s">
        <v>279</v>
      </c>
      <c r="AC52" s="149" t="s">
        <v>279</v>
      </c>
      <c r="AD52" s="149" t="s">
        <v>279</v>
      </c>
      <c r="AE52" s="149" t="s">
        <v>279</v>
      </c>
      <c r="AF52" s="149" t="s">
        <v>279</v>
      </c>
      <c r="AG52" s="149" t="s">
        <v>279</v>
      </c>
      <c r="AH52" s="149" t="s">
        <v>279</v>
      </c>
      <c r="AI52" s="149" t="s">
        <v>279</v>
      </c>
      <c r="AJ52" s="149" t="s">
        <v>279</v>
      </c>
      <c r="AK52" s="149" t="s">
        <v>279</v>
      </c>
      <c r="AL52" s="149" t="s">
        <v>279</v>
      </c>
      <c r="AM52" s="149" t="s">
        <v>279</v>
      </c>
      <c r="AN52" s="149" t="s">
        <v>279</v>
      </c>
      <c r="AO52" s="149" t="s">
        <v>279</v>
      </c>
      <c r="AP52" s="149" t="s">
        <v>279</v>
      </c>
      <c r="AQ52" s="149" t="s">
        <v>279</v>
      </c>
      <c r="AR52" s="149" t="s">
        <v>279</v>
      </c>
      <c r="AS52" s="144" t="s">
        <v>311</v>
      </c>
      <c r="AT52" s="139"/>
      <c r="AU52" s="121"/>
      <c r="AV52" s="121"/>
      <c r="AW52" s="155"/>
    </row>
    <row r="53" spans="1:49" s="100" customFormat="1" ht="264">
      <c r="A53" s="159" t="s">
        <v>373</v>
      </c>
      <c r="B53" s="161" t="s">
        <v>374</v>
      </c>
      <c r="C53" s="162" t="s">
        <v>375</v>
      </c>
      <c r="D53" s="171" t="s">
        <v>376</v>
      </c>
      <c r="E53" s="143" t="s">
        <v>275</v>
      </c>
      <c r="F53" s="149" t="s">
        <v>279</v>
      </c>
      <c r="G53" s="149" t="s">
        <v>279</v>
      </c>
      <c r="H53" s="149" t="s">
        <v>279</v>
      </c>
      <c r="I53" s="149" t="s">
        <v>279</v>
      </c>
      <c r="J53" s="149" t="s">
        <v>279</v>
      </c>
      <c r="K53" s="149" t="s">
        <v>279</v>
      </c>
      <c r="L53" s="149" t="s">
        <v>279</v>
      </c>
      <c r="M53" s="149" t="s">
        <v>279</v>
      </c>
      <c r="N53" s="149" t="s">
        <v>279</v>
      </c>
      <c r="O53" s="149" t="s">
        <v>279</v>
      </c>
      <c r="P53" s="149" t="s">
        <v>279</v>
      </c>
      <c r="Q53" s="149" t="s">
        <v>279</v>
      </c>
      <c r="R53" s="149" t="s">
        <v>279</v>
      </c>
      <c r="S53" s="149" t="s">
        <v>279</v>
      </c>
      <c r="T53" s="149" t="s">
        <v>279</v>
      </c>
      <c r="U53" s="149" t="s">
        <v>279</v>
      </c>
      <c r="V53" s="149" t="s">
        <v>279</v>
      </c>
      <c r="W53" s="149" t="s">
        <v>279</v>
      </c>
      <c r="X53" s="149" t="s">
        <v>279</v>
      </c>
      <c r="Y53" s="149" t="s">
        <v>279</v>
      </c>
      <c r="Z53" s="149" t="s">
        <v>279</v>
      </c>
      <c r="AA53" s="149" t="s">
        <v>279</v>
      </c>
      <c r="AB53" s="149" t="s">
        <v>279</v>
      </c>
      <c r="AC53" s="149" t="s">
        <v>279</v>
      </c>
      <c r="AD53" s="149" t="s">
        <v>279</v>
      </c>
      <c r="AE53" s="149" t="s">
        <v>279</v>
      </c>
      <c r="AF53" s="149" t="s">
        <v>279</v>
      </c>
      <c r="AG53" s="149" t="s">
        <v>279</v>
      </c>
      <c r="AH53" s="149" t="s">
        <v>279</v>
      </c>
      <c r="AI53" s="149" t="s">
        <v>279</v>
      </c>
      <c r="AJ53" s="149" t="s">
        <v>279</v>
      </c>
      <c r="AK53" s="149" t="s">
        <v>279</v>
      </c>
      <c r="AL53" s="149" t="s">
        <v>279</v>
      </c>
      <c r="AM53" s="149" t="s">
        <v>279</v>
      </c>
      <c r="AN53" s="149" t="s">
        <v>279</v>
      </c>
      <c r="AO53" s="149" t="s">
        <v>279</v>
      </c>
      <c r="AP53" s="149" t="s">
        <v>279</v>
      </c>
      <c r="AQ53" s="149" t="s">
        <v>279</v>
      </c>
      <c r="AR53" s="149" t="s">
        <v>279</v>
      </c>
      <c r="AS53" s="156" t="s">
        <v>306</v>
      </c>
      <c r="AT53" s="140"/>
      <c r="AU53" s="121"/>
      <c r="AV53" s="121"/>
      <c r="AW53" s="155"/>
    </row>
    <row r="54" spans="1:49" s="100" customFormat="1" ht="72">
      <c r="A54" s="133" t="s">
        <v>377</v>
      </c>
      <c r="B54" s="165" t="s">
        <v>378</v>
      </c>
      <c r="C54" s="162" t="s">
        <v>276</v>
      </c>
      <c r="D54" s="171" t="s">
        <v>379</v>
      </c>
      <c r="E54" s="143" t="s">
        <v>275</v>
      </c>
      <c r="F54" s="149" t="s">
        <v>279</v>
      </c>
      <c r="G54" s="149" t="s">
        <v>279</v>
      </c>
      <c r="H54" s="149" t="s">
        <v>279</v>
      </c>
      <c r="I54" s="149" t="s">
        <v>279</v>
      </c>
      <c r="J54" s="149" t="s">
        <v>279</v>
      </c>
      <c r="K54" s="149" t="s">
        <v>279</v>
      </c>
      <c r="L54" s="149" t="s">
        <v>279</v>
      </c>
      <c r="M54" s="149" t="s">
        <v>279</v>
      </c>
      <c r="N54" s="149" t="s">
        <v>279</v>
      </c>
      <c r="O54" s="149" t="s">
        <v>279</v>
      </c>
      <c r="P54" s="149" t="s">
        <v>279</v>
      </c>
      <c r="Q54" s="149" t="s">
        <v>279</v>
      </c>
      <c r="R54" s="149" t="s">
        <v>279</v>
      </c>
      <c r="S54" s="149" t="s">
        <v>279</v>
      </c>
      <c r="T54" s="149" t="s">
        <v>279</v>
      </c>
      <c r="U54" s="149" t="s">
        <v>279</v>
      </c>
      <c r="V54" s="149" t="s">
        <v>279</v>
      </c>
      <c r="W54" s="149" t="s">
        <v>279</v>
      </c>
      <c r="X54" s="149" t="s">
        <v>279</v>
      </c>
      <c r="Y54" s="149" t="s">
        <v>279</v>
      </c>
      <c r="Z54" s="149" t="s">
        <v>279</v>
      </c>
      <c r="AA54" s="149" t="s">
        <v>279</v>
      </c>
      <c r="AB54" s="149" t="s">
        <v>279</v>
      </c>
      <c r="AC54" s="149" t="s">
        <v>279</v>
      </c>
      <c r="AD54" s="149" t="s">
        <v>279</v>
      </c>
      <c r="AE54" s="149" t="s">
        <v>279</v>
      </c>
      <c r="AF54" s="149" t="s">
        <v>279</v>
      </c>
      <c r="AG54" s="149" t="s">
        <v>279</v>
      </c>
      <c r="AH54" s="149" t="s">
        <v>279</v>
      </c>
      <c r="AI54" s="149" t="s">
        <v>279</v>
      </c>
      <c r="AJ54" s="149" t="s">
        <v>279</v>
      </c>
      <c r="AK54" s="149" t="s">
        <v>279</v>
      </c>
      <c r="AL54" s="149" t="s">
        <v>279</v>
      </c>
      <c r="AM54" s="149" t="s">
        <v>279</v>
      </c>
      <c r="AN54" s="149" t="s">
        <v>279</v>
      </c>
      <c r="AO54" s="149" t="s">
        <v>279</v>
      </c>
      <c r="AP54" s="149" t="s">
        <v>279</v>
      </c>
      <c r="AQ54" s="149"/>
      <c r="AR54" s="149"/>
      <c r="AS54" s="144" t="s">
        <v>312</v>
      </c>
      <c r="AT54" s="140"/>
      <c r="AU54" s="121"/>
      <c r="AV54" s="121"/>
      <c r="AW54" s="155"/>
    </row>
    <row r="55" spans="1:49" s="100" customFormat="1" ht="84">
      <c r="A55" s="136" t="s">
        <v>380</v>
      </c>
      <c r="B55" s="137" t="s">
        <v>278</v>
      </c>
      <c r="C55" s="135" t="s">
        <v>276</v>
      </c>
      <c r="D55" s="171" t="s">
        <v>381</v>
      </c>
      <c r="E55" s="143" t="s">
        <v>275</v>
      </c>
      <c r="F55" s="149" t="s">
        <v>279</v>
      </c>
      <c r="G55" s="149" t="s">
        <v>279</v>
      </c>
      <c r="H55" s="149" t="s">
        <v>279</v>
      </c>
      <c r="I55" s="149" t="s">
        <v>279</v>
      </c>
      <c r="J55" s="149" t="s">
        <v>279</v>
      </c>
      <c r="K55" s="149" t="s">
        <v>279</v>
      </c>
      <c r="L55" s="149" t="s">
        <v>279</v>
      </c>
      <c r="M55" s="149" t="s">
        <v>279</v>
      </c>
      <c r="N55" s="149" t="s">
        <v>279</v>
      </c>
      <c r="O55" s="149" t="s">
        <v>279</v>
      </c>
      <c r="P55" s="149" t="s">
        <v>279</v>
      </c>
      <c r="Q55" s="149" t="s">
        <v>279</v>
      </c>
      <c r="R55" s="149" t="s">
        <v>279</v>
      </c>
      <c r="S55" s="149" t="s">
        <v>279</v>
      </c>
      <c r="T55" s="149" t="s">
        <v>279</v>
      </c>
      <c r="U55" s="149" t="s">
        <v>279</v>
      </c>
      <c r="V55" s="149" t="s">
        <v>279</v>
      </c>
      <c r="W55" s="149" t="s">
        <v>279</v>
      </c>
      <c r="X55" s="149" t="s">
        <v>279</v>
      </c>
      <c r="Y55" s="149" t="s">
        <v>279</v>
      </c>
      <c r="Z55" s="149" t="s">
        <v>279</v>
      </c>
      <c r="AA55" s="149" t="s">
        <v>279</v>
      </c>
      <c r="AB55" s="149" t="s">
        <v>279</v>
      </c>
      <c r="AC55" s="149" t="s">
        <v>279</v>
      </c>
      <c r="AD55" s="149" t="s">
        <v>279</v>
      </c>
      <c r="AE55" s="149" t="s">
        <v>279</v>
      </c>
      <c r="AF55" s="149" t="s">
        <v>279</v>
      </c>
      <c r="AG55" s="149" t="s">
        <v>279</v>
      </c>
      <c r="AH55" s="149" t="s">
        <v>279</v>
      </c>
      <c r="AI55" s="149" t="s">
        <v>279</v>
      </c>
      <c r="AJ55" s="149" t="s">
        <v>279</v>
      </c>
      <c r="AK55" s="149" t="s">
        <v>279</v>
      </c>
      <c r="AL55" s="149" t="s">
        <v>279</v>
      </c>
      <c r="AM55" s="149" t="s">
        <v>279</v>
      </c>
      <c r="AN55" s="149" t="s">
        <v>279</v>
      </c>
      <c r="AO55" s="149" t="s">
        <v>279</v>
      </c>
      <c r="AP55" s="149" t="s">
        <v>279</v>
      </c>
      <c r="AQ55" s="149"/>
      <c r="AR55" s="149"/>
      <c r="AS55" s="144" t="s">
        <v>313</v>
      </c>
      <c r="AT55" s="140"/>
      <c r="AU55" s="121"/>
      <c r="AV55" s="121"/>
      <c r="AW55" s="155"/>
    </row>
    <row r="56" spans="1:49" s="31" customFormat="1" ht="12.75">
      <c r="A56" s="361" t="s">
        <v>382</v>
      </c>
      <c r="B56" s="325" t="s">
        <v>259</v>
      </c>
      <c r="C56" s="328" t="s">
        <v>271</v>
      </c>
      <c r="D56" s="331" t="s">
        <v>383</v>
      </c>
      <c r="E56" s="107" t="s">
        <v>42</v>
      </c>
      <c r="F56" s="123">
        <f>SUM(F57:F59)</f>
        <v>599.4</v>
      </c>
      <c r="G56" s="123">
        <f t="shared" ref="G56" si="66">SUM(G57:G59)</f>
        <v>0</v>
      </c>
      <c r="H56" s="123">
        <f>G56/F56*100</f>
        <v>0</v>
      </c>
      <c r="I56" s="132">
        <f t="shared" ref="I56:AP56" si="67">I57+I58+I59</f>
        <v>0</v>
      </c>
      <c r="J56" s="132">
        <f t="shared" si="67"/>
        <v>0</v>
      </c>
      <c r="K56" s="123">
        <v>0</v>
      </c>
      <c r="L56" s="132">
        <f t="shared" si="67"/>
        <v>0</v>
      </c>
      <c r="M56" s="132">
        <f t="shared" si="67"/>
        <v>0</v>
      </c>
      <c r="N56" s="132">
        <v>0</v>
      </c>
      <c r="O56" s="132">
        <f t="shared" si="67"/>
        <v>119.8</v>
      </c>
      <c r="P56" s="132">
        <f t="shared" si="67"/>
        <v>0</v>
      </c>
      <c r="Q56" s="123">
        <f t="shared" ref="Q56:Q58" si="68">P56/O56*100</f>
        <v>0</v>
      </c>
      <c r="R56" s="132">
        <f t="shared" si="67"/>
        <v>0</v>
      </c>
      <c r="S56" s="132">
        <f t="shared" si="67"/>
        <v>0</v>
      </c>
      <c r="T56" s="132">
        <f t="shared" si="67"/>
        <v>0</v>
      </c>
      <c r="U56" s="132">
        <f t="shared" si="67"/>
        <v>0</v>
      </c>
      <c r="V56" s="132">
        <f t="shared" si="67"/>
        <v>0</v>
      </c>
      <c r="W56" s="123">
        <v>0</v>
      </c>
      <c r="X56" s="132">
        <f t="shared" si="67"/>
        <v>179.7</v>
      </c>
      <c r="Y56" s="132">
        <f t="shared" si="67"/>
        <v>0</v>
      </c>
      <c r="Z56" s="132">
        <f t="shared" si="67"/>
        <v>0</v>
      </c>
      <c r="AA56" s="132">
        <f t="shared" si="67"/>
        <v>0</v>
      </c>
      <c r="AB56" s="132">
        <f t="shared" si="67"/>
        <v>0</v>
      </c>
      <c r="AC56" s="132">
        <f t="shared" si="67"/>
        <v>0</v>
      </c>
      <c r="AD56" s="132">
        <f t="shared" si="67"/>
        <v>0</v>
      </c>
      <c r="AE56" s="132">
        <f t="shared" si="67"/>
        <v>0</v>
      </c>
      <c r="AF56" s="132">
        <f t="shared" si="67"/>
        <v>0</v>
      </c>
      <c r="AG56" s="132">
        <f t="shared" si="67"/>
        <v>179.7</v>
      </c>
      <c r="AH56" s="132">
        <f t="shared" si="67"/>
        <v>0</v>
      </c>
      <c r="AI56" s="117">
        <f>AH56/AG56*100</f>
        <v>0</v>
      </c>
      <c r="AJ56" s="132">
        <f t="shared" si="67"/>
        <v>0</v>
      </c>
      <c r="AK56" s="132">
        <f t="shared" si="67"/>
        <v>0</v>
      </c>
      <c r="AL56" s="132">
        <f t="shared" si="67"/>
        <v>0</v>
      </c>
      <c r="AM56" s="132">
        <f t="shared" si="67"/>
        <v>120.2</v>
      </c>
      <c r="AN56" s="132">
        <f t="shared" si="67"/>
        <v>0</v>
      </c>
      <c r="AO56" s="132">
        <f t="shared" si="67"/>
        <v>0</v>
      </c>
      <c r="AP56" s="132">
        <f t="shared" si="67"/>
        <v>0</v>
      </c>
      <c r="AQ56" s="104"/>
      <c r="AR56" s="104"/>
      <c r="AS56" s="334" t="s">
        <v>314</v>
      </c>
      <c r="AT56" s="337"/>
      <c r="AU56" s="121">
        <f t="shared" si="46"/>
        <v>479.2</v>
      </c>
      <c r="AV56" s="121">
        <f t="shared" si="47"/>
        <v>0</v>
      </c>
      <c r="AW56" s="155">
        <f t="shared" si="48"/>
        <v>0</v>
      </c>
    </row>
    <row r="57" spans="1:49" s="31" customFormat="1" ht="36">
      <c r="A57" s="362"/>
      <c r="B57" s="326"/>
      <c r="C57" s="329"/>
      <c r="D57" s="332"/>
      <c r="E57" s="108" t="s">
        <v>3</v>
      </c>
      <c r="F57" s="123">
        <f>I57+L57+O57+R57+U57+X57+AA57+AD57+AG57+AJ57+AM57+AP57</f>
        <v>0</v>
      </c>
      <c r="G57" s="123">
        <f>J57+M57+P57+S57+V57+Y57+AB57+AE57+AH57+AK57+AN57+AQ57</f>
        <v>0</v>
      </c>
      <c r="H57" s="123">
        <v>0</v>
      </c>
      <c r="I57" s="123">
        <v>0</v>
      </c>
      <c r="J57" s="123">
        <v>0</v>
      </c>
      <c r="K57" s="123">
        <v>0</v>
      </c>
      <c r="L57" s="150">
        <v>0</v>
      </c>
      <c r="M57" s="123">
        <v>0</v>
      </c>
      <c r="N57" s="138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23">
        <v>0</v>
      </c>
      <c r="AK57" s="123">
        <v>0</v>
      </c>
      <c r="AL57" s="123">
        <v>0</v>
      </c>
      <c r="AM57" s="117">
        <v>0</v>
      </c>
      <c r="AN57" s="117">
        <v>0</v>
      </c>
      <c r="AO57" s="117">
        <v>0</v>
      </c>
      <c r="AP57" s="123">
        <v>0</v>
      </c>
      <c r="AQ57" s="104"/>
      <c r="AR57" s="104"/>
      <c r="AS57" s="335"/>
      <c r="AT57" s="338"/>
      <c r="AU57" s="121"/>
      <c r="AV57" s="121"/>
      <c r="AW57" s="155"/>
    </row>
    <row r="58" spans="1:49" s="31" customFormat="1" ht="12.75">
      <c r="A58" s="362"/>
      <c r="B58" s="326"/>
      <c r="C58" s="329"/>
      <c r="D58" s="332"/>
      <c r="E58" s="108" t="s">
        <v>44</v>
      </c>
      <c r="F58" s="123">
        <f t="shared" ref="F58:F59" si="69">I58+L58+O58+R58+U58+X58+AA58+AD58+AG58+AJ58+AM58+AP58</f>
        <v>599.4</v>
      </c>
      <c r="G58" s="123">
        <f t="shared" ref="G58:G59" si="70">J58+M58+P58+S58+V58+Y58+AB58+AE58+AH58+AK58+AN58+AQ58</f>
        <v>0</v>
      </c>
      <c r="H58" s="123">
        <f>G58/F58*100</f>
        <v>0</v>
      </c>
      <c r="I58" s="123">
        <v>0</v>
      </c>
      <c r="J58" s="123">
        <v>0</v>
      </c>
      <c r="K58" s="123">
        <v>0</v>
      </c>
      <c r="L58" s="150">
        <v>0</v>
      </c>
      <c r="M58" s="123">
        <v>0</v>
      </c>
      <c r="N58" s="138">
        <v>0</v>
      </c>
      <c r="O58" s="123">
        <v>119.8</v>
      </c>
      <c r="P58" s="123">
        <v>0</v>
      </c>
      <c r="Q58" s="123">
        <f t="shared" si="68"/>
        <v>0</v>
      </c>
      <c r="R58" s="123">
        <v>0</v>
      </c>
      <c r="S58" s="123">
        <v>0</v>
      </c>
      <c r="T58" s="123">
        <v>0</v>
      </c>
      <c r="U58" s="117">
        <v>0</v>
      </c>
      <c r="V58" s="117">
        <v>0</v>
      </c>
      <c r="W58" s="123">
        <v>0</v>
      </c>
      <c r="X58" s="117">
        <v>179.7</v>
      </c>
      <c r="Y58" s="117">
        <v>0</v>
      </c>
      <c r="Z58" s="117">
        <f>Y58/X58*100</f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179.7</v>
      </c>
      <c r="AH58" s="117">
        <v>0</v>
      </c>
      <c r="AI58" s="117">
        <f>AH58/AG58*100</f>
        <v>0</v>
      </c>
      <c r="AJ58" s="123">
        <v>0</v>
      </c>
      <c r="AK58" s="123">
        <v>0</v>
      </c>
      <c r="AL58" s="123">
        <v>0</v>
      </c>
      <c r="AM58" s="117">
        <v>120.2</v>
      </c>
      <c r="AN58" s="117">
        <v>0</v>
      </c>
      <c r="AO58" s="117">
        <v>0</v>
      </c>
      <c r="AP58" s="123">
        <v>0</v>
      </c>
      <c r="AQ58" s="104"/>
      <c r="AR58" s="104"/>
      <c r="AS58" s="335"/>
      <c r="AT58" s="338"/>
      <c r="AU58" s="121">
        <f t="shared" si="46"/>
        <v>479.2</v>
      </c>
      <c r="AV58" s="121">
        <f t="shared" si="47"/>
        <v>0</v>
      </c>
      <c r="AW58" s="155">
        <f t="shared" si="48"/>
        <v>0</v>
      </c>
    </row>
    <row r="59" spans="1:49" s="31" customFormat="1" ht="24">
      <c r="A59" s="363"/>
      <c r="B59" s="327"/>
      <c r="C59" s="330"/>
      <c r="D59" s="333"/>
      <c r="E59" s="109" t="s">
        <v>257</v>
      </c>
      <c r="F59" s="123">
        <f t="shared" si="69"/>
        <v>0</v>
      </c>
      <c r="G59" s="123">
        <f t="shared" si="70"/>
        <v>0</v>
      </c>
      <c r="H59" s="123">
        <v>0</v>
      </c>
      <c r="I59" s="123">
        <v>0</v>
      </c>
      <c r="J59" s="123">
        <v>0</v>
      </c>
      <c r="K59" s="123">
        <v>0</v>
      </c>
      <c r="L59" s="150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23">
        <v>0</v>
      </c>
      <c r="AK59" s="123">
        <v>0</v>
      </c>
      <c r="AL59" s="123">
        <v>0</v>
      </c>
      <c r="AM59" s="117">
        <v>0</v>
      </c>
      <c r="AN59" s="117">
        <v>0</v>
      </c>
      <c r="AO59" s="117">
        <v>0</v>
      </c>
      <c r="AP59" s="123">
        <v>0</v>
      </c>
      <c r="AQ59" s="104"/>
      <c r="AR59" s="104"/>
      <c r="AS59" s="336"/>
      <c r="AT59" s="339"/>
      <c r="AU59" s="121"/>
      <c r="AV59" s="121"/>
      <c r="AW59" s="155"/>
    </row>
    <row r="60" spans="1:49" s="31" customFormat="1" ht="15.75">
      <c r="A60" s="346" t="s">
        <v>384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8"/>
      <c r="AU60" s="121"/>
      <c r="AV60" s="121"/>
      <c r="AW60" s="155"/>
    </row>
    <row r="61" spans="1:49" s="31" customFormat="1" ht="15.75">
      <c r="A61" s="346" t="s">
        <v>385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8"/>
      <c r="AU61" s="121"/>
      <c r="AV61" s="121"/>
      <c r="AW61" s="155"/>
    </row>
    <row r="62" spans="1:49" s="100" customFormat="1" ht="12.75">
      <c r="A62" s="349" t="s">
        <v>272</v>
      </c>
      <c r="B62" s="350"/>
      <c r="C62" s="350"/>
      <c r="D62" s="351"/>
      <c r="E62" s="129" t="s">
        <v>42</v>
      </c>
      <c r="F62" s="106">
        <f>F63+F64+F65</f>
        <v>10628.100000000002</v>
      </c>
      <c r="G62" s="106">
        <f t="shared" ref="G62:AP62" si="71">G63+G64+G65</f>
        <v>0</v>
      </c>
      <c r="H62" s="106">
        <f>G62/F62*100</f>
        <v>0</v>
      </c>
      <c r="I62" s="106">
        <f t="shared" si="71"/>
        <v>0</v>
      </c>
      <c r="J62" s="106">
        <f t="shared" si="71"/>
        <v>0</v>
      </c>
      <c r="K62" s="106">
        <v>0</v>
      </c>
      <c r="L62" s="106">
        <f t="shared" si="71"/>
        <v>2337.5</v>
      </c>
      <c r="M62" s="106">
        <f t="shared" si="71"/>
        <v>0</v>
      </c>
      <c r="N62" s="106">
        <f t="shared" si="71"/>
        <v>0</v>
      </c>
      <c r="O62" s="106">
        <f t="shared" si="71"/>
        <v>2141.4</v>
      </c>
      <c r="P62" s="106">
        <f t="shared" si="71"/>
        <v>0</v>
      </c>
      <c r="Q62" s="106">
        <f>P62/O62*100</f>
        <v>0</v>
      </c>
      <c r="R62" s="106">
        <f t="shared" si="71"/>
        <v>328.59999999999997</v>
      </c>
      <c r="S62" s="106">
        <f t="shared" si="71"/>
        <v>0</v>
      </c>
      <c r="T62" s="106">
        <f>S62/R62*100</f>
        <v>0</v>
      </c>
      <c r="U62" s="106">
        <f t="shared" si="71"/>
        <v>1220.6000000000001</v>
      </c>
      <c r="V62" s="106">
        <f t="shared" si="71"/>
        <v>0</v>
      </c>
      <c r="W62" s="106">
        <f t="shared" si="71"/>
        <v>0</v>
      </c>
      <c r="X62" s="106">
        <f t="shared" si="71"/>
        <v>1288.6000000000001</v>
      </c>
      <c r="Y62" s="106">
        <f t="shared" si="71"/>
        <v>0</v>
      </c>
      <c r="Z62" s="106">
        <f t="shared" si="71"/>
        <v>0</v>
      </c>
      <c r="AA62" s="106">
        <f t="shared" si="71"/>
        <v>1075.6000000000001</v>
      </c>
      <c r="AB62" s="106">
        <f t="shared" si="71"/>
        <v>0</v>
      </c>
      <c r="AC62" s="106">
        <f t="shared" si="71"/>
        <v>0</v>
      </c>
      <c r="AD62" s="106">
        <f t="shared" si="71"/>
        <v>150.6</v>
      </c>
      <c r="AE62" s="106">
        <f t="shared" si="71"/>
        <v>0</v>
      </c>
      <c r="AF62" s="106">
        <f t="shared" ref="AF62" si="72">AE62/AD62*100</f>
        <v>0</v>
      </c>
      <c r="AG62" s="106">
        <f t="shared" si="71"/>
        <v>200.6</v>
      </c>
      <c r="AH62" s="106">
        <f t="shared" si="71"/>
        <v>0</v>
      </c>
      <c r="AI62" s="106">
        <f t="shared" si="71"/>
        <v>0</v>
      </c>
      <c r="AJ62" s="106">
        <f t="shared" si="71"/>
        <v>162.6</v>
      </c>
      <c r="AK62" s="106">
        <f t="shared" si="71"/>
        <v>0</v>
      </c>
      <c r="AL62" s="106">
        <f t="shared" si="71"/>
        <v>0</v>
      </c>
      <c r="AM62" s="106">
        <f t="shared" si="71"/>
        <v>1350.0000000000002</v>
      </c>
      <c r="AN62" s="106">
        <f t="shared" si="71"/>
        <v>0</v>
      </c>
      <c r="AO62" s="106">
        <f t="shared" si="71"/>
        <v>0</v>
      </c>
      <c r="AP62" s="106">
        <f t="shared" si="71"/>
        <v>372</v>
      </c>
      <c r="AQ62" s="106">
        <f>AQ92+AQ100</f>
        <v>0</v>
      </c>
      <c r="AR62" s="106">
        <f>AR92+AR100</f>
        <v>0</v>
      </c>
      <c r="AS62" s="313"/>
      <c r="AT62" s="358"/>
      <c r="AU62" s="121">
        <f t="shared" si="46"/>
        <v>8743.5000000000018</v>
      </c>
      <c r="AV62" s="121">
        <f t="shared" si="47"/>
        <v>0</v>
      </c>
      <c r="AW62" s="155">
        <f t="shared" si="48"/>
        <v>0</v>
      </c>
    </row>
    <row r="63" spans="1:49" s="100" customFormat="1" ht="36">
      <c r="A63" s="352"/>
      <c r="B63" s="353"/>
      <c r="C63" s="353"/>
      <c r="D63" s="354"/>
      <c r="E63" s="111" t="s">
        <v>3</v>
      </c>
      <c r="F63" s="106">
        <f>F70+F74+F78</f>
        <v>0</v>
      </c>
      <c r="G63" s="106">
        <f t="shared" ref="G63:AR65" si="73">G70+G74+G78</f>
        <v>0</v>
      </c>
      <c r="H63" s="106">
        <v>0</v>
      </c>
      <c r="I63" s="106">
        <f t="shared" si="73"/>
        <v>0</v>
      </c>
      <c r="J63" s="106">
        <f t="shared" si="73"/>
        <v>0</v>
      </c>
      <c r="K63" s="106">
        <v>0</v>
      </c>
      <c r="L63" s="106">
        <f t="shared" si="73"/>
        <v>0</v>
      </c>
      <c r="M63" s="106">
        <f t="shared" si="73"/>
        <v>0</v>
      </c>
      <c r="N63" s="106">
        <f t="shared" si="73"/>
        <v>0</v>
      </c>
      <c r="O63" s="106">
        <f t="shared" si="73"/>
        <v>0</v>
      </c>
      <c r="P63" s="106">
        <f t="shared" si="73"/>
        <v>0</v>
      </c>
      <c r="Q63" s="106">
        <v>0</v>
      </c>
      <c r="R63" s="106">
        <f t="shared" si="73"/>
        <v>0</v>
      </c>
      <c r="S63" s="106">
        <f t="shared" si="73"/>
        <v>0</v>
      </c>
      <c r="T63" s="106">
        <v>0</v>
      </c>
      <c r="U63" s="106">
        <f t="shared" si="73"/>
        <v>0</v>
      </c>
      <c r="V63" s="106">
        <f t="shared" si="73"/>
        <v>0</v>
      </c>
      <c r="W63" s="106">
        <f t="shared" si="73"/>
        <v>0</v>
      </c>
      <c r="X63" s="106">
        <f t="shared" si="73"/>
        <v>0</v>
      </c>
      <c r="Y63" s="106">
        <f t="shared" si="73"/>
        <v>0</v>
      </c>
      <c r="Z63" s="106">
        <f t="shared" si="73"/>
        <v>0</v>
      </c>
      <c r="AA63" s="106">
        <f t="shared" si="73"/>
        <v>0</v>
      </c>
      <c r="AB63" s="106">
        <f t="shared" si="73"/>
        <v>0</v>
      </c>
      <c r="AC63" s="106">
        <f t="shared" si="73"/>
        <v>0</v>
      </c>
      <c r="AD63" s="106">
        <f t="shared" si="73"/>
        <v>0</v>
      </c>
      <c r="AE63" s="106">
        <f t="shared" si="73"/>
        <v>0</v>
      </c>
      <c r="AF63" s="106">
        <f t="shared" si="73"/>
        <v>0</v>
      </c>
      <c r="AG63" s="106">
        <f t="shared" si="73"/>
        <v>0</v>
      </c>
      <c r="AH63" s="106">
        <f t="shared" si="73"/>
        <v>0</v>
      </c>
      <c r="AI63" s="106">
        <f t="shared" si="73"/>
        <v>0</v>
      </c>
      <c r="AJ63" s="106">
        <f t="shared" si="73"/>
        <v>0</v>
      </c>
      <c r="AK63" s="106">
        <f t="shared" si="73"/>
        <v>0</v>
      </c>
      <c r="AL63" s="106">
        <f t="shared" si="73"/>
        <v>0</v>
      </c>
      <c r="AM63" s="106">
        <f t="shared" si="73"/>
        <v>0</v>
      </c>
      <c r="AN63" s="106">
        <f t="shared" si="73"/>
        <v>0</v>
      </c>
      <c r="AO63" s="106">
        <f t="shared" si="73"/>
        <v>0</v>
      </c>
      <c r="AP63" s="106">
        <f t="shared" si="73"/>
        <v>0</v>
      </c>
      <c r="AQ63" s="106">
        <f t="shared" si="73"/>
        <v>0</v>
      </c>
      <c r="AR63" s="106">
        <f t="shared" si="73"/>
        <v>0</v>
      </c>
      <c r="AS63" s="314"/>
      <c r="AT63" s="359"/>
      <c r="AU63" s="121"/>
      <c r="AV63" s="121"/>
      <c r="AW63" s="155"/>
    </row>
    <row r="64" spans="1:49" s="100" customFormat="1" ht="24">
      <c r="A64" s="352"/>
      <c r="B64" s="353"/>
      <c r="C64" s="353"/>
      <c r="D64" s="354"/>
      <c r="E64" s="111" t="s">
        <v>44</v>
      </c>
      <c r="F64" s="106">
        <f>F71+F75+F79</f>
        <v>10628.100000000002</v>
      </c>
      <c r="G64" s="106">
        <f t="shared" si="73"/>
        <v>0</v>
      </c>
      <c r="H64" s="106">
        <f>G64/F64*100</f>
        <v>0</v>
      </c>
      <c r="I64" s="106">
        <f t="shared" si="73"/>
        <v>0</v>
      </c>
      <c r="J64" s="106">
        <f t="shared" si="73"/>
        <v>0</v>
      </c>
      <c r="K64" s="106">
        <v>0</v>
      </c>
      <c r="L64" s="106">
        <f t="shared" si="73"/>
        <v>2337.5</v>
      </c>
      <c r="M64" s="106">
        <f t="shared" si="73"/>
        <v>0</v>
      </c>
      <c r="N64" s="106">
        <f t="shared" si="73"/>
        <v>0</v>
      </c>
      <c r="O64" s="106">
        <f t="shared" si="73"/>
        <v>2141.4</v>
      </c>
      <c r="P64" s="106">
        <f t="shared" si="73"/>
        <v>0</v>
      </c>
      <c r="Q64" s="106">
        <f t="shared" ref="Q64" si="74">P64/O64*100</f>
        <v>0</v>
      </c>
      <c r="R64" s="106">
        <f t="shared" si="73"/>
        <v>328.59999999999997</v>
      </c>
      <c r="S64" s="106">
        <f t="shared" si="73"/>
        <v>0</v>
      </c>
      <c r="T64" s="106">
        <f t="shared" ref="T64" si="75">S64/R64*100</f>
        <v>0</v>
      </c>
      <c r="U64" s="106">
        <f t="shared" si="73"/>
        <v>1220.6000000000001</v>
      </c>
      <c r="V64" s="106">
        <f t="shared" si="73"/>
        <v>0</v>
      </c>
      <c r="W64" s="106">
        <f t="shared" si="73"/>
        <v>0</v>
      </c>
      <c r="X64" s="106">
        <f t="shared" si="73"/>
        <v>1288.6000000000001</v>
      </c>
      <c r="Y64" s="106">
        <f t="shared" si="73"/>
        <v>0</v>
      </c>
      <c r="Z64" s="106">
        <f t="shared" si="73"/>
        <v>0</v>
      </c>
      <c r="AA64" s="106">
        <f t="shared" si="73"/>
        <v>1075.6000000000001</v>
      </c>
      <c r="AB64" s="106">
        <f t="shared" si="73"/>
        <v>0</v>
      </c>
      <c r="AC64" s="106">
        <f t="shared" si="73"/>
        <v>0</v>
      </c>
      <c r="AD64" s="106">
        <f t="shared" si="73"/>
        <v>150.6</v>
      </c>
      <c r="AE64" s="106">
        <f t="shared" si="73"/>
        <v>0</v>
      </c>
      <c r="AF64" s="106">
        <f t="shared" ref="AF64" si="76">AE64/AD64*100</f>
        <v>0</v>
      </c>
      <c r="AG64" s="106">
        <f t="shared" si="73"/>
        <v>200.6</v>
      </c>
      <c r="AH64" s="106">
        <f t="shared" si="73"/>
        <v>0</v>
      </c>
      <c r="AI64" s="106">
        <f t="shared" si="73"/>
        <v>0</v>
      </c>
      <c r="AJ64" s="106">
        <f t="shared" si="73"/>
        <v>162.6</v>
      </c>
      <c r="AK64" s="106">
        <f t="shared" si="73"/>
        <v>0</v>
      </c>
      <c r="AL64" s="106">
        <f t="shared" si="73"/>
        <v>0</v>
      </c>
      <c r="AM64" s="106">
        <f t="shared" si="73"/>
        <v>1350.0000000000002</v>
      </c>
      <c r="AN64" s="106">
        <f t="shared" si="73"/>
        <v>0</v>
      </c>
      <c r="AO64" s="106">
        <f t="shared" si="73"/>
        <v>0</v>
      </c>
      <c r="AP64" s="106">
        <f t="shared" si="73"/>
        <v>372</v>
      </c>
      <c r="AQ64" s="106">
        <f t="shared" si="73"/>
        <v>0</v>
      </c>
      <c r="AR64" s="106">
        <f t="shared" si="73"/>
        <v>0</v>
      </c>
      <c r="AS64" s="314"/>
      <c r="AT64" s="359"/>
      <c r="AU64" s="121">
        <f t="shared" si="46"/>
        <v>8743.5000000000018</v>
      </c>
      <c r="AV64" s="121">
        <f t="shared" si="47"/>
        <v>0</v>
      </c>
      <c r="AW64" s="155">
        <f t="shared" si="48"/>
        <v>0</v>
      </c>
    </row>
    <row r="65" spans="1:49" s="100" customFormat="1" ht="24">
      <c r="A65" s="355"/>
      <c r="B65" s="356"/>
      <c r="C65" s="356"/>
      <c r="D65" s="357"/>
      <c r="E65" s="110" t="s">
        <v>257</v>
      </c>
      <c r="F65" s="106">
        <f>F72+F76+F80</f>
        <v>0</v>
      </c>
      <c r="G65" s="106">
        <f t="shared" si="73"/>
        <v>0</v>
      </c>
      <c r="H65" s="106">
        <v>0</v>
      </c>
      <c r="I65" s="106">
        <f t="shared" si="73"/>
        <v>0</v>
      </c>
      <c r="J65" s="106">
        <f t="shared" si="73"/>
        <v>0</v>
      </c>
      <c r="K65" s="106">
        <v>0</v>
      </c>
      <c r="L65" s="106">
        <f t="shared" si="73"/>
        <v>0</v>
      </c>
      <c r="M65" s="106">
        <f t="shared" si="73"/>
        <v>0</v>
      </c>
      <c r="N65" s="106">
        <f t="shared" si="73"/>
        <v>0</v>
      </c>
      <c r="O65" s="106">
        <f t="shared" si="73"/>
        <v>0</v>
      </c>
      <c r="P65" s="106">
        <f t="shared" si="73"/>
        <v>0</v>
      </c>
      <c r="Q65" s="106">
        <v>0</v>
      </c>
      <c r="R65" s="106">
        <f t="shared" si="73"/>
        <v>0</v>
      </c>
      <c r="S65" s="106">
        <f t="shared" si="73"/>
        <v>0</v>
      </c>
      <c r="T65" s="106">
        <v>0</v>
      </c>
      <c r="U65" s="106">
        <f t="shared" si="73"/>
        <v>0</v>
      </c>
      <c r="V65" s="106">
        <f t="shared" si="73"/>
        <v>0</v>
      </c>
      <c r="W65" s="106">
        <f t="shared" si="73"/>
        <v>0</v>
      </c>
      <c r="X65" s="106">
        <f t="shared" si="73"/>
        <v>0</v>
      </c>
      <c r="Y65" s="106">
        <f t="shared" si="73"/>
        <v>0</v>
      </c>
      <c r="Z65" s="106">
        <f t="shared" si="73"/>
        <v>0</v>
      </c>
      <c r="AA65" s="106">
        <f t="shared" si="73"/>
        <v>0</v>
      </c>
      <c r="AB65" s="106">
        <f t="shared" si="73"/>
        <v>0</v>
      </c>
      <c r="AC65" s="106">
        <f t="shared" si="73"/>
        <v>0</v>
      </c>
      <c r="AD65" s="106">
        <f t="shared" si="73"/>
        <v>0</v>
      </c>
      <c r="AE65" s="106">
        <f t="shared" si="73"/>
        <v>0</v>
      </c>
      <c r="AF65" s="106">
        <f t="shared" si="73"/>
        <v>0</v>
      </c>
      <c r="AG65" s="106">
        <f t="shared" si="73"/>
        <v>0</v>
      </c>
      <c r="AH65" s="106">
        <f t="shared" si="73"/>
        <v>0</v>
      </c>
      <c r="AI65" s="106">
        <f t="shared" si="73"/>
        <v>0</v>
      </c>
      <c r="AJ65" s="106">
        <f t="shared" si="73"/>
        <v>0</v>
      </c>
      <c r="AK65" s="106">
        <f t="shared" si="73"/>
        <v>0</v>
      </c>
      <c r="AL65" s="106">
        <f t="shared" si="73"/>
        <v>0</v>
      </c>
      <c r="AM65" s="106">
        <f t="shared" si="73"/>
        <v>0</v>
      </c>
      <c r="AN65" s="106">
        <f t="shared" si="73"/>
        <v>0</v>
      </c>
      <c r="AO65" s="106">
        <f t="shared" si="73"/>
        <v>0</v>
      </c>
      <c r="AP65" s="106">
        <f t="shared" si="73"/>
        <v>0</v>
      </c>
      <c r="AQ65" s="106">
        <f t="shared" si="73"/>
        <v>0</v>
      </c>
      <c r="AR65" s="106">
        <f t="shared" si="73"/>
        <v>0</v>
      </c>
      <c r="AS65" s="315"/>
      <c r="AT65" s="360"/>
      <c r="AU65" s="121"/>
      <c r="AV65" s="121"/>
      <c r="AW65" s="155"/>
    </row>
    <row r="66" spans="1:49" s="100" customFormat="1" ht="138.75" customHeight="1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23" customHeight="1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2" t="s">
        <v>395</v>
      </c>
      <c r="B69" s="325" t="s">
        <v>396</v>
      </c>
      <c r="C69" s="328" t="s">
        <v>277</v>
      </c>
      <c r="D69" s="331" t="s">
        <v>397</v>
      </c>
      <c r="E69" s="107" t="s">
        <v>42</v>
      </c>
      <c r="F69" s="123">
        <f>SUM(F70:F72)</f>
        <v>1612.1</v>
      </c>
      <c r="G69" s="123">
        <f t="shared" ref="G69" si="77">SUM(G70:G72)</f>
        <v>0</v>
      </c>
      <c r="H69" s="123">
        <f>G69/F69*100</f>
        <v>0</v>
      </c>
      <c r="I69" s="138">
        <f t="shared" ref="I69:AP69" si="78">I70+I71+I72</f>
        <v>0</v>
      </c>
      <c r="J69" s="138">
        <f t="shared" si="78"/>
        <v>0</v>
      </c>
      <c r="K69" s="123">
        <v>0</v>
      </c>
      <c r="L69" s="138">
        <f t="shared" si="78"/>
        <v>61.4</v>
      </c>
      <c r="M69" s="132">
        <f t="shared" si="78"/>
        <v>0</v>
      </c>
      <c r="N69" s="132">
        <f>M69/L69*100</f>
        <v>0</v>
      </c>
      <c r="O69" s="132">
        <f t="shared" si="78"/>
        <v>207.4</v>
      </c>
      <c r="P69" s="132">
        <f t="shared" si="78"/>
        <v>0</v>
      </c>
      <c r="Q69" s="123">
        <f t="shared" ref="Q69:Q79" si="79">P69/O69*100</f>
        <v>0</v>
      </c>
      <c r="R69" s="132">
        <f t="shared" si="78"/>
        <v>61.4</v>
      </c>
      <c r="S69" s="132">
        <f t="shared" si="78"/>
        <v>0</v>
      </c>
      <c r="T69" s="132">
        <f>S69/R69*100</f>
        <v>0</v>
      </c>
      <c r="U69" s="138">
        <f t="shared" si="78"/>
        <v>61.4</v>
      </c>
      <c r="V69" s="138">
        <f t="shared" si="78"/>
        <v>0</v>
      </c>
      <c r="W69" s="132">
        <f t="shared" ref="W69" si="80">V69/U69*100</f>
        <v>0</v>
      </c>
      <c r="X69" s="132">
        <f t="shared" si="78"/>
        <v>61.4</v>
      </c>
      <c r="Y69" s="132">
        <f t="shared" si="78"/>
        <v>0</v>
      </c>
      <c r="Z69" s="132">
        <f t="shared" ref="Z69" si="81">Y69/X69*100</f>
        <v>0</v>
      </c>
      <c r="AA69" s="132">
        <f t="shared" si="78"/>
        <v>61.4</v>
      </c>
      <c r="AB69" s="132">
        <f t="shared" si="78"/>
        <v>0</v>
      </c>
      <c r="AC69" s="132">
        <f t="shared" ref="AC69" si="82">AB69/AA69*100</f>
        <v>0</v>
      </c>
      <c r="AD69" s="132">
        <f t="shared" si="78"/>
        <v>61.4</v>
      </c>
      <c r="AE69" s="138">
        <f t="shared" si="78"/>
        <v>0</v>
      </c>
      <c r="AF69" s="104">
        <f t="shared" ref="AF69" si="83">AE69/AD69*100</f>
        <v>0</v>
      </c>
      <c r="AG69" s="138">
        <f t="shared" si="78"/>
        <v>61.4</v>
      </c>
      <c r="AH69" s="138">
        <f t="shared" si="78"/>
        <v>0</v>
      </c>
      <c r="AI69" s="132">
        <f t="shared" ref="AI69" si="84">AH69/AG69*100</f>
        <v>0</v>
      </c>
      <c r="AJ69" s="138">
        <f t="shared" si="78"/>
        <v>61.4</v>
      </c>
      <c r="AK69" s="138">
        <f t="shared" si="78"/>
        <v>0</v>
      </c>
      <c r="AL69" s="138">
        <f t="shared" si="78"/>
        <v>0</v>
      </c>
      <c r="AM69" s="138">
        <f t="shared" si="78"/>
        <v>790.7</v>
      </c>
      <c r="AN69" s="138">
        <f t="shared" si="78"/>
        <v>0</v>
      </c>
      <c r="AO69" s="138">
        <f t="shared" si="78"/>
        <v>0</v>
      </c>
      <c r="AP69" s="138">
        <f t="shared" si="78"/>
        <v>122.8</v>
      </c>
      <c r="AQ69" s="104"/>
      <c r="AR69" s="104"/>
      <c r="AS69" s="334" t="s">
        <v>317</v>
      </c>
      <c r="AT69" s="337"/>
      <c r="AU69" s="121">
        <f t="shared" si="46"/>
        <v>637.19999999999993</v>
      </c>
      <c r="AV69" s="121">
        <f t="shared" si="47"/>
        <v>0</v>
      </c>
      <c r="AW69" s="155">
        <f t="shared" si="48"/>
        <v>0</v>
      </c>
    </row>
    <row r="70" spans="1:49" s="31" customFormat="1" ht="36">
      <c r="A70" s="323"/>
      <c r="B70" s="326"/>
      <c r="C70" s="329"/>
      <c r="D70" s="332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5"/>
      <c r="AT70" s="338"/>
      <c r="AU70" s="121"/>
      <c r="AV70" s="121"/>
      <c r="AW70" s="155"/>
    </row>
    <row r="71" spans="1:49" s="31" customFormat="1" ht="12.75">
      <c r="A71" s="323"/>
      <c r="B71" s="326"/>
      <c r="C71" s="329"/>
      <c r="D71" s="332"/>
      <c r="E71" s="108" t="s">
        <v>44</v>
      </c>
      <c r="F71" s="123">
        <f t="shared" ref="F71:F72" si="85">I71+L71+O71+R71+U71+X71+AA71+AD71+AG71+AJ71+AM71+AP71</f>
        <v>1612.1</v>
      </c>
      <c r="G71" s="123">
        <f t="shared" ref="G71:G72" si="86">J71+M71+P71+S71+V71+Y71+AB71+AE71+AH71+AK71+AN71+AQ71</f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87">M71/L71*100</f>
        <v>0</v>
      </c>
      <c r="O71" s="123">
        <v>207.4</v>
      </c>
      <c r="P71" s="123">
        <v>0</v>
      </c>
      <c r="Q71" s="123">
        <f t="shared" si="79"/>
        <v>0</v>
      </c>
      <c r="R71" s="123">
        <v>61.4</v>
      </c>
      <c r="S71" s="123">
        <v>0</v>
      </c>
      <c r="T71" s="132">
        <f t="shared" ref="T71:T79" si="88">S71/R71*100</f>
        <v>0</v>
      </c>
      <c r="U71" s="117">
        <v>61.4</v>
      </c>
      <c r="V71" s="117">
        <v>0</v>
      </c>
      <c r="W71" s="132">
        <f t="shared" ref="W71" si="89">V71/U71*100</f>
        <v>0</v>
      </c>
      <c r="X71" s="117">
        <v>61.4</v>
      </c>
      <c r="Y71" s="117">
        <v>0</v>
      </c>
      <c r="Z71" s="132">
        <f t="shared" ref="Z71" si="90">Y71/X71*100</f>
        <v>0</v>
      </c>
      <c r="AA71" s="117">
        <v>61.4</v>
      </c>
      <c r="AB71" s="117">
        <v>0</v>
      </c>
      <c r="AC71" s="132">
        <f t="shared" ref="AC71" si="91">AB71/AA71*100</f>
        <v>0</v>
      </c>
      <c r="AD71" s="117">
        <v>61.4</v>
      </c>
      <c r="AE71" s="117">
        <v>0</v>
      </c>
      <c r="AF71" s="132">
        <f t="shared" ref="AF71" si="92">AE71/AD71*100</f>
        <v>0</v>
      </c>
      <c r="AG71" s="117">
        <v>61.4</v>
      </c>
      <c r="AH71" s="117">
        <v>0</v>
      </c>
      <c r="AI71" s="132">
        <f t="shared" ref="AI71" si="93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5"/>
      <c r="AT71" s="338"/>
      <c r="AU71" s="121">
        <f t="shared" si="46"/>
        <v>637.19999999999993</v>
      </c>
      <c r="AV71" s="121">
        <f t="shared" si="47"/>
        <v>0</v>
      </c>
      <c r="AW71" s="155">
        <f t="shared" si="48"/>
        <v>0</v>
      </c>
    </row>
    <row r="72" spans="1:49" s="31" customFormat="1" ht="24">
      <c r="A72" s="324"/>
      <c r="B72" s="327"/>
      <c r="C72" s="330"/>
      <c r="D72" s="333"/>
      <c r="E72" s="109" t="s">
        <v>257</v>
      </c>
      <c r="F72" s="123">
        <f t="shared" si="85"/>
        <v>0</v>
      </c>
      <c r="G72" s="123">
        <f t="shared" si="86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36"/>
      <c r="AT72" s="339"/>
      <c r="AU72" s="121"/>
      <c r="AV72" s="121"/>
      <c r="AW72" s="155"/>
    </row>
    <row r="73" spans="1:49" s="31" customFormat="1" ht="12.75" customHeight="1">
      <c r="A73" s="322" t="s">
        <v>398</v>
      </c>
      <c r="B73" s="325" t="s">
        <v>258</v>
      </c>
      <c r="C73" s="328" t="s">
        <v>277</v>
      </c>
      <c r="D73" s="331" t="s">
        <v>400</v>
      </c>
      <c r="E73" s="107" t="s">
        <v>42</v>
      </c>
      <c r="F73" s="123">
        <f>SUM(F74:F76)</f>
        <v>455.1</v>
      </c>
      <c r="G73" s="123">
        <f t="shared" ref="G73" si="94">SUM(G74:G76)</f>
        <v>0</v>
      </c>
      <c r="H73" s="123">
        <f>G73/F73*100</f>
        <v>0</v>
      </c>
      <c r="I73" s="138">
        <f t="shared" ref="I73:AP73" si="95">I74+I75+I76</f>
        <v>0</v>
      </c>
      <c r="J73" s="138">
        <f t="shared" si="95"/>
        <v>0</v>
      </c>
      <c r="K73" s="123">
        <v>0</v>
      </c>
      <c r="L73" s="138">
        <f t="shared" si="95"/>
        <v>0</v>
      </c>
      <c r="M73" s="132">
        <f t="shared" si="95"/>
        <v>0</v>
      </c>
      <c r="N73" s="132">
        <v>0</v>
      </c>
      <c r="O73" s="132">
        <f t="shared" si="95"/>
        <v>0</v>
      </c>
      <c r="P73" s="132">
        <f t="shared" si="95"/>
        <v>0</v>
      </c>
      <c r="Q73" s="123">
        <v>0</v>
      </c>
      <c r="R73" s="132">
        <f t="shared" si="95"/>
        <v>0</v>
      </c>
      <c r="S73" s="132">
        <f t="shared" si="95"/>
        <v>0</v>
      </c>
      <c r="T73" s="132">
        <v>0</v>
      </c>
      <c r="U73" s="132">
        <f t="shared" si="95"/>
        <v>0</v>
      </c>
      <c r="V73" s="132">
        <f t="shared" si="95"/>
        <v>0</v>
      </c>
      <c r="W73" s="132">
        <f t="shared" si="95"/>
        <v>0</v>
      </c>
      <c r="X73" s="132">
        <f t="shared" si="95"/>
        <v>0</v>
      </c>
      <c r="Y73" s="132">
        <f t="shared" si="95"/>
        <v>0</v>
      </c>
      <c r="Z73" s="138">
        <f t="shared" si="95"/>
        <v>0</v>
      </c>
      <c r="AA73" s="138">
        <f t="shared" si="95"/>
        <v>0</v>
      </c>
      <c r="AB73" s="138">
        <f t="shared" si="95"/>
        <v>0</v>
      </c>
      <c r="AC73" s="138">
        <f t="shared" si="95"/>
        <v>0</v>
      </c>
      <c r="AD73" s="132">
        <f t="shared" si="95"/>
        <v>0</v>
      </c>
      <c r="AE73" s="132">
        <f t="shared" si="95"/>
        <v>0</v>
      </c>
      <c r="AF73" s="132">
        <f t="shared" si="95"/>
        <v>0</v>
      </c>
      <c r="AG73" s="132">
        <f t="shared" si="95"/>
        <v>0</v>
      </c>
      <c r="AH73" s="132">
        <f t="shared" si="95"/>
        <v>0</v>
      </c>
      <c r="AI73" s="132">
        <f t="shared" si="95"/>
        <v>0</v>
      </c>
      <c r="AJ73" s="132">
        <f t="shared" si="95"/>
        <v>0</v>
      </c>
      <c r="AK73" s="132">
        <f t="shared" si="95"/>
        <v>0</v>
      </c>
      <c r="AL73" s="132">
        <f t="shared" si="95"/>
        <v>0</v>
      </c>
      <c r="AM73" s="132">
        <f t="shared" si="95"/>
        <v>455.1</v>
      </c>
      <c r="AN73" s="132">
        <f t="shared" si="95"/>
        <v>0</v>
      </c>
      <c r="AO73" s="132">
        <f t="shared" si="95"/>
        <v>0</v>
      </c>
      <c r="AP73" s="132">
        <f t="shared" si="95"/>
        <v>0</v>
      </c>
      <c r="AQ73" s="104"/>
      <c r="AR73" s="104"/>
      <c r="AS73" s="340" t="s">
        <v>281</v>
      </c>
      <c r="AT73" s="343" t="s">
        <v>300</v>
      </c>
      <c r="AU73" s="121"/>
      <c r="AV73" s="121"/>
      <c r="AW73" s="155"/>
    </row>
    <row r="74" spans="1:49" s="31" customFormat="1" ht="39" customHeight="1">
      <c r="A74" s="323"/>
      <c r="B74" s="326"/>
      <c r="C74" s="329"/>
      <c r="D74" s="332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1"/>
      <c r="AT74" s="344"/>
      <c r="AU74" s="121"/>
      <c r="AV74" s="121"/>
      <c r="AW74" s="155"/>
    </row>
    <row r="75" spans="1:49" s="31" customFormat="1" ht="13.5" customHeight="1">
      <c r="A75" s="323"/>
      <c r="B75" s="326"/>
      <c r="C75" s="329"/>
      <c r="D75" s="332"/>
      <c r="E75" s="108" t="s">
        <v>44</v>
      </c>
      <c r="F75" s="123">
        <f t="shared" ref="F75:F76" si="96">I75+L75+O75+R75+U75+X75+AA75+AD75+AG75+AJ75+AM75+AP75</f>
        <v>455.1</v>
      </c>
      <c r="G75" s="123">
        <f t="shared" ref="G75:G76" si="97">J75+M75+P75+S75+V75+Y75+AB75+AE75+AH75+AK75+AN75+AQ75</f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1"/>
      <c r="AT75" s="344"/>
      <c r="AU75" s="121"/>
      <c r="AV75" s="121"/>
      <c r="AW75" s="155"/>
    </row>
    <row r="76" spans="1:49" s="31" customFormat="1" ht="31.5" customHeight="1">
      <c r="A76" s="324"/>
      <c r="B76" s="327"/>
      <c r="C76" s="330"/>
      <c r="D76" s="333"/>
      <c r="E76" s="109" t="s">
        <v>257</v>
      </c>
      <c r="F76" s="123">
        <f t="shared" si="96"/>
        <v>0</v>
      </c>
      <c r="G76" s="123">
        <f t="shared" si="97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2"/>
      <c r="AT76" s="345"/>
      <c r="AU76" s="121"/>
      <c r="AV76" s="121"/>
      <c r="AW76" s="155"/>
    </row>
    <row r="77" spans="1:49" s="31" customFormat="1" ht="12.75" customHeight="1">
      <c r="A77" s="322" t="s">
        <v>399</v>
      </c>
      <c r="B77" s="325" t="s">
        <v>295</v>
      </c>
      <c r="C77" s="328" t="s">
        <v>401</v>
      </c>
      <c r="D77" s="331" t="s">
        <v>402</v>
      </c>
      <c r="E77" s="107" t="s">
        <v>42</v>
      </c>
      <c r="F77" s="123">
        <f>SUM(F78:F80)</f>
        <v>8560.9000000000015</v>
      </c>
      <c r="G77" s="123">
        <f t="shared" ref="G77" si="98">SUM(G78:G80)</f>
        <v>0</v>
      </c>
      <c r="H77" s="123">
        <f>G77/F77*100</f>
        <v>0</v>
      </c>
      <c r="I77" s="132">
        <f t="shared" ref="I77:AP77" si="99">I78+I79+I80</f>
        <v>0</v>
      </c>
      <c r="J77" s="132">
        <f t="shared" si="99"/>
        <v>0</v>
      </c>
      <c r="K77" s="123">
        <v>0</v>
      </c>
      <c r="L77" s="132">
        <f t="shared" si="99"/>
        <v>2276.1</v>
      </c>
      <c r="M77" s="132">
        <f t="shared" si="99"/>
        <v>0</v>
      </c>
      <c r="N77" s="132">
        <f>M77/L77*100</f>
        <v>0</v>
      </c>
      <c r="O77" s="132">
        <f t="shared" si="99"/>
        <v>1934</v>
      </c>
      <c r="P77" s="132">
        <f t="shared" si="99"/>
        <v>0</v>
      </c>
      <c r="Q77" s="123">
        <f t="shared" si="79"/>
        <v>0</v>
      </c>
      <c r="R77" s="132">
        <f t="shared" si="99"/>
        <v>267.2</v>
      </c>
      <c r="S77" s="132">
        <f t="shared" si="99"/>
        <v>0</v>
      </c>
      <c r="T77" s="132">
        <f t="shared" si="88"/>
        <v>0</v>
      </c>
      <c r="U77" s="132">
        <f t="shared" si="99"/>
        <v>1159.2</v>
      </c>
      <c r="V77" s="132">
        <f t="shared" si="99"/>
        <v>0</v>
      </c>
      <c r="W77" s="138">
        <f t="shared" ref="W77" si="100">V77/U77*100</f>
        <v>0</v>
      </c>
      <c r="X77" s="132">
        <f t="shared" si="99"/>
        <v>1227.2</v>
      </c>
      <c r="Y77" s="132">
        <f t="shared" si="99"/>
        <v>0</v>
      </c>
      <c r="Z77" s="132">
        <f t="shared" si="99"/>
        <v>0</v>
      </c>
      <c r="AA77" s="132">
        <f t="shared" si="99"/>
        <v>1014.2</v>
      </c>
      <c r="AB77" s="132">
        <f t="shared" si="99"/>
        <v>0</v>
      </c>
      <c r="AC77" s="117">
        <f>AB77/AA77*100</f>
        <v>0</v>
      </c>
      <c r="AD77" s="132">
        <f t="shared" si="99"/>
        <v>89.2</v>
      </c>
      <c r="AE77" s="132">
        <f t="shared" si="99"/>
        <v>0</v>
      </c>
      <c r="AF77" s="104">
        <f t="shared" ref="AF77" si="101">AE77/AD77*100</f>
        <v>0</v>
      </c>
      <c r="AG77" s="132">
        <f t="shared" si="99"/>
        <v>139.19999999999999</v>
      </c>
      <c r="AH77" s="132">
        <f t="shared" si="99"/>
        <v>0</v>
      </c>
      <c r="AI77" s="104">
        <f t="shared" ref="AI77" si="102">AH77/AG77*100</f>
        <v>0</v>
      </c>
      <c r="AJ77" s="132">
        <f t="shared" si="99"/>
        <v>101.2</v>
      </c>
      <c r="AK77" s="132">
        <f t="shared" si="99"/>
        <v>0</v>
      </c>
      <c r="AL77" s="132">
        <f t="shared" si="99"/>
        <v>0</v>
      </c>
      <c r="AM77" s="132">
        <f t="shared" si="99"/>
        <v>104.2</v>
      </c>
      <c r="AN77" s="132">
        <f t="shared" si="99"/>
        <v>0</v>
      </c>
      <c r="AO77" s="132">
        <f t="shared" si="99"/>
        <v>0</v>
      </c>
      <c r="AP77" s="132">
        <f t="shared" si="99"/>
        <v>249.20000000000002</v>
      </c>
      <c r="AQ77" s="104"/>
      <c r="AR77" s="104"/>
      <c r="AS77" s="334" t="s">
        <v>320</v>
      </c>
      <c r="AT77" s="337"/>
      <c r="AU77" s="121">
        <f t="shared" si="46"/>
        <v>8106.2999999999993</v>
      </c>
      <c r="AV77" s="121">
        <f t="shared" si="47"/>
        <v>0</v>
      </c>
      <c r="AW77" s="155">
        <f t="shared" si="48"/>
        <v>0</v>
      </c>
    </row>
    <row r="78" spans="1:49" s="31" customFormat="1" ht="36">
      <c r="A78" s="323"/>
      <c r="B78" s="326"/>
      <c r="C78" s="329"/>
      <c r="D78" s="332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5"/>
      <c r="AT78" s="338"/>
      <c r="AU78" s="121"/>
      <c r="AV78" s="121"/>
      <c r="AW78" s="155"/>
    </row>
    <row r="79" spans="1:49" s="31" customFormat="1" ht="12.75">
      <c r="A79" s="323"/>
      <c r="B79" s="326"/>
      <c r="C79" s="329"/>
      <c r="D79" s="332"/>
      <c r="E79" s="108" t="s">
        <v>44</v>
      </c>
      <c r="F79" s="123">
        <f t="shared" ref="F79:F80" si="103">I79+L79+O79+R79+U79+X79+AA79+AD79+AG79+AJ79+AM79+AP79</f>
        <v>8560.9000000000015</v>
      </c>
      <c r="G79" s="123">
        <f t="shared" ref="G79:G80" si="104">J79+M79+P79+S79+V79+Y79+AB79+AE79+AH79+AK79+AN79+AQ79</f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105">M79/L79*100</f>
        <v>0</v>
      </c>
      <c r="O79" s="123">
        <f>1844+40+50</f>
        <v>1934</v>
      </c>
      <c r="P79" s="123">
        <v>0</v>
      </c>
      <c r="Q79" s="123">
        <f t="shared" si="79"/>
        <v>0</v>
      </c>
      <c r="R79" s="123">
        <f>229.2+38</f>
        <v>267.2</v>
      </c>
      <c r="S79" s="123">
        <v>0</v>
      </c>
      <c r="T79" s="138">
        <f t="shared" si="88"/>
        <v>0</v>
      </c>
      <c r="U79" s="117">
        <f>1129.2+30</f>
        <v>1159.2</v>
      </c>
      <c r="V79" s="117">
        <v>0</v>
      </c>
      <c r="W79" s="138">
        <f t="shared" ref="W79" si="106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107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5"/>
      <c r="AT79" s="338"/>
      <c r="AU79" s="121">
        <f t="shared" si="46"/>
        <v>8106.2999999999993</v>
      </c>
      <c r="AV79" s="121">
        <f t="shared" si="47"/>
        <v>0</v>
      </c>
      <c r="AW79" s="155">
        <f t="shared" si="48"/>
        <v>0</v>
      </c>
    </row>
    <row r="80" spans="1:49" s="31" customFormat="1" ht="24">
      <c r="A80" s="324"/>
      <c r="B80" s="327"/>
      <c r="C80" s="330"/>
      <c r="D80" s="333"/>
      <c r="E80" s="109" t="s">
        <v>257</v>
      </c>
      <c r="F80" s="123">
        <f t="shared" si="103"/>
        <v>0</v>
      </c>
      <c r="G80" s="123">
        <f t="shared" si="104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36"/>
      <c r="AT80" s="339"/>
      <c r="AU80" s="121"/>
      <c r="AV80" s="121"/>
      <c r="AW80" s="155"/>
    </row>
    <row r="81" spans="1:48" s="100" customFormat="1" ht="12.75" customHeight="1">
      <c r="A81" s="304" t="s">
        <v>256</v>
      </c>
      <c r="B81" s="305"/>
      <c r="C81" s="305"/>
      <c r="D81" s="306"/>
      <c r="E81" s="110" t="s">
        <v>42</v>
      </c>
      <c r="F81" s="106">
        <f>F82+F83+F84</f>
        <v>433024.19999999995</v>
      </c>
      <c r="G81" s="106">
        <f t="shared" ref="G81:AP81" si="108">G82+G83+G84</f>
        <v>0</v>
      </c>
      <c r="H81" s="106">
        <f>G81/F81*100</f>
        <v>0</v>
      </c>
      <c r="I81" s="106">
        <f t="shared" si="108"/>
        <v>14819.3</v>
      </c>
      <c r="J81" s="106">
        <f t="shared" si="108"/>
        <v>0</v>
      </c>
      <c r="K81" s="106">
        <f>J81/I81*100</f>
        <v>0</v>
      </c>
      <c r="L81" s="106">
        <f t="shared" si="108"/>
        <v>45743.000000000007</v>
      </c>
      <c r="M81" s="106">
        <f t="shared" si="108"/>
        <v>0</v>
      </c>
      <c r="N81" s="106">
        <f>M81/L81*100</f>
        <v>0</v>
      </c>
      <c r="O81" s="106">
        <f t="shared" si="108"/>
        <v>37909.200000000004</v>
      </c>
      <c r="P81" s="106">
        <f t="shared" si="108"/>
        <v>0</v>
      </c>
      <c r="Q81" s="106">
        <f>P81/O81*100</f>
        <v>0</v>
      </c>
      <c r="R81" s="106">
        <f t="shared" si="108"/>
        <v>43738.3</v>
      </c>
      <c r="S81" s="106">
        <f t="shared" si="108"/>
        <v>0</v>
      </c>
      <c r="T81" s="106">
        <f>S81/R81*100</f>
        <v>0</v>
      </c>
      <c r="U81" s="106">
        <f t="shared" si="108"/>
        <v>35345.399999999994</v>
      </c>
      <c r="V81" s="106">
        <f t="shared" si="108"/>
        <v>0</v>
      </c>
      <c r="W81" s="106">
        <f t="shared" si="108"/>
        <v>0</v>
      </c>
      <c r="X81" s="106">
        <f t="shared" si="108"/>
        <v>38689.799999999996</v>
      </c>
      <c r="Y81" s="106">
        <f t="shared" si="108"/>
        <v>0</v>
      </c>
      <c r="Z81" s="106" t="e">
        <f t="shared" si="108"/>
        <v>#REF!</v>
      </c>
      <c r="AA81" s="106">
        <f t="shared" si="108"/>
        <v>50633.4</v>
      </c>
      <c r="AB81" s="106">
        <f t="shared" si="108"/>
        <v>0</v>
      </c>
      <c r="AC81" s="106" t="e">
        <f t="shared" si="108"/>
        <v>#REF!</v>
      </c>
      <c r="AD81" s="106">
        <f t="shared" si="108"/>
        <v>36461.199999999997</v>
      </c>
      <c r="AE81" s="106">
        <f t="shared" si="108"/>
        <v>0</v>
      </c>
      <c r="AF81" s="103">
        <f t="shared" ref="AF81:AF84" si="109">AE81/AD81*100</f>
        <v>0</v>
      </c>
      <c r="AG81" s="106">
        <f t="shared" si="108"/>
        <v>28451.69999999999</v>
      </c>
      <c r="AH81" s="106">
        <f t="shared" si="108"/>
        <v>0</v>
      </c>
      <c r="AI81" s="106" t="e">
        <f t="shared" si="108"/>
        <v>#REF!</v>
      </c>
      <c r="AJ81" s="106">
        <f t="shared" si="108"/>
        <v>24958.799999999999</v>
      </c>
      <c r="AK81" s="106">
        <f t="shared" si="108"/>
        <v>0</v>
      </c>
      <c r="AL81" s="106" t="e">
        <f t="shared" si="108"/>
        <v>#REF!</v>
      </c>
      <c r="AM81" s="106">
        <f t="shared" si="108"/>
        <v>25565.599999999995</v>
      </c>
      <c r="AN81" s="106">
        <f t="shared" si="108"/>
        <v>0</v>
      </c>
      <c r="AO81" s="106" t="e">
        <f t="shared" si="108"/>
        <v>#REF!</v>
      </c>
      <c r="AP81" s="106">
        <f t="shared" si="108"/>
        <v>50708.5</v>
      </c>
      <c r="AQ81" s="103">
        <f t="shared" ref="AQ81:AR81" si="110">SUM(AQ82:AQ84)</f>
        <v>0</v>
      </c>
      <c r="AR81" s="103" t="e">
        <f t="shared" si="110"/>
        <v>#REF!</v>
      </c>
      <c r="AS81" s="313"/>
      <c r="AT81" s="316"/>
      <c r="AU81" s="121"/>
      <c r="AV81" s="127"/>
    </row>
    <row r="82" spans="1:48" s="100" customFormat="1" ht="36">
      <c r="A82" s="307"/>
      <c r="B82" s="308"/>
      <c r="C82" s="308"/>
      <c r="D82" s="309"/>
      <c r="E82" s="111" t="s">
        <v>3</v>
      </c>
      <c r="F82" s="106">
        <f t="shared" ref="F82:G84" si="111">F10+F34+F49+F63</f>
        <v>124591.59999999998</v>
      </c>
      <c r="G82" s="106">
        <f t="shared" si="111"/>
        <v>0</v>
      </c>
      <c r="H82" s="106">
        <f>G82/F82*100</f>
        <v>0</v>
      </c>
      <c r="I82" s="106">
        <f t="shared" ref="I82:J84" si="112">I10+I34+I49+I63</f>
        <v>949.6</v>
      </c>
      <c r="J82" s="106">
        <f t="shared" si="112"/>
        <v>0</v>
      </c>
      <c r="K82" s="106">
        <f t="shared" ref="K82:K84" si="113">J82/I82*100</f>
        <v>0</v>
      </c>
      <c r="L82" s="106">
        <f t="shared" ref="L82:M84" si="114">L10+L34+L49+L63</f>
        <v>8876.4</v>
      </c>
      <c r="M82" s="106">
        <f t="shared" si="114"/>
        <v>0</v>
      </c>
      <c r="N82" s="106">
        <f t="shared" ref="N82:N84" si="115">M82/L82*100</f>
        <v>0</v>
      </c>
      <c r="O82" s="106">
        <f t="shared" ref="O82:P84" si="116">O10+O34+O49+O63</f>
        <v>9349.1999999999989</v>
      </c>
      <c r="P82" s="106">
        <f t="shared" si="116"/>
        <v>0</v>
      </c>
      <c r="Q82" s="106">
        <f t="shared" ref="Q82:Q84" si="117">P82/O82*100</f>
        <v>0</v>
      </c>
      <c r="R82" s="106">
        <f t="shared" ref="R82:S84" si="118">R10+R34+R49+R63</f>
        <v>10145.4</v>
      </c>
      <c r="S82" s="106">
        <f t="shared" si="118"/>
        <v>0</v>
      </c>
      <c r="T82" s="106">
        <f t="shared" ref="T82:T84" si="119">S82/R82*100</f>
        <v>0</v>
      </c>
      <c r="U82" s="106">
        <f t="shared" ref="U82:AE82" si="120">U10+U34+U49+U63</f>
        <v>8496.3999999999978</v>
      </c>
      <c r="V82" s="106">
        <f t="shared" si="120"/>
        <v>0</v>
      </c>
      <c r="W82" s="106">
        <f t="shared" si="120"/>
        <v>0</v>
      </c>
      <c r="X82" s="106">
        <f t="shared" si="120"/>
        <v>10177.699999999999</v>
      </c>
      <c r="Y82" s="106">
        <f t="shared" si="120"/>
        <v>0</v>
      </c>
      <c r="Z82" s="106" t="e">
        <f t="shared" si="120"/>
        <v>#REF!</v>
      </c>
      <c r="AA82" s="106">
        <f t="shared" si="120"/>
        <v>11495.900000000001</v>
      </c>
      <c r="AB82" s="106">
        <f t="shared" si="120"/>
        <v>0</v>
      </c>
      <c r="AC82" s="106" t="e">
        <f t="shared" si="120"/>
        <v>#REF!</v>
      </c>
      <c r="AD82" s="106">
        <f t="shared" si="120"/>
        <v>11156.3</v>
      </c>
      <c r="AE82" s="106">
        <f t="shared" si="120"/>
        <v>0</v>
      </c>
      <c r="AF82" s="103">
        <f t="shared" si="109"/>
        <v>0</v>
      </c>
      <c r="AG82" s="106">
        <f t="shared" ref="AG82:AR82" si="121">AG10+AG34+AG49+AG63</f>
        <v>9422.9</v>
      </c>
      <c r="AH82" s="106">
        <f t="shared" si="121"/>
        <v>0</v>
      </c>
      <c r="AI82" s="106" t="e">
        <f t="shared" si="121"/>
        <v>#REF!</v>
      </c>
      <c r="AJ82" s="106">
        <f t="shared" si="121"/>
        <v>9978.1999999999989</v>
      </c>
      <c r="AK82" s="106">
        <f t="shared" si="121"/>
        <v>0</v>
      </c>
      <c r="AL82" s="106" t="e">
        <f t="shared" si="121"/>
        <v>#REF!</v>
      </c>
      <c r="AM82" s="106">
        <f t="shared" si="121"/>
        <v>8872.0999999999985</v>
      </c>
      <c r="AN82" s="106">
        <f t="shared" si="121"/>
        <v>0</v>
      </c>
      <c r="AO82" s="106" t="e">
        <f t="shared" si="121"/>
        <v>#REF!</v>
      </c>
      <c r="AP82" s="106">
        <f t="shared" si="121"/>
        <v>25671.5</v>
      </c>
      <c r="AQ82" s="106">
        <f t="shared" si="121"/>
        <v>0</v>
      </c>
      <c r="AR82" s="106" t="e">
        <f t="shared" si="121"/>
        <v>#REF!</v>
      </c>
      <c r="AS82" s="314"/>
      <c r="AT82" s="317"/>
      <c r="AU82" s="121"/>
      <c r="AV82" s="127"/>
    </row>
    <row r="83" spans="1:48" s="100" customFormat="1" ht="24">
      <c r="A83" s="307"/>
      <c r="B83" s="308"/>
      <c r="C83" s="308"/>
      <c r="D83" s="309"/>
      <c r="E83" s="111" t="s">
        <v>44</v>
      </c>
      <c r="F83" s="106">
        <f t="shared" si="111"/>
        <v>302600.5</v>
      </c>
      <c r="G83" s="106">
        <f t="shared" si="111"/>
        <v>0</v>
      </c>
      <c r="H83" s="106">
        <f>G83/F83*100</f>
        <v>0</v>
      </c>
      <c r="I83" s="106">
        <f t="shared" si="112"/>
        <v>13607.9</v>
      </c>
      <c r="J83" s="106">
        <f t="shared" si="112"/>
        <v>0</v>
      </c>
      <c r="K83" s="106">
        <f t="shared" si="113"/>
        <v>0</v>
      </c>
      <c r="L83" s="106">
        <f t="shared" si="114"/>
        <v>36530.100000000006</v>
      </c>
      <c r="M83" s="106">
        <f t="shared" si="114"/>
        <v>0</v>
      </c>
      <c r="N83" s="106">
        <f t="shared" si="115"/>
        <v>0</v>
      </c>
      <c r="O83" s="106">
        <f t="shared" si="116"/>
        <v>27748.7</v>
      </c>
      <c r="P83" s="106">
        <f t="shared" si="116"/>
        <v>0</v>
      </c>
      <c r="Q83" s="106">
        <f t="shared" si="117"/>
        <v>0</v>
      </c>
      <c r="R83" s="106">
        <f t="shared" si="118"/>
        <v>32852.300000000003</v>
      </c>
      <c r="S83" s="106">
        <f t="shared" si="118"/>
        <v>0</v>
      </c>
      <c r="T83" s="106">
        <f t="shared" si="119"/>
        <v>0</v>
      </c>
      <c r="U83" s="106">
        <f t="shared" ref="U83:AE83" si="122">U11+U35+U50+U64</f>
        <v>26369.299999999996</v>
      </c>
      <c r="V83" s="106">
        <f t="shared" si="122"/>
        <v>0</v>
      </c>
      <c r="W83" s="106">
        <f t="shared" si="122"/>
        <v>0</v>
      </c>
      <c r="X83" s="106">
        <f t="shared" si="122"/>
        <v>28159.299999999992</v>
      </c>
      <c r="Y83" s="106">
        <f t="shared" si="122"/>
        <v>0</v>
      </c>
      <c r="Z83" s="106" t="e">
        <f t="shared" si="122"/>
        <v>#REF!</v>
      </c>
      <c r="AA83" s="106">
        <f t="shared" si="122"/>
        <v>38312</v>
      </c>
      <c r="AB83" s="106">
        <f t="shared" si="122"/>
        <v>0</v>
      </c>
      <c r="AC83" s="106" t="e">
        <f t="shared" si="122"/>
        <v>#REF!</v>
      </c>
      <c r="AD83" s="106">
        <f t="shared" si="122"/>
        <v>24785.899999999998</v>
      </c>
      <c r="AE83" s="106">
        <f t="shared" si="122"/>
        <v>0</v>
      </c>
      <c r="AF83" s="106">
        <f t="shared" si="109"/>
        <v>0</v>
      </c>
      <c r="AG83" s="106">
        <f t="shared" ref="AG83:AR83" si="123">AG11+AG35+AG50+AG64</f>
        <v>18727.199999999993</v>
      </c>
      <c r="AH83" s="106">
        <f t="shared" si="123"/>
        <v>0</v>
      </c>
      <c r="AI83" s="106" t="e">
        <f t="shared" si="123"/>
        <v>#REF!</v>
      </c>
      <c r="AJ83" s="106">
        <f t="shared" si="123"/>
        <v>14416.000000000002</v>
      </c>
      <c r="AK83" s="106">
        <f t="shared" si="123"/>
        <v>0</v>
      </c>
      <c r="AL83" s="106" t="e">
        <f t="shared" si="123"/>
        <v>#REF!</v>
      </c>
      <c r="AM83" s="106">
        <f t="shared" si="123"/>
        <v>16251.799999999997</v>
      </c>
      <c r="AN83" s="106">
        <f t="shared" si="123"/>
        <v>0</v>
      </c>
      <c r="AO83" s="106" t="e">
        <f t="shared" si="123"/>
        <v>#REF!</v>
      </c>
      <c r="AP83" s="106">
        <f t="shared" si="123"/>
        <v>24839.999999999996</v>
      </c>
      <c r="AQ83" s="106">
        <f t="shared" si="123"/>
        <v>0</v>
      </c>
      <c r="AR83" s="106" t="e">
        <f t="shared" si="123"/>
        <v>#REF!</v>
      </c>
      <c r="AS83" s="314"/>
      <c r="AT83" s="317"/>
      <c r="AU83" s="121"/>
      <c r="AV83" s="127"/>
    </row>
    <row r="84" spans="1:48" s="100" customFormat="1" ht="24">
      <c r="A84" s="310"/>
      <c r="B84" s="311"/>
      <c r="C84" s="311"/>
      <c r="D84" s="312"/>
      <c r="E84" s="110" t="s">
        <v>257</v>
      </c>
      <c r="F84" s="106">
        <f t="shared" si="111"/>
        <v>5832.1</v>
      </c>
      <c r="G84" s="106">
        <f t="shared" si="111"/>
        <v>0</v>
      </c>
      <c r="H84" s="106">
        <f>G84/F84*100</f>
        <v>0</v>
      </c>
      <c r="I84" s="106">
        <f t="shared" si="112"/>
        <v>261.8</v>
      </c>
      <c r="J84" s="106">
        <f t="shared" si="112"/>
        <v>0</v>
      </c>
      <c r="K84" s="106">
        <f t="shared" si="113"/>
        <v>0</v>
      </c>
      <c r="L84" s="106">
        <f t="shared" si="114"/>
        <v>336.5</v>
      </c>
      <c r="M84" s="106">
        <f t="shared" si="114"/>
        <v>0</v>
      </c>
      <c r="N84" s="106">
        <f t="shared" si="115"/>
        <v>0</v>
      </c>
      <c r="O84" s="106">
        <f t="shared" si="116"/>
        <v>811.3</v>
      </c>
      <c r="P84" s="106">
        <f t="shared" si="116"/>
        <v>0</v>
      </c>
      <c r="Q84" s="106">
        <f t="shared" si="117"/>
        <v>0</v>
      </c>
      <c r="R84" s="106">
        <f t="shared" si="118"/>
        <v>740.6</v>
      </c>
      <c r="S84" s="106">
        <f t="shared" si="118"/>
        <v>0</v>
      </c>
      <c r="T84" s="106">
        <f t="shared" si="119"/>
        <v>0</v>
      </c>
      <c r="U84" s="106">
        <f t="shared" ref="U84:AE84" si="124">U12+U36+U51+U65</f>
        <v>479.7</v>
      </c>
      <c r="V84" s="106">
        <f t="shared" si="124"/>
        <v>0</v>
      </c>
      <c r="W84" s="106">
        <f t="shared" si="124"/>
        <v>0</v>
      </c>
      <c r="X84" s="106">
        <f t="shared" si="124"/>
        <v>352.8</v>
      </c>
      <c r="Y84" s="106">
        <f t="shared" si="124"/>
        <v>0</v>
      </c>
      <c r="Z84" s="106" t="e">
        <f t="shared" si="124"/>
        <v>#REF!</v>
      </c>
      <c r="AA84" s="106">
        <f t="shared" si="124"/>
        <v>825.5</v>
      </c>
      <c r="AB84" s="106">
        <f t="shared" si="124"/>
        <v>0</v>
      </c>
      <c r="AC84" s="106" t="e">
        <f t="shared" si="124"/>
        <v>#REF!</v>
      </c>
      <c r="AD84" s="106">
        <f t="shared" si="124"/>
        <v>519</v>
      </c>
      <c r="AE84" s="106">
        <f t="shared" si="124"/>
        <v>0</v>
      </c>
      <c r="AF84" s="106">
        <f t="shared" si="109"/>
        <v>0</v>
      </c>
      <c r="AG84" s="106">
        <f t="shared" ref="AG84:AR84" si="125">AG12+AG36+AG51+AG65</f>
        <v>301.60000000000002</v>
      </c>
      <c r="AH84" s="106">
        <f t="shared" si="125"/>
        <v>0</v>
      </c>
      <c r="AI84" s="106" t="e">
        <f t="shared" si="125"/>
        <v>#REF!</v>
      </c>
      <c r="AJ84" s="106">
        <f t="shared" si="125"/>
        <v>564.6</v>
      </c>
      <c r="AK84" s="106">
        <f t="shared" si="125"/>
        <v>0</v>
      </c>
      <c r="AL84" s="106" t="e">
        <f t="shared" si="125"/>
        <v>#REF!</v>
      </c>
      <c r="AM84" s="106">
        <f t="shared" si="125"/>
        <v>441.7</v>
      </c>
      <c r="AN84" s="106">
        <f t="shared" si="125"/>
        <v>0</v>
      </c>
      <c r="AO84" s="106" t="e">
        <f t="shared" si="125"/>
        <v>#REF!</v>
      </c>
      <c r="AP84" s="106">
        <f t="shared" si="125"/>
        <v>197</v>
      </c>
      <c r="AQ84" s="106">
        <f t="shared" si="125"/>
        <v>0</v>
      </c>
      <c r="AR84" s="106" t="e">
        <f t="shared" si="125"/>
        <v>#REF!</v>
      </c>
      <c r="AS84" s="315"/>
      <c r="AT84" s="318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19"/>
      <c r="C86" s="319"/>
      <c r="D86" s="319"/>
      <c r="E86" s="320"/>
      <c r="F86" s="321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3" t="s">
        <v>282</v>
      </c>
      <c r="B88" s="303"/>
      <c r="C88" s="303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3" t="s">
        <v>283</v>
      </c>
      <c r="B89" s="303"/>
      <c r="C89" s="303"/>
      <c r="D89" s="303"/>
      <c r="E89" s="303"/>
      <c r="F89" s="303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3"/>
      <c r="B90" s="303"/>
      <c r="C90" s="303"/>
      <c r="D90" s="303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3"/>
      <c r="B92" s="303"/>
      <c r="C92" s="303"/>
      <c r="D92" s="303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3" t="s">
        <v>290</v>
      </c>
      <c r="B96" s="303"/>
      <c r="C96" s="303"/>
      <c r="D96" s="303"/>
      <c r="AS96" s="131"/>
    </row>
    <row r="97" spans="1:45">
      <c r="A97" s="303" t="s">
        <v>291</v>
      </c>
      <c r="B97" s="303"/>
      <c r="C97" s="303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 H14 H19">
    <cfRule type="cellIs" dxfId="4" priority="2" stopIfTrue="1" operator="notEqual">
      <formula>#REF!</formula>
    </cfRule>
  </conditionalFormatting>
  <pageMargins left="0.70866141732283472" right="0.11811023622047245" top="0.31496062992125984" bottom="0.23622047244094491" header="0.31496062992125984" footer="0.31496062992125984"/>
  <pageSetup paperSize="9" scale="58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U9" activePane="bottomRight" state="frozen"/>
      <selection pane="topRight" activeCell="E1" sqref="E1"/>
      <selection pane="bottomLeft" activeCell="A9" sqref="A9"/>
      <selection pane="bottomRight" activeCell="R80" sqref="R80"/>
    </sheetView>
  </sheetViews>
  <sheetFormatPr defaultRowHeight="15"/>
  <cols>
    <col min="2" max="4" width="23.710937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hidden="1" customWidth="1"/>
    <col min="14" max="14" width="9.140625" hidden="1" customWidth="1"/>
    <col min="16" max="16" width="9.140625" hidden="1" customWidth="1"/>
    <col min="17" max="17" width="10.7109375" hidden="1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397" t="s">
        <v>403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173"/>
    </row>
    <row r="3" spans="1:49" s="118" customFormat="1" ht="15.7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174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25.5" customHeight="1">
      <c r="A5" s="396" t="s">
        <v>0</v>
      </c>
      <c r="B5" s="396" t="s">
        <v>261</v>
      </c>
      <c r="C5" s="399" t="s">
        <v>47</v>
      </c>
      <c r="D5" s="399" t="s">
        <v>262</v>
      </c>
      <c r="E5" s="396" t="s">
        <v>1</v>
      </c>
      <c r="F5" s="396" t="s">
        <v>263</v>
      </c>
      <c r="G5" s="396"/>
      <c r="H5" s="396"/>
      <c r="I5" s="396" t="s">
        <v>18</v>
      </c>
      <c r="J5" s="396"/>
      <c r="K5" s="396"/>
      <c r="L5" s="396" t="s">
        <v>19</v>
      </c>
      <c r="M5" s="396"/>
      <c r="N5" s="396"/>
      <c r="O5" s="396" t="s">
        <v>23</v>
      </c>
      <c r="P5" s="396"/>
      <c r="Q5" s="396"/>
      <c r="R5" s="396" t="s">
        <v>25</v>
      </c>
      <c r="S5" s="396"/>
      <c r="T5" s="396"/>
      <c r="U5" s="396" t="s">
        <v>26</v>
      </c>
      <c r="V5" s="396"/>
      <c r="W5" s="396"/>
      <c r="X5" s="396" t="s">
        <v>27</v>
      </c>
      <c r="Y5" s="396"/>
      <c r="Z5" s="396"/>
      <c r="AA5" s="396" t="s">
        <v>29</v>
      </c>
      <c r="AB5" s="396"/>
      <c r="AC5" s="396"/>
      <c r="AD5" s="396" t="s">
        <v>30</v>
      </c>
      <c r="AE5" s="396"/>
      <c r="AF5" s="396"/>
      <c r="AG5" s="396" t="s">
        <v>31</v>
      </c>
      <c r="AH5" s="396"/>
      <c r="AI5" s="396"/>
      <c r="AJ5" s="396" t="s">
        <v>33</v>
      </c>
      <c r="AK5" s="396"/>
      <c r="AL5" s="396"/>
      <c r="AM5" s="396" t="s">
        <v>34</v>
      </c>
      <c r="AN5" s="396"/>
      <c r="AO5" s="396"/>
      <c r="AP5" s="396" t="s">
        <v>35</v>
      </c>
      <c r="AQ5" s="396"/>
      <c r="AR5" s="396"/>
      <c r="AS5" s="394" t="s">
        <v>273</v>
      </c>
      <c r="AT5" s="395" t="s">
        <v>274</v>
      </c>
      <c r="AU5" s="32"/>
      <c r="AV5" s="32"/>
    </row>
    <row r="6" spans="1:49" s="31" customFormat="1" ht="25.5">
      <c r="A6" s="396"/>
      <c r="B6" s="396"/>
      <c r="C6" s="400"/>
      <c r="D6" s="400"/>
      <c r="E6" s="396"/>
      <c r="F6" s="175" t="s">
        <v>264</v>
      </c>
      <c r="G6" s="175" t="s">
        <v>265</v>
      </c>
      <c r="H6" s="128" t="s">
        <v>266</v>
      </c>
      <c r="I6" s="175" t="s">
        <v>264</v>
      </c>
      <c r="J6" s="175" t="s">
        <v>265</v>
      </c>
      <c r="K6" s="128" t="s">
        <v>266</v>
      </c>
      <c r="L6" s="175" t="s">
        <v>264</v>
      </c>
      <c r="M6" s="175" t="s">
        <v>265</v>
      </c>
      <c r="N6" s="128" t="s">
        <v>266</v>
      </c>
      <c r="O6" s="175" t="s">
        <v>264</v>
      </c>
      <c r="P6" s="175" t="s">
        <v>265</v>
      </c>
      <c r="Q6" s="128" t="s">
        <v>266</v>
      </c>
      <c r="R6" s="175" t="s">
        <v>264</v>
      </c>
      <c r="S6" s="175" t="s">
        <v>265</v>
      </c>
      <c r="T6" s="128" t="s">
        <v>266</v>
      </c>
      <c r="U6" s="175" t="s">
        <v>264</v>
      </c>
      <c r="V6" s="175" t="s">
        <v>265</v>
      </c>
      <c r="W6" s="128" t="s">
        <v>266</v>
      </c>
      <c r="X6" s="175" t="s">
        <v>264</v>
      </c>
      <c r="Y6" s="175" t="s">
        <v>265</v>
      </c>
      <c r="Z6" s="128" t="s">
        <v>266</v>
      </c>
      <c r="AA6" s="175" t="s">
        <v>264</v>
      </c>
      <c r="AB6" s="175" t="s">
        <v>265</v>
      </c>
      <c r="AC6" s="128" t="s">
        <v>266</v>
      </c>
      <c r="AD6" s="175" t="s">
        <v>264</v>
      </c>
      <c r="AE6" s="175" t="s">
        <v>265</v>
      </c>
      <c r="AF6" s="128" t="s">
        <v>266</v>
      </c>
      <c r="AG6" s="175" t="s">
        <v>264</v>
      </c>
      <c r="AH6" s="175" t="s">
        <v>265</v>
      </c>
      <c r="AI6" s="128" t="s">
        <v>266</v>
      </c>
      <c r="AJ6" s="175" t="s">
        <v>264</v>
      </c>
      <c r="AK6" s="175" t="s">
        <v>265</v>
      </c>
      <c r="AL6" s="128" t="s">
        <v>266</v>
      </c>
      <c r="AM6" s="175" t="s">
        <v>264</v>
      </c>
      <c r="AN6" s="175" t="s">
        <v>265</v>
      </c>
      <c r="AO6" s="128" t="s">
        <v>266</v>
      </c>
      <c r="AP6" s="175" t="s">
        <v>264</v>
      </c>
      <c r="AQ6" s="175" t="s">
        <v>265</v>
      </c>
      <c r="AR6" s="128" t="s">
        <v>266</v>
      </c>
      <c r="AS6" s="394"/>
      <c r="AT6" s="395"/>
    </row>
    <row r="7" spans="1:49" s="31" customFormat="1" ht="15.75">
      <c r="A7" s="346" t="s">
        <v>322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8"/>
    </row>
    <row r="8" spans="1:49" s="31" customFormat="1" ht="15.75">
      <c r="A8" s="346" t="s">
        <v>294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8"/>
    </row>
    <row r="9" spans="1:49" s="100" customFormat="1" ht="12.75">
      <c r="A9" s="382" t="s">
        <v>267</v>
      </c>
      <c r="B9" s="383"/>
      <c r="C9" s="383"/>
      <c r="D9" s="384"/>
      <c r="E9" s="129" t="s">
        <v>42</v>
      </c>
      <c r="F9" s="106">
        <f>F10+F11+F12</f>
        <v>387855.89999999991</v>
      </c>
      <c r="G9" s="106">
        <f t="shared" ref="G9:AP9" si="0">G10+G11+G12</f>
        <v>24711</v>
      </c>
      <c r="H9" s="106">
        <f>G9/F9*100</f>
        <v>6.3711806369324293</v>
      </c>
      <c r="I9" s="106">
        <f t="shared" si="0"/>
        <v>14386.5</v>
      </c>
      <c r="J9" s="106">
        <f t="shared" si="0"/>
        <v>24711</v>
      </c>
      <c r="K9" s="106">
        <f>J9/I9*100</f>
        <v>171.76519653842143</v>
      </c>
      <c r="L9" s="106">
        <f t="shared" si="0"/>
        <v>40977.500000000007</v>
      </c>
      <c r="M9" s="106">
        <f t="shared" si="0"/>
        <v>0</v>
      </c>
      <c r="N9" s="106">
        <f>M9/L9*100</f>
        <v>0</v>
      </c>
      <c r="O9" s="106">
        <f t="shared" si="0"/>
        <v>33490.6</v>
      </c>
      <c r="P9" s="106">
        <f t="shared" si="0"/>
        <v>0</v>
      </c>
      <c r="Q9" s="106">
        <f>P9/O9*100</f>
        <v>0</v>
      </c>
      <c r="R9" s="106">
        <f t="shared" si="0"/>
        <v>40349.699999999997</v>
      </c>
      <c r="S9" s="106">
        <f t="shared" si="0"/>
        <v>0</v>
      </c>
      <c r="T9" s="106">
        <f>S9/R9*100</f>
        <v>0</v>
      </c>
      <c r="U9" s="106">
        <f t="shared" si="0"/>
        <v>31635.799999999996</v>
      </c>
      <c r="V9" s="106">
        <f t="shared" si="0"/>
        <v>0</v>
      </c>
      <c r="W9" s="106">
        <f>V9/U9*100</f>
        <v>0</v>
      </c>
      <c r="X9" s="106">
        <f t="shared" si="0"/>
        <v>34470.699999999997</v>
      </c>
      <c r="Y9" s="106">
        <f t="shared" si="0"/>
        <v>0</v>
      </c>
      <c r="Z9" s="106" t="e">
        <f t="shared" si="0"/>
        <v>#REF!</v>
      </c>
      <c r="AA9" s="106">
        <f t="shared" si="0"/>
        <v>45981.8</v>
      </c>
      <c r="AB9" s="106">
        <f t="shared" si="0"/>
        <v>0</v>
      </c>
      <c r="AC9" s="106" t="e">
        <f t="shared" si="0"/>
        <v>#REF!</v>
      </c>
      <c r="AD9" s="106">
        <f t="shared" si="0"/>
        <v>33741.599999999999</v>
      </c>
      <c r="AE9" s="106">
        <f t="shared" si="0"/>
        <v>0</v>
      </c>
      <c r="AF9" s="106">
        <f>AE9/AD9*100</f>
        <v>0</v>
      </c>
      <c r="AG9" s="106">
        <f t="shared" si="0"/>
        <v>25527.399999999994</v>
      </c>
      <c r="AH9" s="106">
        <f t="shared" si="0"/>
        <v>0</v>
      </c>
      <c r="AI9" s="106" t="e">
        <f t="shared" si="0"/>
        <v>#REF!</v>
      </c>
      <c r="AJ9" s="106">
        <f t="shared" si="0"/>
        <v>21812.199999999997</v>
      </c>
      <c r="AK9" s="106">
        <f t="shared" si="0"/>
        <v>0</v>
      </c>
      <c r="AL9" s="106" t="e">
        <f t="shared" si="0"/>
        <v>#REF!</v>
      </c>
      <c r="AM9" s="106">
        <f t="shared" si="0"/>
        <v>21829.799999999996</v>
      </c>
      <c r="AN9" s="106">
        <f t="shared" si="0"/>
        <v>0</v>
      </c>
      <c r="AO9" s="106" t="e">
        <f t="shared" si="0"/>
        <v>#REF!</v>
      </c>
      <c r="AP9" s="106">
        <f t="shared" si="0"/>
        <v>43652.299999999996</v>
      </c>
      <c r="AQ9" s="106" t="e">
        <f>#REF!+#REF!</f>
        <v>#REF!</v>
      </c>
      <c r="AR9" s="106" t="e">
        <f>#REF!+#REF!</f>
        <v>#REF!</v>
      </c>
      <c r="AS9" s="313"/>
      <c r="AT9" s="391"/>
      <c r="AU9" s="127"/>
    </row>
    <row r="10" spans="1:49" s="100" customFormat="1" ht="36">
      <c r="A10" s="385"/>
      <c r="B10" s="386"/>
      <c r="C10" s="386"/>
      <c r="D10" s="387"/>
      <c r="E10" s="111" t="s">
        <v>3</v>
      </c>
      <c r="F10" s="106">
        <f>F14+F18+F23+F26+F30</f>
        <v>93990.699999999983</v>
      </c>
      <c r="G10" s="106">
        <f>G14+G18+G23+G26+G30</f>
        <v>924.5</v>
      </c>
      <c r="H10" s="106">
        <f>G10/F10*100</f>
        <v>0.98360795270170365</v>
      </c>
      <c r="I10" s="106">
        <f>I14+I18+I23+I26+I30</f>
        <v>949.99999999999989</v>
      </c>
      <c r="J10" s="106">
        <f>J14+J18+J23+J26+J30</f>
        <v>924.5</v>
      </c>
      <c r="K10" s="106">
        <f t="shared" ref="K10:K12" si="1">J10/I10*100</f>
        <v>97.31578947368422</v>
      </c>
      <c r="L10" s="106">
        <f>L14+L18+L23+L26+L30</f>
        <v>6698.4</v>
      </c>
      <c r="M10" s="106">
        <f>M14+M18+M23+M26+M30</f>
        <v>0</v>
      </c>
      <c r="N10" s="106">
        <f t="shared" ref="N10:N12" si="2">M10/L10*100</f>
        <v>0</v>
      </c>
      <c r="O10" s="106">
        <f>O14+O18+O23+O26+O30</f>
        <v>7444.7999999999993</v>
      </c>
      <c r="P10" s="106">
        <f>P14+P18+P23+P26+P30</f>
        <v>0</v>
      </c>
      <c r="Q10" s="106">
        <f t="shared" ref="Q10:Q12" si="3">P10/O10*100</f>
        <v>0</v>
      </c>
      <c r="R10" s="106">
        <f>R14+R18+R23+R26+R30</f>
        <v>7135.4</v>
      </c>
      <c r="S10" s="106">
        <f>S14+S18+S23+S26+S30</f>
        <v>0</v>
      </c>
      <c r="T10" s="106">
        <f t="shared" ref="T10:T12" si="4">S10/R10*100</f>
        <v>0</v>
      </c>
      <c r="U10" s="106">
        <f>U14+U18+U23+U26+U30</f>
        <v>6459.3999999999987</v>
      </c>
      <c r="V10" s="106">
        <f>V14+V18+V23+V26+V30</f>
        <v>0</v>
      </c>
      <c r="W10" s="106">
        <f t="shared" ref="W10:W12" si="5">V10/U10*100</f>
        <v>0</v>
      </c>
      <c r="X10" s="106">
        <f>X14+X18+X23+X26+X30</f>
        <v>7599.6999999999989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7969.9000000000005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9039.2999999999993</v>
      </c>
      <c r="AE10" s="106">
        <f>AE14+AE18+AE23+AE26+AE30</f>
        <v>0</v>
      </c>
      <c r="AF10" s="106">
        <f t="shared" ref="AF10:AF25" si="6">AE10/AD10*100</f>
        <v>0</v>
      </c>
      <c r="AG10" s="106">
        <f>AG14+AG18+AG23+AG26+AG30</f>
        <v>6928.9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7044.1999999999989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7060.0999999999995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19660.599999999999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4"/>
      <c r="AT10" s="392"/>
      <c r="AU10" s="127"/>
    </row>
    <row r="11" spans="1:49" s="100" customFormat="1" ht="24">
      <c r="A11" s="385"/>
      <c r="B11" s="386"/>
      <c r="C11" s="386"/>
      <c r="D11" s="387"/>
      <c r="E11" s="111" t="s">
        <v>44</v>
      </c>
      <c r="F11" s="106">
        <f>F15+F19+F24+F27+F31</f>
        <v>288033.09999999998</v>
      </c>
      <c r="G11" s="106">
        <f>G15+G19+G24+G27+G31</f>
        <v>23786.5</v>
      </c>
      <c r="H11" s="106">
        <f>G11/F11*100</f>
        <v>8.2582522633683428</v>
      </c>
      <c r="I11" s="106">
        <f>I15+I19+I24+I27+I31</f>
        <v>13174.7</v>
      </c>
      <c r="J11" s="106">
        <f>J15+J19+J24+J27+J31</f>
        <v>23786.5</v>
      </c>
      <c r="K11" s="106">
        <f t="shared" si="1"/>
        <v>180.54680561986228</v>
      </c>
      <c r="L11" s="106">
        <f>L15+L19+L24+L27+L31</f>
        <v>33942.600000000006</v>
      </c>
      <c r="M11" s="106">
        <f>M15+M19+M24+M27+M31</f>
        <v>0</v>
      </c>
      <c r="N11" s="106">
        <f t="shared" si="2"/>
        <v>0</v>
      </c>
      <c r="O11" s="106">
        <f>O15+O19+O24+O27+O31</f>
        <v>25234.5</v>
      </c>
      <c r="P11" s="106">
        <f>P15+P19+P24+P27+P31</f>
        <v>0</v>
      </c>
      <c r="Q11" s="106">
        <f t="shared" si="3"/>
        <v>0</v>
      </c>
      <c r="R11" s="106">
        <f>R15+R19+R24+R27+R31</f>
        <v>32473.7</v>
      </c>
      <c r="S11" s="106">
        <f>S15+S19+S24+S27+S31</f>
        <v>0</v>
      </c>
      <c r="T11" s="106">
        <f t="shared" si="4"/>
        <v>0</v>
      </c>
      <c r="U11" s="106">
        <f>U15+U19+U24+U27+U31</f>
        <v>24696.699999999997</v>
      </c>
      <c r="V11" s="106">
        <f>V15+V19+V24+V27+V31</f>
        <v>0</v>
      </c>
      <c r="W11" s="106">
        <f t="shared" si="5"/>
        <v>0</v>
      </c>
      <c r="X11" s="106">
        <f>X15+X19+X24+X27+X31</f>
        <v>26518.199999999997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37186.400000000001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6"/>
        <v>0</v>
      </c>
      <c r="AG11" s="106">
        <f>AG15+AG19+AG24+AG27+AG31</f>
        <v>18296.899999999994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14203.400000000001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14327.999999999996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23794.699999999997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4"/>
      <c r="AT11" s="392"/>
      <c r="AU11" s="127"/>
    </row>
    <row r="12" spans="1:49" s="100" customFormat="1" ht="24">
      <c r="A12" s="388"/>
      <c r="B12" s="389"/>
      <c r="C12" s="389"/>
      <c r="D12" s="390"/>
      <c r="E12" s="110" t="s">
        <v>257</v>
      </c>
      <c r="F12" s="106">
        <f>F16+F20+F28</f>
        <v>5832.1</v>
      </c>
      <c r="G12" s="106">
        <f>G16+G20+G28</f>
        <v>0</v>
      </c>
      <c r="H12" s="106">
        <f>G12/F12*100</f>
        <v>0</v>
      </c>
      <c r="I12" s="106">
        <f>I16+I20+I28</f>
        <v>261.8</v>
      </c>
      <c r="J12" s="106">
        <f>J16+J20+J28</f>
        <v>0</v>
      </c>
      <c r="K12" s="106">
        <f t="shared" si="1"/>
        <v>0</v>
      </c>
      <c r="L12" s="106">
        <f>L16+L20+L28</f>
        <v>336.5</v>
      </c>
      <c r="M12" s="106">
        <f>M16+M20+M28</f>
        <v>0</v>
      </c>
      <c r="N12" s="106">
        <f t="shared" si="2"/>
        <v>0</v>
      </c>
      <c r="O12" s="106">
        <f>O16+O20+O28</f>
        <v>811.3</v>
      </c>
      <c r="P12" s="106">
        <f>P16+P20+P28</f>
        <v>0</v>
      </c>
      <c r="Q12" s="106">
        <f t="shared" si="3"/>
        <v>0</v>
      </c>
      <c r="R12" s="106">
        <f>R16+R20+R28</f>
        <v>740.6</v>
      </c>
      <c r="S12" s="106">
        <f>S16+S20+S28</f>
        <v>0</v>
      </c>
      <c r="T12" s="106">
        <f t="shared" si="4"/>
        <v>0</v>
      </c>
      <c r="U12" s="106">
        <f>U16+U20+U28</f>
        <v>479.7</v>
      </c>
      <c r="V12" s="106">
        <f>V16+V20+V28</f>
        <v>0</v>
      </c>
      <c r="W12" s="106">
        <f t="shared" si="5"/>
        <v>0</v>
      </c>
      <c r="X12" s="106">
        <f>X16+X20+X28</f>
        <v>352.8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825.5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6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441.7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197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5"/>
      <c r="AT12" s="393"/>
      <c r="AU12" s="127"/>
    </row>
    <row r="13" spans="1:49" s="31" customFormat="1" ht="12.75">
      <c r="A13" s="361" t="s">
        <v>323</v>
      </c>
      <c r="B13" s="325" t="s">
        <v>324</v>
      </c>
      <c r="C13" s="328" t="s">
        <v>325</v>
      </c>
      <c r="D13" s="328" t="s">
        <v>326</v>
      </c>
      <c r="E13" s="107" t="s">
        <v>42</v>
      </c>
      <c r="F13" s="104">
        <f>SUM(F14:F16)</f>
        <v>300702.99999999994</v>
      </c>
      <c r="G13" s="123">
        <f t="shared" ref="G13:P13" si="7">SUM(G14:G16)</f>
        <v>18204.3</v>
      </c>
      <c r="H13" s="123">
        <f>G13/F13*100</f>
        <v>6.053913662317969</v>
      </c>
      <c r="I13" s="123">
        <f t="shared" si="7"/>
        <v>6660.1</v>
      </c>
      <c r="J13" s="123">
        <f t="shared" si="7"/>
        <v>18204.3</v>
      </c>
      <c r="K13" s="123">
        <f>J13/I13*100</f>
        <v>273.33373372772178</v>
      </c>
      <c r="L13" s="123">
        <f t="shared" si="7"/>
        <v>32379.700000000004</v>
      </c>
      <c r="M13" s="123">
        <f t="shared" si="7"/>
        <v>0</v>
      </c>
      <c r="N13" s="123">
        <f>M13/L13*100</f>
        <v>0</v>
      </c>
      <c r="O13" s="123">
        <f t="shared" si="7"/>
        <v>26037.399999999998</v>
      </c>
      <c r="P13" s="123">
        <f t="shared" si="7"/>
        <v>0</v>
      </c>
      <c r="Q13" s="123">
        <f>P13/O13*100</f>
        <v>0</v>
      </c>
      <c r="R13" s="123">
        <f t="shared" ref="R13:AR13" si="8">SUM(R14:R16)</f>
        <v>32770.699999999997</v>
      </c>
      <c r="S13" s="123">
        <f t="shared" si="8"/>
        <v>0</v>
      </c>
      <c r="T13" s="123">
        <f>S13/R13*100</f>
        <v>0</v>
      </c>
      <c r="U13" s="123">
        <f t="shared" si="8"/>
        <v>24105.5</v>
      </c>
      <c r="V13" s="123">
        <f t="shared" si="8"/>
        <v>0</v>
      </c>
      <c r="W13" s="123">
        <f>V13/U13*100</f>
        <v>0</v>
      </c>
      <c r="X13" s="123">
        <f t="shared" si="8"/>
        <v>26537.299999999996</v>
      </c>
      <c r="Y13" s="123">
        <f t="shared" si="8"/>
        <v>0</v>
      </c>
      <c r="Z13" s="123">
        <f t="shared" si="8"/>
        <v>0</v>
      </c>
      <c r="AA13" s="104">
        <f t="shared" si="8"/>
        <v>37741.9</v>
      </c>
      <c r="AB13" s="123">
        <f t="shared" si="8"/>
        <v>0</v>
      </c>
      <c r="AC13" s="123">
        <f t="shared" si="8"/>
        <v>0</v>
      </c>
      <c r="AD13" s="104">
        <f t="shared" si="8"/>
        <v>26948.3</v>
      </c>
      <c r="AE13" s="104">
        <f t="shared" si="8"/>
        <v>0</v>
      </c>
      <c r="AF13" s="104">
        <f t="shared" si="6"/>
        <v>0</v>
      </c>
      <c r="AG13" s="104">
        <f t="shared" si="8"/>
        <v>19259.599999999995</v>
      </c>
      <c r="AH13" s="123">
        <f t="shared" si="8"/>
        <v>0</v>
      </c>
      <c r="AI13" s="123">
        <v>0</v>
      </c>
      <c r="AJ13" s="123">
        <f t="shared" si="8"/>
        <v>15428.3</v>
      </c>
      <c r="AK13" s="123">
        <f t="shared" si="8"/>
        <v>0</v>
      </c>
      <c r="AL13" s="123">
        <f t="shared" si="8"/>
        <v>0</v>
      </c>
      <c r="AM13" s="104">
        <f t="shared" si="8"/>
        <v>16239.599999999999</v>
      </c>
      <c r="AN13" s="123">
        <f t="shared" si="8"/>
        <v>0</v>
      </c>
      <c r="AO13" s="123">
        <f t="shared" si="8"/>
        <v>0</v>
      </c>
      <c r="AP13" s="104">
        <f t="shared" si="8"/>
        <v>36594.6</v>
      </c>
      <c r="AQ13" s="123">
        <f t="shared" si="8"/>
        <v>0</v>
      </c>
      <c r="AR13" s="123">
        <f t="shared" si="8"/>
        <v>0</v>
      </c>
      <c r="AS13" s="334" t="s">
        <v>309</v>
      </c>
      <c r="AT13" s="379" t="s">
        <v>308</v>
      </c>
      <c r="AU13" s="121"/>
      <c r="AV13" s="121"/>
      <c r="AW13" s="155"/>
    </row>
    <row r="14" spans="1:49" s="31" customFormat="1" ht="36">
      <c r="A14" s="362"/>
      <c r="B14" s="326"/>
      <c r="C14" s="329"/>
      <c r="D14" s="329"/>
      <c r="E14" s="108" t="s">
        <v>3</v>
      </c>
      <c r="F14" s="123">
        <f>I14+L14+O14+R14+U14+X14+AA14+AD14+AG14+AJ14+AM14+AP14</f>
        <v>91443.299999999988</v>
      </c>
      <c r="G14" s="123">
        <f>J14+M14+P14+S14+V14+Y14+AB14+AE14+AH14+AK14+AN14+AQ14</f>
        <v>826.6</v>
      </c>
      <c r="H14" s="123">
        <v>0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0</v>
      </c>
      <c r="N14" s="123">
        <v>0</v>
      </c>
      <c r="O14" s="123">
        <f>5300+79.4+1165.4-6.3+184.6</f>
        <v>6723.0999999999995</v>
      </c>
      <c r="P14" s="123">
        <v>0</v>
      </c>
      <c r="Q14" s="123">
        <v>0</v>
      </c>
      <c r="R14" s="123">
        <f>5300+226+5+1479.9</f>
        <v>7010.9</v>
      </c>
      <c r="S14" s="123">
        <v>0</v>
      </c>
      <c r="T14" s="123">
        <v>0</v>
      </c>
      <c r="U14" s="117">
        <f>5300+19.7+79.4+21+897.9</f>
        <v>6317.9999999999991</v>
      </c>
      <c r="V14" s="117">
        <v>0</v>
      </c>
      <c r="W14" s="117">
        <v>0</v>
      </c>
      <c r="X14" s="117">
        <f>6259+53.9+5+1168.2-27.8</f>
        <v>7458.2999999999993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</f>
        <v>8873.5</v>
      </c>
      <c r="AE14" s="117">
        <v>0</v>
      </c>
      <c r="AF14" s="117">
        <v>0</v>
      </c>
      <c r="AG14" s="117">
        <f>108.1+5300+71+123+136.5+561.4+365.7</f>
        <v>6665.7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</f>
        <v>19440.599999999999</v>
      </c>
      <c r="AQ14" s="123"/>
      <c r="AR14" s="123"/>
      <c r="AS14" s="335"/>
      <c r="AT14" s="380"/>
      <c r="AU14" s="121"/>
      <c r="AV14" s="121"/>
      <c r="AW14" s="155"/>
    </row>
    <row r="15" spans="1:49" s="31" customFormat="1" ht="12.75">
      <c r="A15" s="362"/>
      <c r="B15" s="326"/>
      <c r="C15" s="329"/>
      <c r="D15" s="329"/>
      <c r="E15" s="108" t="s">
        <v>44</v>
      </c>
      <c r="F15" s="123">
        <f t="shared" ref="F15:G16" si="9">I15+L15+O15+R15+U15+X15+AA15+AD15+AG15+AJ15+AM15+AP15</f>
        <v>203427.59999999998</v>
      </c>
      <c r="G15" s="123">
        <f t="shared" si="9"/>
        <v>17377.7</v>
      </c>
      <c r="H15" s="123">
        <f>G15/F15*100</f>
        <v>8.5424495004610996</v>
      </c>
      <c r="I15" s="123">
        <f>40+428.8+4937+6.7+13+122.8</f>
        <v>5548.3</v>
      </c>
      <c r="J15" s="123">
        <v>17377.7</v>
      </c>
      <c r="K15" s="123">
        <f>J15/I15*100</f>
        <v>313.20764918984196</v>
      </c>
      <c r="L15" s="123">
        <f>517.2+2195.7+21252+496.8+361.9+645.7</f>
        <v>25469.300000000003</v>
      </c>
      <c r="M15" s="123">
        <v>0</v>
      </c>
      <c r="N15" s="123">
        <f t="shared" ref="N15:N22" si="10">M15/L15*100</f>
        <v>0</v>
      </c>
      <c r="O15" s="123">
        <f>938.9+1669.1+15140.2+361.8+251.7+81+61.3-1</f>
        <v>18503</v>
      </c>
      <c r="P15" s="123">
        <v>0</v>
      </c>
      <c r="Q15" s="123">
        <f t="shared" ref="Q15:Q22" si="11">P15/O15*100</f>
        <v>0</v>
      </c>
      <c r="R15" s="123">
        <f>662.3+2139.5+21249.9+500+398.9+68.6</f>
        <v>25019.200000000001</v>
      </c>
      <c r="S15" s="123">
        <v>0</v>
      </c>
      <c r="T15" s="123">
        <f t="shared" ref="T15:T22" si="12">S15/R15*100</f>
        <v>0</v>
      </c>
      <c r="U15" s="117">
        <f>114.6+1286.2+14324.5+500+499.1+290.4+293</f>
        <v>17307.8</v>
      </c>
      <c r="V15" s="117">
        <v>0</v>
      </c>
      <c r="W15" s="123">
        <f t="shared" ref="W15" si="13">V15/U15*100</f>
        <v>0</v>
      </c>
      <c r="X15" s="117">
        <f>334.2+1608.2+15696.6+500+535.6+174.6-0.2-122.8</f>
        <v>18726.199999999997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</f>
        <v>12292.299999999997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</f>
        <v>16957</v>
      </c>
      <c r="AQ15" s="123"/>
      <c r="AR15" s="123"/>
      <c r="AS15" s="335"/>
      <c r="AT15" s="380"/>
      <c r="AU15" s="121"/>
      <c r="AV15" s="121"/>
      <c r="AW15" s="155"/>
    </row>
    <row r="16" spans="1:49" s="31" customFormat="1" ht="179.25" customHeight="1">
      <c r="A16" s="363"/>
      <c r="B16" s="327"/>
      <c r="C16" s="330"/>
      <c r="D16" s="330"/>
      <c r="E16" s="109" t="s">
        <v>257</v>
      </c>
      <c r="F16" s="123">
        <f t="shared" si="9"/>
        <v>5832.1</v>
      </c>
      <c r="G16" s="123">
        <f t="shared" si="9"/>
        <v>0</v>
      </c>
      <c r="H16" s="123">
        <v>0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0</v>
      </c>
      <c r="N16" s="123">
        <v>0</v>
      </c>
      <c r="O16" s="123">
        <v>811.3</v>
      </c>
      <c r="P16" s="123">
        <v>0</v>
      </c>
      <c r="Q16" s="123">
        <v>0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v>352.8</v>
      </c>
      <c r="Y16" s="117">
        <v>0</v>
      </c>
      <c r="Z16" s="117">
        <v>0</v>
      </c>
      <c r="AA16" s="123">
        <v>825.5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v>441.7</v>
      </c>
      <c r="AN16" s="117">
        <v>0</v>
      </c>
      <c r="AO16" s="117">
        <v>0</v>
      </c>
      <c r="AP16" s="117">
        <v>197</v>
      </c>
      <c r="AQ16" s="123"/>
      <c r="AR16" s="123"/>
      <c r="AS16" s="336"/>
      <c r="AT16" s="381"/>
      <c r="AU16" s="121"/>
      <c r="AV16" s="121"/>
      <c r="AW16" s="155"/>
    </row>
    <row r="17" spans="1:49" s="31" customFormat="1" ht="12.75">
      <c r="A17" s="361" t="s">
        <v>327</v>
      </c>
      <c r="B17" s="325" t="s">
        <v>328</v>
      </c>
      <c r="C17" s="328" t="s">
        <v>329</v>
      </c>
      <c r="D17" s="331" t="s">
        <v>330</v>
      </c>
      <c r="E17" s="107" t="s">
        <v>42</v>
      </c>
      <c r="F17" s="123">
        <f>SUM(F18:F20)</f>
        <v>77800</v>
      </c>
      <c r="G17" s="123">
        <f t="shared" ref="G17:P17" si="14">SUM(G18:G20)</f>
        <v>6082.4</v>
      </c>
      <c r="H17" s="123">
        <f>G17/F17*100</f>
        <v>7.8179948586118249</v>
      </c>
      <c r="I17" s="123">
        <f t="shared" si="14"/>
        <v>7091.6</v>
      </c>
      <c r="J17" s="123">
        <f t="shared" si="14"/>
        <v>6082.4</v>
      </c>
      <c r="K17" s="123">
        <f>J17/I17*100</f>
        <v>85.769078910260021</v>
      </c>
      <c r="L17" s="123">
        <f t="shared" si="14"/>
        <v>7886.9</v>
      </c>
      <c r="M17" s="123">
        <f t="shared" si="14"/>
        <v>0</v>
      </c>
      <c r="N17" s="123">
        <f t="shared" si="10"/>
        <v>0</v>
      </c>
      <c r="O17" s="123">
        <f t="shared" si="14"/>
        <v>6038</v>
      </c>
      <c r="P17" s="123">
        <f t="shared" si="14"/>
        <v>0</v>
      </c>
      <c r="Q17" s="123">
        <f t="shared" si="11"/>
        <v>0</v>
      </c>
      <c r="R17" s="123">
        <f t="shared" ref="R17:AB17" si="15">SUM(R18:R20)</f>
        <v>6900</v>
      </c>
      <c r="S17" s="123">
        <f t="shared" si="15"/>
        <v>0</v>
      </c>
      <c r="T17" s="123">
        <f t="shared" si="12"/>
        <v>0</v>
      </c>
      <c r="U17" s="123">
        <f t="shared" si="15"/>
        <v>6826.3</v>
      </c>
      <c r="V17" s="123">
        <f t="shared" si="15"/>
        <v>0</v>
      </c>
      <c r="W17" s="123">
        <f t="shared" ref="W17" si="16">V17/U17*100</f>
        <v>0</v>
      </c>
      <c r="X17" s="123">
        <f t="shared" si="15"/>
        <v>7190.9</v>
      </c>
      <c r="Y17" s="123">
        <f t="shared" si="15"/>
        <v>0</v>
      </c>
      <c r="Z17" s="123">
        <f>Y17/X17*100</f>
        <v>0</v>
      </c>
      <c r="AA17" s="104">
        <f t="shared" si="15"/>
        <v>7431.5</v>
      </c>
      <c r="AB17" s="123">
        <f t="shared" si="15"/>
        <v>0</v>
      </c>
      <c r="AC17" s="123">
        <f>SUM(AC18:AC20)</f>
        <v>0</v>
      </c>
      <c r="AD17" s="104">
        <f t="shared" ref="AD17:AR17" si="17">SUM(AD18:AD20)</f>
        <v>6016.2</v>
      </c>
      <c r="AE17" s="104">
        <f t="shared" si="17"/>
        <v>0</v>
      </c>
      <c r="AF17" s="104">
        <f t="shared" si="6"/>
        <v>0</v>
      </c>
      <c r="AG17" s="104">
        <f t="shared" si="17"/>
        <v>5470</v>
      </c>
      <c r="AH17" s="123">
        <f t="shared" si="17"/>
        <v>0</v>
      </c>
      <c r="AI17" s="123">
        <f t="shared" si="17"/>
        <v>0</v>
      </c>
      <c r="AJ17" s="123">
        <f t="shared" si="17"/>
        <v>5540.8</v>
      </c>
      <c r="AK17" s="123">
        <f t="shared" si="17"/>
        <v>0</v>
      </c>
      <c r="AL17" s="123">
        <f t="shared" si="17"/>
        <v>0</v>
      </c>
      <c r="AM17" s="104">
        <f t="shared" si="17"/>
        <v>5036.7</v>
      </c>
      <c r="AN17" s="123">
        <f t="shared" si="17"/>
        <v>0</v>
      </c>
      <c r="AO17" s="123">
        <f t="shared" si="17"/>
        <v>0</v>
      </c>
      <c r="AP17" s="104">
        <f t="shared" si="17"/>
        <v>6371.1</v>
      </c>
      <c r="AQ17" s="123">
        <f t="shared" si="17"/>
        <v>0</v>
      </c>
      <c r="AR17" s="123">
        <f t="shared" si="17"/>
        <v>0</v>
      </c>
      <c r="AS17" s="334" t="s">
        <v>299</v>
      </c>
      <c r="AT17" s="379" t="s">
        <v>296</v>
      </c>
      <c r="AU17" s="121"/>
      <c r="AV17" s="121"/>
      <c r="AW17" s="155"/>
    </row>
    <row r="18" spans="1:49" s="31" customFormat="1" ht="36">
      <c r="A18" s="362"/>
      <c r="B18" s="326"/>
      <c r="C18" s="329"/>
      <c r="D18" s="332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5"/>
      <c r="AT18" s="380"/>
      <c r="AU18" s="121"/>
      <c r="AV18" s="121"/>
      <c r="AW18" s="155"/>
    </row>
    <row r="19" spans="1:49" s="31" customFormat="1" ht="12.75">
      <c r="A19" s="362"/>
      <c r="B19" s="326"/>
      <c r="C19" s="329"/>
      <c r="D19" s="332"/>
      <c r="E19" s="108" t="s">
        <v>44</v>
      </c>
      <c r="F19" s="123">
        <f t="shared" ref="F19:G20" si="18">I19+L19+O19+R19+U19+X19+AA19+AD19+AG19+AJ19+AM19+AP19</f>
        <v>77800</v>
      </c>
      <c r="G19" s="123">
        <f t="shared" si="18"/>
        <v>6082.4</v>
      </c>
      <c r="H19" s="123">
        <v>0</v>
      </c>
      <c r="I19" s="123">
        <v>7091.6</v>
      </c>
      <c r="J19" s="123">
        <v>6082.4</v>
      </c>
      <c r="K19" s="123">
        <f t="shared" ref="K19" si="19">J19/I19*100</f>
        <v>85.769078910260021</v>
      </c>
      <c r="L19" s="123">
        <v>7886.9</v>
      </c>
      <c r="M19" s="123">
        <v>0</v>
      </c>
      <c r="N19" s="123">
        <v>0</v>
      </c>
      <c r="O19" s="123">
        <v>6038</v>
      </c>
      <c r="P19" s="123">
        <v>0</v>
      </c>
      <c r="Q19" s="123">
        <v>0</v>
      </c>
      <c r="R19" s="123">
        <v>6900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7190.9</v>
      </c>
      <c r="Y19" s="117">
        <v>0</v>
      </c>
      <c r="Z19" s="117">
        <v>0</v>
      </c>
      <c r="AA19" s="123">
        <v>7431.5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5540.8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6371.1</v>
      </c>
      <c r="AQ19" s="123"/>
      <c r="AR19" s="123"/>
      <c r="AS19" s="335"/>
      <c r="AT19" s="380"/>
      <c r="AU19" s="121"/>
      <c r="AV19" s="121"/>
      <c r="AW19" s="155"/>
    </row>
    <row r="20" spans="1:49" s="31" customFormat="1" ht="24">
      <c r="A20" s="363"/>
      <c r="B20" s="327"/>
      <c r="C20" s="330"/>
      <c r="D20" s="333"/>
      <c r="E20" s="109" t="s">
        <v>257</v>
      </c>
      <c r="F20" s="123">
        <f t="shared" si="18"/>
        <v>0</v>
      </c>
      <c r="G20" s="123">
        <f t="shared" si="18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36"/>
      <c r="AT20" s="381"/>
      <c r="AU20" s="121"/>
      <c r="AV20" s="121"/>
      <c r="AW20" s="155"/>
    </row>
    <row r="21" spans="1:49" s="31" customFormat="1" ht="409.5">
      <c r="A21" s="176" t="s">
        <v>331</v>
      </c>
      <c r="B21" s="177" t="s">
        <v>332</v>
      </c>
      <c r="C21" s="178" t="s">
        <v>333</v>
      </c>
      <c r="D21" s="180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79" t="s">
        <v>319</v>
      </c>
      <c r="AT21" s="181" t="s">
        <v>297</v>
      </c>
      <c r="AU21" s="121"/>
      <c r="AV21" s="121"/>
      <c r="AW21" s="155"/>
    </row>
    <row r="22" spans="1:49" s="31" customFormat="1" ht="12.75">
      <c r="A22" s="361" t="s">
        <v>334</v>
      </c>
      <c r="B22" s="325" t="s">
        <v>335</v>
      </c>
      <c r="C22" s="328" t="s">
        <v>268</v>
      </c>
      <c r="D22" s="331" t="s">
        <v>336</v>
      </c>
      <c r="E22" s="107" t="s">
        <v>42</v>
      </c>
      <c r="F22" s="123">
        <f>SUM(F23:F24)</f>
        <v>3987.3</v>
      </c>
      <c r="G22" s="123">
        <f>SUM(G23:G24)</f>
        <v>326.39999999999998</v>
      </c>
      <c r="H22" s="123">
        <f>G22/F22*100</f>
        <v>8.1859905199006828</v>
      </c>
      <c r="I22" s="123">
        <f>SUM(I23:I24)</f>
        <v>326</v>
      </c>
      <c r="J22" s="123">
        <f>SUM(J23:J24)</f>
        <v>326.39999999999998</v>
      </c>
      <c r="K22" s="123">
        <f t="shared" ref="K22:K26" si="20">J22/I22*100</f>
        <v>100.12269938650307</v>
      </c>
      <c r="L22" s="123">
        <f>SUM(L23:L24)</f>
        <v>326</v>
      </c>
      <c r="M22" s="123">
        <f>SUM(M23:M24)</f>
        <v>0</v>
      </c>
      <c r="N22" s="123">
        <f t="shared" si="10"/>
        <v>0</v>
      </c>
      <c r="O22" s="123">
        <f>SUM(O23:O24)</f>
        <v>326</v>
      </c>
      <c r="P22" s="123">
        <f>SUM(P23:P24)</f>
        <v>0</v>
      </c>
      <c r="Q22" s="123">
        <f t="shared" si="11"/>
        <v>0</v>
      </c>
      <c r="R22" s="123">
        <f>SUM(R23:R24)</f>
        <v>326</v>
      </c>
      <c r="S22" s="123">
        <f>SUM(S23:S24)</f>
        <v>0</v>
      </c>
      <c r="T22" s="123">
        <f t="shared" si="12"/>
        <v>0</v>
      </c>
      <c r="U22" s="123">
        <f>SUM(U23:U24)</f>
        <v>326</v>
      </c>
      <c r="V22" s="123">
        <f>SUM(V23:V24)</f>
        <v>0</v>
      </c>
      <c r="W22" s="123">
        <f t="shared" ref="W22" si="21">V22/U22*100</f>
        <v>0</v>
      </c>
      <c r="X22" s="123">
        <f t="shared" ref="X22:AE22" si="22">SUM(X23:X24)</f>
        <v>326</v>
      </c>
      <c r="Y22" s="123">
        <f t="shared" si="22"/>
        <v>0</v>
      </c>
      <c r="Z22" s="123">
        <f t="shared" si="22"/>
        <v>0</v>
      </c>
      <c r="AA22" s="104">
        <f t="shared" si="22"/>
        <v>326</v>
      </c>
      <c r="AB22" s="123">
        <f t="shared" si="22"/>
        <v>0</v>
      </c>
      <c r="AC22" s="123">
        <f t="shared" si="22"/>
        <v>0</v>
      </c>
      <c r="AD22" s="104">
        <f t="shared" si="22"/>
        <v>326</v>
      </c>
      <c r="AE22" s="104">
        <f t="shared" si="22"/>
        <v>0</v>
      </c>
      <c r="AF22" s="104">
        <f t="shared" si="6"/>
        <v>0</v>
      </c>
      <c r="AG22" s="104">
        <f t="shared" ref="AG22:AR22" si="23">SUM(AG23:AG24)</f>
        <v>326</v>
      </c>
      <c r="AH22" s="123">
        <f t="shared" si="23"/>
        <v>0</v>
      </c>
      <c r="AI22" s="123">
        <f t="shared" si="23"/>
        <v>0</v>
      </c>
      <c r="AJ22" s="123">
        <f t="shared" si="23"/>
        <v>326</v>
      </c>
      <c r="AK22" s="123">
        <f t="shared" si="23"/>
        <v>0</v>
      </c>
      <c r="AL22" s="123">
        <f t="shared" si="23"/>
        <v>0</v>
      </c>
      <c r="AM22" s="104">
        <f t="shared" si="23"/>
        <v>326</v>
      </c>
      <c r="AN22" s="123">
        <f t="shared" si="23"/>
        <v>0</v>
      </c>
      <c r="AO22" s="123">
        <f t="shared" si="23"/>
        <v>0</v>
      </c>
      <c r="AP22" s="104">
        <f t="shared" si="23"/>
        <v>401.3</v>
      </c>
      <c r="AQ22" s="123">
        <f t="shared" si="23"/>
        <v>0</v>
      </c>
      <c r="AR22" s="123">
        <f t="shared" si="23"/>
        <v>0</v>
      </c>
      <c r="AS22" s="334" t="s">
        <v>319</v>
      </c>
      <c r="AT22" s="337" t="s">
        <v>297</v>
      </c>
      <c r="AU22" s="121"/>
      <c r="AV22" s="121"/>
      <c r="AW22" s="155"/>
    </row>
    <row r="23" spans="1:49" s="31" customFormat="1" ht="36">
      <c r="A23" s="362"/>
      <c r="B23" s="326"/>
      <c r="C23" s="329"/>
      <c r="D23" s="332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5"/>
      <c r="AT23" s="338"/>
      <c r="AU23" s="121"/>
      <c r="AV23" s="121"/>
      <c r="AW23" s="155"/>
    </row>
    <row r="24" spans="1:49" s="31" customFormat="1" ht="12.75">
      <c r="A24" s="362"/>
      <c r="B24" s="326"/>
      <c r="C24" s="329"/>
      <c r="D24" s="332"/>
      <c r="E24" s="108" t="s">
        <v>44</v>
      </c>
      <c r="F24" s="123">
        <f t="shared" ref="F24:G24" si="24">I24+L24+O24+R24+U24+X24+AA24+AD24+AG24+AJ24+AM24+AP24</f>
        <v>3987.3</v>
      </c>
      <c r="G24" s="123">
        <f t="shared" si="24"/>
        <v>326.39999999999998</v>
      </c>
      <c r="H24" s="123">
        <v>0</v>
      </c>
      <c r="I24" s="123">
        <v>326</v>
      </c>
      <c r="J24" s="123">
        <v>326.39999999999998</v>
      </c>
      <c r="K24" s="123">
        <f t="shared" si="20"/>
        <v>100.12269938650307</v>
      </c>
      <c r="L24" s="123">
        <v>326</v>
      </c>
      <c r="M24" s="123">
        <v>0</v>
      </c>
      <c r="N24" s="123">
        <v>0</v>
      </c>
      <c r="O24" s="123">
        <v>326</v>
      </c>
      <c r="P24" s="123">
        <v>0</v>
      </c>
      <c r="Q24" s="123">
        <v>0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5"/>
      <c r="AT24" s="338"/>
      <c r="AU24" s="121"/>
      <c r="AV24" s="121"/>
      <c r="AW24" s="155"/>
    </row>
    <row r="25" spans="1:49" s="31" customFormat="1" ht="12.75">
      <c r="A25" s="361" t="s">
        <v>337</v>
      </c>
      <c r="B25" s="325" t="s">
        <v>338</v>
      </c>
      <c r="C25" s="328" t="s">
        <v>339</v>
      </c>
      <c r="D25" s="331" t="s">
        <v>340</v>
      </c>
      <c r="E25" s="107" t="s">
        <v>42</v>
      </c>
      <c r="F25" s="123">
        <f>SUM(F26:F28)</f>
        <v>5215.6000000000004</v>
      </c>
      <c r="G25" s="123">
        <f t="shared" ref="G25:P25" si="25">SUM(G26:G28)</f>
        <v>97.9</v>
      </c>
      <c r="H25" s="123">
        <f>G25/F25*100</f>
        <v>1.8770611243193496</v>
      </c>
      <c r="I25" s="123">
        <f t="shared" si="25"/>
        <v>308.8</v>
      </c>
      <c r="J25" s="123">
        <f t="shared" si="25"/>
        <v>97.9</v>
      </c>
      <c r="K25" s="123">
        <f t="shared" si="20"/>
        <v>31.703367875647672</v>
      </c>
      <c r="L25" s="123">
        <f t="shared" si="25"/>
        <v>384.9</v>
      </c>
      <c r="M25" s="123">
        <f t="shared" si="25"/>
        <v>0</v>
      </c>
      <c r="N25" s="123">
        <v>0</v>
      </c>
      <c r="O25" s="123">
        <f t="shared" si="25"/>
        <v>939.2</v>
      </c>
      <c r="P25" s="123">
        <f t="shared" si="25"/>
        <v>0</v>
      </c>
      <c r="Q25" s="123">
        <v>0</v>
      </c>
      <c r="R25" s="123">
        <f t="shared" ref="R25:Z25" si="26">SUM(R26:R28)</f>
        <v>353</v>
      </c>
      <c r="S25" s="123">
        <f t="shared" si="26"/>
        <v>0</v>
      </c>
      <c r="T25" s="123">
        <v>0</v>
      </c>
      <c r="U25" s="123">
        <f t="shared" si="26"/>
        <v>378</v>
      </c>
      <c r="V25" s="123">
        <f t="shared" si="26"/>
        <v>0</v>
      </c>
      <c r="W25" s="123">
        <f t="shared" si="26"/>
        <v>0</v>
      </c>
      <c r="X25" s="123">
        <f t="shared" si="26"/>
        <v>416.5</v>
      </c>
      <c r="Y25" s="123">
        <f t="shared" si="26"/>
        <v>0</v>
      </c>
      <c r="Z25" s="123">
        <f t="shared" si="26"/>
        <v>0</v>
      </c>
      <c r="AA25" s="104">
        <f t="shared" ref="AA25:AB25" si="27">SUM(AA26:AA28)</f>
        <v>482.40000000000003</v>
      </c>
      <c r="AB25" s="123">
        <f t="shared" si="27"/>
        <v>0</v>
      </c>
      <c r="AC25" s="123">
        <f>SUM(AC26:AC28)</f>
        <v>0</v>
      </c>
      <c r="AD25" s="104">
        <f t="shared" ref="AD25:AR25" si="28">SUM(AD26:AD28)</f>
        <v>451.1</v>
      </c>
      <c r="AE25" s="104">
        <f t="shared" si="28"/>
        <v>0</v>
      </c>
      <c r="AF25" s="104">
        <f t="shared" si="6"/>
        <v>0</v>
      </c>
      <c r="AG25" s="104">
        <f t="shared" si="28"/>
        <v>471.79999999999995</v>
      </c>
      <c r="AH25" s="123">
        <f t="shared" si="28"/>
        <v>0</v>
      </c>
      <c r="AI25" s="104">
        <f t="shared" ref="AI25" si="29">AH25/AG25*100</f>
        <v>0</v>
      </c>
      <c r="AJ25" s="123">
        <f t="shared" si="28"/>
        <v>517.1</v>
      </c>
      <c r="AK25" s="123">
        <f t="shared" si="28"/>
        <v>0</v>
      </c>
      <c r="AL25" s="123">
        <f t="shared" si="28"/>
        <v>0</v>
      </c>
      <c r="AM25" s="104">
        <f t="shared" si="28"/>
        <v>227.5</v>
      </c>
      <c r="AN25" s="123">
        <f t="shared" si="28"/>
        <v>0</v>
      </c>
      <c r="AO25" s="123">
        <f t="shared" si="28"/>
        <v>0</v>
      </c>
      <c r="AP25" s="104">
        <f t="shared" si="28"/>
        <v>285.3</v>
      </c>
      <c r="AQ25" s="123">
        <f t="shared" si="28"/>
        <v>0</v>
      </c>
      <c r="AR25" s="123">
        <f t="shared" si="28"/>
        <v>0</v>
      </c>
      <c r="AS25" s="334" t="s">
        <v>318</v>
      </c>
      <c r="AT25" s="343"/>
      <c r="AU25" s="121"/>
      <c r="AV25" s="121"/>
      <c r="AW25" s="155"/>
    </row>
    <row r="26" spans="1:49" s="31" customFormat="1" ht="36">
      <c r="A26" s="362"/>
      <c r="B26" s="326"/>
      <c r="C26" s="329"/>
      <c r="D26" s="332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97.9</v>
      </c>
      <c r="H26" s="123">
        <f>G26/F26*100</f>
        <v>3.8431341760226112</v>
      </c>
      <c r="I26" s="104">
        <v>100</v>
      </c>
      <c r="J26" s="104">
        <v>97.9</v>
      </c>
      <c r="K26" s="123">
        <f t="shared" si="20"/>
        <v>97.9</v>
      </c>
      <c r="L26" s="126">
        <v>124.5</v>
      </c>
      <c r="M26" s="104">
        <v>0</v>
      </c>
      <c r="N26" s="123">
        <v>0</v>
      </c>
      <c r="O26" s="104">
        <f>124.5+697.2-100</f>
        <v>721.7</v>
      </c>
      <c r="P26" s="104">
        <v>0</v>
      </c>
      <c r="Q26" s="123">
        <v>0</v>
      </c>
      <c r="R26" s="104">
        <v>124.5</v>
      </c>
      <c r="S26" s="104">
        <v>0</v>
      </c>
      <c r="T26" s="123">
        <v>0</v>
      </c>
      <c r="U26" s="105">
        <v>141.4</v>
      </c>
      <c r="V26" s="105">
        <v>0</v>
      </c>
      <c r="W26" s="105">
        <v>0</v>
      </c>
      <c r="X26" s="105">
        <v>141.4</v>
      </c>
      <c r="Y26" s="105">
        <v>0</v>
      </c>
      <c r="Z26" s="105">
        <f>Y26/X26*100</f>
        <v>0</v>
      </c>
      <c r="AA26" s="105">
        <v>165.8</v>
      </c>
      <c r="AB26" s="105">
        <v>0</v>
      </c>
      <c r="AC26" s="105">
        <f>AB26/AA26*100</f>
        <v>0</v>
      </c>
      <c r="AD26" s="105">
        <v>165.8</v>
      </c>
      <c r="AE26" s="105">
        <v>0</v>
      </c>
      <c r="AF26" s="105">
        <f>AE26/AD26*100</f>
        <v>0</v>
      </c>
      <c r="AG26" s="105">
        <f>140.5+50+72.7</f>
        <v>263.2</v>
      </c>
      <c r="AH26" s="105">
        <v>0</v>
      </c>
      <c r="AI26" s="105">
        <f>AH26/AG26*100</f>
        <v>0</v>
      </c>
      <c r="AJ26" s="104">
        <v>235.9</v>
      </c>
      <c r="AK26" s="104">
        <v>0</v>
      </c>
      <c r="AL26" s="104">
        <v>0</v>
      </c>
      <c r="AM26" s="105">
        <v>143.19999999999999</v>
      </c>
      <c r="AN26" s="105">
        <v>0</v>
      </c>
      <c r="AO26" s="105">
        <v>0</v>
      </c>
      <c r="AP26" s="104">
        <v>220</v>
      </c>
      <c r="AQ26" s="104"/>
      <c r="AR26" s="104"/>
      <c r="AS26" s="335"/>
      <c r="AT26" s="344"/>
      <c r="AU26" s="121"/>
      <c r="AV26" s="121"/>
      <c r="AW26" s="155"/>
    </row>
    <row r="27" spans="1:49" s="31" customFormat="1" ht="12.75">
      <c r="A27" s="362"/>
      <c r="B27" s="326"/>
      <c r="C27" s="329"/>
      <c r="D27" s="332"/>
      <c r="E27" s="108" t="s">
        <v>44</v>
      </c>
      <c r="F27" s="123">
        <f t="shared" ref="F27:G28" si="30">I27+L27+O27+R27+U27+X27+AA27+AD27+AG27+AJ27+AM27+AP27</f>
        <v>2668.2000000000003</v>
      </c>
      <c r="G27" s="123">
        <f t="shared" si="30"/>
        <v>0</v>
      </c>
      <c r="H27" s="123">
        <v>0</v>
      </c>
      <c r="I27" s="123">
        <v>208.8</v>
      </c>
      <c r="J27" s="123">
        <v>0</v>
      </c>
      <c r="K27" s="123">
        <v>0</v>
      </c>
      <c r="L27" s="123">
        <v>260.39999999999998</v>
      </c>
      <c r="M27" s="123">
        <v>0</v>
      </c>
      <c r="N27" s="123">
        <v>0</v>
      </c>
      <c r="O27" s="123">
        <v>217.5</v>
      </c>
      <c r="P27" s="123">
        <v>0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84.3</v>
      </c>
      <c r="AN27" s="117">
        <v>0</v>
      </c>
      <c r="AO27" s="117">
        <v>0</v>
      </c>
      <c r="AP27" s="117">
        <v>65.3</v>
      </c>
      <c r="AQ27" s="123"/>
      <c r="AR27" s="123"/>
      <c r="AS27" s="335"/>
      <c r="AT27" s="344"/>
      <c r="AU27" s="121"/>
      <c r="AV27" s="121"/>
      <c r="AW27" s="155"/>
    </row>
    <row r="28" spans="1:49" s="31" customFormat="1" ht="34.5" customHeight="1">
      <c r="A28" s="363"/>
      <c r="B28" s="327"/>
      <c r="C28" s="330"/>
      <c r="D28" s="333"/>
      <c r="E28" s="109" t="s">
        <v>257</v>
      </c>
      <c r="F28" s="123">
        <f t="shared" si="30"/>
        <v>0</v>
      </c>
      <c r="G28" s="123">
        <f t="shared" si="30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36"/>
      <c r="AT28" s="345"/>
      <c r="AU28" s="121"/>
      <c r="AV28" s="121"/>
      <c r="AW28" s="155"/>
    </row>
    <row r="29" spans="1:49" s="31" customFormat="1" ht="12.75">
      <c r="A29" s="361" t="s">
        <v>341</v>
      </c>
      <c r="B29" s="325" t="s">
        <v>342</v>
      </c>
      <c r="C29" s="328" t="s">
        <v>268</v>
      </c>
      <c r="D29" s="331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1">SUM(U30:U31)</f>
        <v>0</v>
      </c>
      <c r="V29" s="123">
        <f t="shared" si="31"/>
        <v>0</v>
      </c>
      <c r="W29" s="123">
        <f t="shared" si="31"/>
        <v>0</v>
      </c>
      <c r="X29" s="123">
        <f t="shared" si="31"/>
        <v>0</v>
      </c>
      <c r="Y29" s="123">
        <f t="shared" si="31"/>
        <v>0</v>
      </c>
      <c r="Z29" s="123">
        <f t="shared" si="31"/>
        <v>0</v>
      </c>
      <c r="AA29" s="104">
        <f t="shared" si="31"/>
        <v>0</v>
      </c>
      <c r="AB29" s="123">
        <f t="shared" si="31"/>
        <v>0</v>
      </c>
      <c r="AC29" s="123">
        <f t="shared" si="31"/>
        <v>0</v>
      </c>
      <c r="AD29" s="104">
        <f t="shared" si="31"/>
        <v>0</v>
      </c>
      <c r="AE29" s="104">
        <f t="shared" si="31"/>
        <v>0</v>
      </c>
      <c r="AF29" s="104">
        <f t="shared" si="31"/>
        <v>0</v>
      </c>
      <c r="AG29" s="104">
        <f t="shared" si="31"/>
        <v>0</v>
      </c>
      <c r="AH29" s="123">
        <f t="shared" si="31"/>
        <v>0</v>
      </c>
      <c r="AI29" s="117">
        <v>0</v>
      </c>
      <c r="AJ29" s="123">
        <f t="shared" ref="AJ29:AR29" si="32">SUM(AJ30:AJ31)</f>
        <v>0</v>
      </c>
      <c r="AK29" s="123">
        <f t="shared" si="32"/>
        <v>0</v>
      </c>
      <c r="AL29" s="123">
        <f t="shared" si="32"/>
        <v>0</v>
      </c>
      <c r="AM29" s="104">
        <f t="shared" si="32"/>
        <v>0</v>
      </c>
      <c r="AN29" s="123">
        <f t="shared" si="32"/>
        <v>0</v>
      </c>
      <c r="AO29" s="123">
        <f t="shared" si="32"/>
        <v>0</v>
      </c>
      <c r="AP29" s="104">
        <f t="shared" si="32"/>
        <v>0</v>
      </c>
      <c r="AQ29" s="123">
        <f t="shared" si="32"/>
        <v>0</v>
      </c>
      <c r="AR29" s="123">
        <f t="shared" si="32"/>
        <v>0</v>
      </c>
      <c r="AS29" s="334" t="s">
        <v>298</v>
      </c>
      <c r="AT29" s="343"/>
      <c r="AU29" s="121"/>
      <c r="AV29" s="121"/>
      <c r="AW29" s="155"/>
    </row>
    <row r="30" spans="1:49" s="31" customFormat="1" ht="36">
      <c r="A30" s="362"/>
      <c r="B30" s="326"/>
      <c r="C30" s="329"/>
      <c r="D30" s="332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5"/>
      <c r="AT30" s="344"/>
      <c r="AU30" s="121"/>
      <c r="AV30" s="121"/>
      <c r="AW30" s="155"/>
    </row>
    <row r="31" spans="1:49" s="31" customFormat="1" ht="41.25" customHeight="1">
      <c r="A31" s="362"/>
      <c r="B31" s="326"/>
      <c r="C31" s="329"/>
      <c r="D31" s="332"/>
      <c r="E31" s="108" t="s">
        <v>44</v>
      </c>
      <c r="F31" s="123">
        <f t="shared" ref="F31:G31" si="33">I31+L31+O31+R31+U31+X31+AA31+AD31+AG31+AJ31+AM31+AP31</f>
        <v>150</v>
      </c>
      <c r="G31" s="123">
        <f t="shared" si="33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5"/>
      <c r="AT31" s="344"/>
      <c r="AU31" s="121"/>
      <c r="AV31" s="121"/>
      <c r="AW31" s="155"/>
    </row>
    <row r="32" spans="1:49" s="31" customFormat="1" ht="15.75">
      <c r="A32" s="346" t="s">
        <v>344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8"/>
    </row>
    <row r="33" spans="1:49" s="100" customFormat="1" ht="12.75">
      <c r="A33" s="349" t="s">
        <v>345</v>
      </c>
      <c r="B33" s="350"/>
      <c r="C33" s="350"/>
      <c r="D33" s="351"/>
      <c r="E33" s="129" t="s">
        <v>42</v>
      </c>
      <c r="F33" s="106">
        <f>F34+F35+F36</f>
        <v>33940.800000000003</v>
      </c>
      <c r="G33" s="106">
        <f t="shared" ref="G33:AR33" si="34">G34+G35+G36</f>
        <v>556</v>
      </c>
      <c r="H33" s="106">
        <f>G33/F33*100</f>
        <v>1.6381464196483286</v>
      </c>
      <c r="I33" s="106">
        <f t="shared" si="34"/>
        <v>556</v>
      </c>
      <c r="J33" s="106">
        <f t="shared" si="34"/>
        <v>556</v>
      </c>
      <c r="K33" s="106">
        <f>J33/I33*100</f>
        <v>100</v>
      </c>
      <c r="L33" s="106">
        <f t="shared" si="34"/>
        <v>2428</v>
      </c>
      <c r="M33" s="106">
        <f t="shared" si="34"/>
        <v>0</v>
      </c>
      <c r="N33" s="106">
        <f>M33/L33*100</f>
        <v>0</v>
      </c>
      <c r="O33" s="106">
        <f t="shared" si="34"/>
        <v>2242</v>
      </c>
      <c r="P33" s="106">
        <f t="shared" si="34"/>
        <v>0</v>
      </c>
      <c r="Q33" s="106">
        <f>P33/O33*100</f>
        <v>0</v>
      </c>
      <c r="R33" s="106">
        <f t="shared" si="34"/>
        <v>3060</v>
      </c>
      <c r="S33" s="106">
        <f t="shared" si="34"/>
        <v>0</v>
      </c>
      <c r="T33" s="106">
        <f>S33/R33*100</f>
        <v>0</v>
      </c>
      <c r="U33" s="106">
        <f t="shared" si="34"/>
        <v>2489</v>
      </c>
      <c r="V33" s="106">
        <f t="shared" si="34"/>
        <v>0</v>
      </c>
      <c r="W33" s="106">
        <f t="shared" si="34"/>
        <v>0</v>
      </c>
      <c r="X33" s="106">
        <f t="shared" si="34"/>
        <v>2628</v>
      </c>
      <c r="Y33" s="106">
        <f t="shared" si="34"/>
        <v>0</v>
      </c>
      <c r="Z33" s="106">
        <f t="shared" si="34"/>
        <v>0</v>
      </c>
      <c r="AA33" s="106">
        <f t="shared" si="34"/>
        <v>3576</v>
      </c>
      <c r="AB33" s="106">
        <f t="shared" si="34"/>
        <v>0</v>
      </c>
      <c r="AC33" s="106">
        <f t="shared" si="34"/>
        <v>0</v>
      </c>
      <c r="AD33" s="106">
        <f t="shared" si="34"/>
        <v>2569</v>
      </c>
      <c r="AE33" s="106">
        <f t="shared" si="34"/>
        <v>0</v>
      </c>
      <c r="AF33" s="106">
        <f t="shared" ref="AF33:AF35" si="35">AE33/AD33*100</f>
        <v>0</v>
      </c>
      <c r="AG33" s="106">
        <f t="shared" si="34"/>
        <v>2544</v>
      </c>
      <c r="AH33" s="106">
        <f t="shared" si="34"/>
        <v>0</v>
      </c>
      <c r="AI33" s="106">
        <f t="shared" si="34"/>
        <v>0</v>
      </c>
      <c r="AJ33" s="106">
        <f t="shared" si="34"/>
        <v>2984</v>
      </c>
      <c r="AK33" s="106">
        <f t="shared" si="34"/>
        <v>0</v>
      </c>
      <c r="AL33" s="106">
        <f t="shared" si="34"/>
        <v>0</v>
      </c>
      <c r="AM33" s="106">
        <f t="shared" si="34"/>
        <v>2265.6</v>
      </c>
      <c r="AN33" s="106">
        <f t="shared" si="34"/>
        <v>0</v>
      </c>
      <c r="AO33" s="106">
        <f t="shared" si="34"/>
        <v>0</v>
      </c>
      <c r="AP33" s="106">
        <f t="shared" si="34"/>
        <v>6599.2</v>
      </c>
      <c r="AQ33" s="106">
        <f t="shared" si="34"/>
        <v>0</v>
      </c>
      <c r="AR33" s="106">
        <f t="shared" si="34"/>
        <v>0</v>
      </c>
      <c r="AS33" s="364"/>
      <c r="AT33" s="358"/>
      <c r="AU33" s="121"/>
      <c r="AV33" s="121"/>
      <c r="AW33" s="155"/>
    </row>
    <row r="34" spans="1:49" s="100" customFormat="1" ht="36">
      <c r="A34" s="352"/>
      <c r="B34" s="353"/>
      <c r="C34" s="353"/>
      <c r="D34" s="354"/>
      <c r="E34" s="111" t="s">
        <v>3</v>
      </c>
      <c r="F34" s="106">
        <f>F43</f>
        <v>30600.9</v>
      </c>
      <c r="G34" s="106">
        <f t="shared" ref="G34:AR36" si="36">G43</f>
        <v>0</v>
      </c>
      <c r="H34" s="106">
        <f>G34/F34*100</f>
        <v>0</v>
      </c>
      <c r="I34" s="106">
        <f t="shared" si="36"/>
        <v>0</v>
      </c>
      <c r="J34" s="106">
        <f t="shared" si="36"/>
        <v>0</v>
      </c>
      <c r="K34" s="106" t="e">
        <f t="shared" ref="K34:K35" si="37">J34/I34*100</f>
        <v>#DIV/0!</v>
      </c>
      <c r="L34" s="106">
        <f t="shared" si="36"/>
        <v>2178</v>
      </c>
      <c r="M34" s="106">
        <f t="shared" si="36"/>
        <v>0</v>
      </c>
      <c r="N34" s="106">
        <f t="shared" ref="N34:N35" si="38">M34/L34*100</f>
        <v>0</v>
      </c>
      <c r="O34" s="106">
        <f t="shared" si="36"/>
        <v>1989</v>
      </c>
      <c r="P34" s="106">
        <f t="shared" si="36"/>
        <v>0</v>
      </c>
      <c r="Q34" s="106">
        <f t="shared" ref="Q34:Q35" si="39">P34/O34*100</f>
        <v>0</v>
      </c>
      <c r="R34" s="106">
        <f t="shared" si="36"/>
        <v>3010</v>
      </c>
      <c r="S34" s="106">
        <f t="shared" si="36"/>
        <v>0</v>
      </c>
      <c r="T34" s="106">
        <f t="shared" ref="T34:T35" si="40">S34/R34*100</f>
        <v>0</v>
      </c>
      <c r="U34" s="106">
        <f t="shared" si="36"/>
        <v>2037</v>
      </c>
      <c r="V34" s="106">
        <f t="shared" si="36"/>
        <v>0</v>
      </c>
      <c r="W34" s="106">
        <f t="shared" si="36"/>
        <v>0</v>
      </c>
      <c r="X34" s="106">
        <f t="shared" si="36"/>
        <v>2578</v>
      </c>
      <c r="Y34" s="106">
        <f t="shared" si="36"/>
        <v>0</v>
      </c>
      <c r="Z34" s="106">
        <f t="shared" si="36"/>
        <v>0</v>
      </c>
      <c r="AA34" s="106">
        <f t="shared" si="36"/>
        <v>3526</v>
      </c>
      <c r="AB34" s="106">
        <f t="shared" si="36"/>
        <v>0</v>
      </c>
      <c r="AC34" s="106">
        <f t="shared" si="36"/>
        <v>0</v>
      </c>
      <c r="AD34" s="106">
        <f t="shared" si="36"/>
        <v>2117</v>
      </c>
      <c r="AE34" s="106">
        <f t="shared" si="36"/>
        <v>0</v>
      </c>
      <c r="AF34" s="106">
        <f t="shared" si="35"/>
        <v>0</v>
      </c>
      <c r="AG34" s="106">
        <f t="shared" si="36"/>
        <v>2494</v>
      </c>
      <c r="AH34" s="106">
        <f t="shared" si="36"/>
        <v>0</v>
      </c>
      <c r="AI34" s="106">
        <f t="shared" si="36"/>
        <v>0</v>
      </c>
      <c r="AJ34" s="106">
        <f t="shared" si="36"/>
        <v>2934</v>
      </c>
      <c r="AK34" s="106">
        <f t="shared" si="36"/>
        <v>0</v>
      </c>
      <c r="AL34" s="106">
        <f t="shared" si="36"/>
        <v>0</v>
      </c>
      <c r="AM34" s="106">
        <f t="shared" si="36"/>
        <v>1812</v>
      </c>
      <c r="AN34" s="106">
        <f t="shared" si="36"/>
        <v>0</v>
      </c>
      <c r="AO34" s="106">
        <f t="shared" si="36"/>
        <v>0</v>
      </c>
      <c r="AP34" s="106">
        <f t="shared" si="36"/>
        <v>5925.9</v>
      </c>
      <c r="AQ34" s="106">
        <f t="shared" si="36"/>
        <v>0</v>
      </c>
      <c r="AR34" s="106">
        <f t="shared" si="36"/>
        <v>0</v>
      </c>
      <c r="AS34" s="365"/>
      <c r="AT34" s="359"/>
      <c r="AU34" s="121"/>
      <c r="AV34" s="121"/>
      <c r="AW34" s="155"/>
    </row>
    <row r="35" spans="1:49" s="100" customFormat="1" ht="24">
      <c r="A35" s="352"/>
      <c r="B35" s="353"/>
      <c r="C35" s="353"/>
      <c r="D35" s="354"/>
      <c r="E35" s="111" t="s">
        <v>44</v>
      </c>
      <c r="F35" s="106">
        <f>F44</f>
        <v>3339.8999999999996</v>
      </c>
      <c r="G35" s="106">
        <f t="shared" si="36"/>
        <v>556</v>
      </c>
      <c r="H35" s="106">
        <f>G35/F35*100</f>
        <v>16.647205006137909</v>
      </c>
      <c r="I35" s="106">
        <f t="shared" si="36"/>
        <v>556</v>
      </c>
      <c r="J35" s="106">
        <f t="shared" si="36"/>
        <v>556</v>
      </c>
      <c r="K35" s="106">
        <f t="shared" si="37"/>
        <v>100</v>
      </c>
      <c r="L35" s="106">
        <f t="shared" si="36"/>
        <v>250</v>
      </c>
      <c r="M35" s="106">
        <f t="shared" si="36"/>
        <v>0</v>
      </c>
      <c r="N35" s="106">
        <f t="shared" si="38"/>
        <v>0</v>
      </c>
      <c r="O35" s="106">
        <f t="shared" si="36"/>
        <v>253</v>
      </c>
      <c r="P35" s="106">
        <f t="shared" si="36"/>
        <v>0</v>
      </c>
      <c r="Q35" s="106">
        <f t="shared" si="39"/>
        <v>0</v>
      </c>
      <c r="R35" s="106">
        <f t="shared" si="36"/>
        <v>50</v>
      </c>
      <c r="S35" s="106">
        <f t="shared" si="36"/>
        <v>0</v>
      </c>
      <c r="T35" s="106">
        <f t="shared" si="40"/>
        <v>0</v>
      </c>
      <c r="U35" s="106">
        <f t="shared" si="36"/>
        <v>452</v>
      </c>
      <c r="V35" s="106">
        <f t="shared" si="36"/>
        <v>0</v>
      </c>
      <c r="W35" s="106">
        <f t="shared" si="36"/>
        <v>0</v>
      </c>
      <c r="X35" s="106">
        <f t="shared" si="36"/>
        <v>50</v>
      </c>
      <c r="Y35" s="106">
        <f t="shared" si="36"/>
        <v>0</v>
      </c>
      <c r="Z35" s="106">
        <f t="shared" si="36"/>
        <v>0</v>
      </c>
      <c r="AA35" s="106">
        <f t="shared" si="36"/>
        <v>50</v>
      </c>
      <c r="AB35" s="106">
        <f t="shared" si="36"/>
        <v>0</v>
      </c>
      <c r="AC35" s="106">
        <f t="shared" si="36"/>
        <v>0</v>
      </c>
      <c r="AD35" s="106">
        <f t="shared" si="36"/>
        <v>452</v>
      </c>
      <c r="AE35" s="106">
        <f t="shared" si="36"/>
        <v>0</v>
      </c>
      <c r="AF35" s="106">
        <f t="shared" si="35"/>
        <v>0</v>
      </c>
      <c r="AG35" s="106">
        <f t="shared" si="36"/>
        <v>50</v>
      </c>
      <c r="AH35" s="106">
        <f t="shared" si="36"/>
        <v>0</v>
      </c>
      <c r="AI35" s="106">
        <f t="shared" si="36"/>
        <v>0</v>
      </c>
      <c r="AJ35" s="106">
        <f t="shared" si="36"/>
        <v>50</v>
      </c>
      <c r="AK35" s="106">
        <f t="shared" si="36"/>
        <v>0</v>
      </c>
      <c r="AL35" s="106">
        <f t="shared" si="36"/>
        <v>0</v>
      </c>
      <c r="AM35" s="106">
        <f t="shared" si="36"/>
        <v>453.6</v>
      </c>
      <c r="AN35" s="106">
        <f t="shared" si="36"/>
        <v>0</v>
      </c>
      <c r="AO35" s="106">
        <f t="shared" si="36"/>
        <v>0</v>
      </c>
      <c r="AP35" s="106">
        <f t="shared" si="36"/>
        <v>673.3</v>
      </c>
      <c r="AQ35" s="106">
        <f t="shared" si="36"/>
        <v>0</v>
      </c>
      <c r="AR35" s="106">
        <f t="shared" si="36"/>
        <v>0</v>
      </c>
      <c r="AS35" s="365"/>
      <c r="AT35" s="359"/>
      <c r="AU35" s="121"/>
      <c r="AV35" s="121"/>
      <c r="AW35" s="155"/>
    </row>
    <row r="36" spans="1:49" s="100" customFormat="1" ht="24">
      <c r="A36" s="355"/>
      <c r="B36" s="356"/>
      <c r="C36" s="356"/>
      <c r="D36" s="357"/>
      <c r="E36" s="110" t="s">
        <v>257</v>
      </c>
      <c r="F36" s="106">
        <f>F45</f>
        <v>0</v>
      </c>
      <c r="G36" s="106">
        <f t="shared" si="36"/>
        <v>0</v>
      </c>
      <c r="H36" s="106">
        <v>0</v>
      </c>
      <c r="I36" s="106">
        <f t="shared" si="36"/>
        <v>0</v>
      </c>
      <c r="J36" s="106">
        <f t="shared" si="36"/>
        <v>0</v>
      </c>
      <c r="K36" s="106">
        <v>0</v>
      </c>
      <c r="L36" s="106">
        <f t="shared" si="36"/>
        <v>0</v>
      </c>
      <c r="M36" s="106">
        <f t="shared" si="36"/>
        <v>0</v>
      </c>
      <c r="N36" s="106">
        <v>0</v>
      </c>
      <c r="O36" s="106">
        <f t="shared" si="36"/>
        <v>0</v>
      </c>
      <c r="P36" s="106">
        <f t="shared" si="36"/>
        <v>0</v>
      </c>
      <c r="Q36" s="106">
        <f t="shared" si="36"/>
        <v>0</v>
      </c>
      <c r="R36" s="106">
        <f t="shared" si="36"/>
        <v>0</v>
      </c>
      <c r="S36" s="106">
        <f t="shared" si="36"/>
        <v>0</v>
      </c>
      <c r="T36" s="106">
        <v>0</v>
      </c>
      <c r="U36" s="106">
        <f t="shared" si="36"/>
        <v>0</v>
      </c>
      <c r="V36" s="106">
        <f t="shared" si="36"/>
        <v>0</v>
      </c>
      <c r="W36" s="106">
        <f t="shared" si="36"/>
        <v>0</v>
      </c>
      <c r="X36" s="106">
        <f t="shared" si="36"/>
        <v>0</v>
      </c>
      <c r="Y36" s="106">
        <f t="shared" si="36"/>
        <v>0</v>
      </c>
      <c r="Z36" s="106">
        <f t="shared" si="36"/>
        <v>0</v>
      </c>
      <c r="AA36" s="106">
        <f t="shared" si="36"/>
        <v>0</v>
      </c>
      <c r="AB36" s="106">
        <f t="shared" si="36"/>
        <v>0</v>
      </c>
      <c r="AC36" s="106">
        <f t="shared" si="36"/>
        <v>0</v>
      </c>
      <c r="AD36" s="106">
        <f t="shared" si="36"/>
        <v>0</v>
      </c>
      <c r="AE36" s="106">
        <f t="shared" si="36"/>
        <v>0</v>
      </c>
      <c r="AF36" s="106">
        <f t="shared" si="36"/>
        <v>0</v>
      </c>
      <c r="AG36" s="106">
        <f t="shared" si="36"/>
        <v>0</v>
      </c>
      <c r="AH36" s="106">
        <f t="shared" si="36"/>
        <v>0</v>
      </c>
      <c r="AI36" s="106">
        <f t="shared" si="36"/>
        <v>0</v>
      </c>
      <c r="AJ36" s="106">
        <f t="shared" si="36"/>
        <v>0</v>
      </c>
      <c r="AK36" s="106">
        <f t="shared" si="36"/>
        <v>0</v>
      </c>
      <c r="AL36" s="106">
        <f t="shared" si="36"/>
        <v>0</v>
      </c>
      <c r="AM36" s="106">
        <f t="shared" si="36"/>
        <v>0</v>
      </c>
      <c r="AN36" s="106">
        <f t="shared" si="36"/>
        <v>0</v>
      </c>
      <c r="AO36" s="106">
        <f t="shared" si="36"/>
        <v>0</v>
      </c>
      <c r="AP36" s="106">
        <f t="shared" si="36"/>
        <v>0</v>
      </c>
      <c r="AQ36" s="106">
        <f t="shared" si="36"/>
        <v>0</v>
      </c>
      <c r="AR36" s="106">
        <f t="shared" si="36"/>
        <v>0</v>
      </c>
      <c r="AS36" s="366"/>
      <c r="AT36" s="360"/>
      <c r="AU36" s="121"/>
      <c r="AV36" s="121"/>
      <c r="AW36" s="155"/>
    </row>
    <row r="37" spans="1:49" s="100" customFormat="1" ht="168">
      <c r="A37" s="182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301</v>
      </c>
      <c r="AT37" s="134"/>
      <c r="AU37" s="121"/>
      <c r="AV37" s="121"/>
      <c r="AW37" s="155"/>
    </row>
    <row r="38" spans="1:49" s="100" customFormat="1" ht="216">
      <c r="A38" s="184" t="s">
        <v>351</v>
      </c>
      <c r="B38" s="18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302</v>
      </c>
      <c r="AT38" s="134"/>
      <c r="AU38" s="121"/>
      <c r="AV38" s="121"/>
      <c r="AW38" s="155"/>
    </row>
    <row r="39" spans="1:49" s="100" customFormat="1" ht="60">
      <c r="A39" s="182" t="s">
        <v>355</v>
      </c>
      <c r="B39" s="18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141" t="s">
        <v>303</v>
      </c>
      <c r="AT39" s="134"/>
      <c r="AU39" s="121"/>
      <c r="AV39" s="121"/>
      <c r="AW39" s="155"/>
    </row>
    <row r="40" spans="1:49" s="100" customFormat="1" ht="84">
      <c r="A40" s="182" t="s">
        <v>359</v>
      </c>
      <c r="B40" s="18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304</v>
      </c>
      <c r="AT40" s="134"/>
      <c r="AU40" s="121"/>
      <c r="AV40" s="121"/>
      <c r="AW40" s="155"/>
    </row>
    <row r="41" spans="1:49" s="100" customFormat="1" ht="60">
      <c r="A41" s="182" t="s">
        <v>361</v>
      </c>
      <c r="B41" s="18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305</v>
      </c>
      <c r="AT41" s="134"/>
      <c r="AU41" s="121"/>
      <c r="AV41" s="121"/>
      <c r="AW41" s="155"/>
    </row>
    <row r="42" spans="1:49" s="31" customFormat="1" ht="12.75">
      <c r="A42" s="367" t="s">
        <v>365</v>
      </c>
      <c r="B42" s="370" t="s">
        <v>366</v>
      </c>
      <c r="C42" s="373" t="s">
        <v>269</v>
      </c>
      <c r="D42" s="331" t="s">
        <v>367</v>
      </c>
      <c r="E42" s="107" t="s">
        <v>42</v>
      </c>
      <c r="F42" s="123">
        <f>SUM(F43:F45)</f>
        <v>33940.800000000003</v>
      </c>
      <c r="G42" s="123">
        <f t="shared" ref="G42" si="41">SUM(G43:G45)</f>
        <v>556</v>
      </c>
      <c r="H42" s="123">
        <f>G42/F42*100</f>
        <v>1.6381464196483286</v>
      </c>
      <c r="I42" s="132">
        <f>I43+I44+I45</f>
        <v>556</v>
      </c>
      <c r="J42" s="132">
        <f>J43+J44+J45</f>
        <v>556</v>
      </c>
      <c r="K42" s="123">
        <f t="shared" ref="K42:K44" si="42">J42/I42*100</f>
        <v>100</v>
      </c>
      <c r="L42" s="132">
        <f>L43+L44+L45</f>
        <v>2428</v>
      </c>
      <c r="M42" s="132">
        <f>M43+M44+M45</f>
        <v>0</v>
      </c>
      <c r="N42" s="132">
        <f>M42/L42*100</f>
        <v>0</v>
      </c>
      <c r="O42" s="132">
        <f>O43+O44+O45</f>
        <v>2242</v>
      </c>
      <c r="P42" s="132">
        <f>P43+P44+P45</f>
        <v>0</v>
      </c>
      <c r="Q42" s="123">
        <f t="shared" ref="Q42:Q44" si="43">P42/O42*100</f>
        <v>0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4">U43+U44+U45</f>
        <v>2489</v>
      </c>
      <c r="V42" s="132">
        <f t="shared" si="44"/>
        <v>0</v>
      </c>
      <c r="W42" s="132">
        <f>V42/U42*100</f>
        <v>0</v>
      </c>
      <c r="X42" s="132">
        <f t="shared" si="44"/>
        <v>2628</v>
      </c>
      <c r="Y42" s="132">
        <f t="shared" si="44"/>
        <v>0</v>
      </c>
      <c r="Z42" s="132">
        <f>Y42/X42*100</f>
        <v>0</v>
      </c>
      <c r="AA42" s="132">
        <f t="shared" si="44"/>
        <v>3576</v>
      </c>
      <c r="AB42" s="132">
        <f t="shared" si="44"/>
        <v>0</v>
      </c>
      <c r="AC42" s="132">
        <f>AB42/AA42*100</f>
        <v>0</v>
      </c>
      <c r="AD42" s="132">
        <f t="shared" si="44"/>
        <v>2569</v>
      </c>
      <c r="AE42" s="132">
        <f t="shared" si="44"/>
        <v>0</v>
      </c>
      <c r="AF42" s="132">
        <f>AE42/AD42*100</f>
        <v>0</v>
      </c>
      <c r="AG42" s="132">
        <f t="shared" si="44"/>
        <v>2544</v>
      </c>
      <c r="AH42" s="132">
        <f t="shared" si="44"/>
        <v>0</v>
      </c>
      <c r="AI42" s="117">
        <f>AH42/AG42*100</f>
        <v>0</v>
      </c>
      <c r="AJ42" s="132">
        <f t="shared" si="44"/>
        <v>2984</v>
      </c>
      <c r="AK42" s="132">
        <f t="shared" si="44"/>
        <v>0</v>
      </c>
      <c r="AL42" s="132">
        <f t="shared" si="44"/>
        <v>0</v>
      </c>
      <c r="AM42" s="132">
        <f t="shared" si="44"/>
        <v>2265.6</v>
      </c>
      <c r="AN42" s="132">
        <f t="shared" si="44"/>
        <v>0</v>
      </c>
      <c r="AO42" s="132">
        <f t="shared" si="44"/>
        <v>0</v>
      </c>
      <c r="AP42" s="132">
        <f t="shared" si="44"/>
        <v>6599.2</v>
      </c>
      <c r="AQ42" s="104"/>
      <c r="AR42" s="104"/>
      <c r="AS42" s="334" t="s">
        <v>310</v>
      </c>
      <c r="AT42" s="376"/>
      <c r="AU42" s="121"/>
      <c r="AV42" s="121"/>
      <c r="AW42" s="155"/>
    </row>
    <row r="43" spans="1:49" s="31" customFormat="1" ht="36">
      <c r="A43" s="368"/>
      <c r="B43" s="371"/>
      <c r="C43" s="374"/>
      <c r="D43" s="332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0</v>
      </c>
      <c r="H43" s="123">
        <f>G43/F43*100</f>
        <v>0</v>
      </c>
      <c r="I43" s="123">
        <v>0</v>
      </c>
      <c r="J43" s="123">
        <v>0</v>
      </c>
      <c r="K43" s="123" t="e">
        <f t="shared" si="42"/>
        <v>#DIV/0!</v>
      </c>
      <c r="L43" s="150">
        <v>2178</v>
      </c>
      <c r="M43" s="123">
        <v>0</v>
      </c>
      <c r="N43" s="138">
        <f t="shared" ref="N43:N44" si="45">M43/L43*100</f>
        <v>0</v>
      </c>
      <c r="O43" s="123">
        <v>1989</v>
      </c>
      <c r="P43" s="123">
        <v>0</v>
      </c>
      <c r="Q43" s="123">
        <f t="shared" si="43"/>
        <v>0</v>
      </c>
      <c r="R43" s="123">
        <v>3010</v>
      </c>
      <c r="S43" s="123">
        <v>0</v>
      </c>
      <c r="T43" s="132">
        <f t="shared" ref="T43:T44" si="46">S43/R43*100</f>
        <v>0</v>
      </c>
      <c r="U43" s="117">
        <v>2037</v>
      </c>
      <c r="V43" s="117">
        <v>0</v>
      </c>
      <c r="W43" s="132">
        <f t="shared" ref="W43:W44" si="47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5"/>
      <c r="AT43" s="377"/>
      <c r="AU43" s="121"/>
      <c r="AV43" s="121"/>
      <c r="AW43" s="155"/>
    </row>
    <row r="44" spans="1:49" s="31" customFormat="1" ht="12.75">
      <c r="A44" s="368"/>
      <c r="B44" s="371"/>
      <c r="C44" s="374"/>
      <c r="D44" s="332"/>
      <c r="E44" s="108" t="s">
        <v>44</v>
      </c>
      <c r="F44" s="123">
        <f t="shared" ref="F44:G45" si="48">I44+L44+O44+R44+U44+X44+AA44+AD44+AG44+AJ44+AM44+AP44</f>
        <v>3339.8999999999996</v>
      </c>
      <c r="G44" s="123">
        <f t="shared" si="48"/>
        <v>556</v>
      </c>
      <c r="H44" s="123">
        <f>G44/F44*100</f>
        <v>16.647205006137909</v>
      </c>
      <c r="I44" s="123">
        <v>556</v>
      </c>
      <c r="J44" s="123">
        <v>556</v>
      </c>
      <c r="K44" s="123">
        <f t="shared" si="42"/>
        <v>100</v>
      </c>
      <c r="L44" s="150">
        <v>250</v>
      </c>
      <c r="M44" s="123">
        <v>0</v>
      </c>
      <c r="N44" s="138">
        <f t="shared" si="45"/>
        <v>0</v>
      </c>
      <c r="O44" s="123">
        <v>253</v>
      </c>
      <c r="P44" s="123">
        <v>0</v>
      </c>
      <c r="Q44" s="123">
        <f t="shared" si="43"/>
        <v>0</v>
      </c>
      <c r="R44" s="123">
        <v>50</v>
      </c>
      <c r="S44" s="123">
        <v>0</v>
      </c>
      <c r="T44" s="132">
        <f t="shared" si="46"/>
        <v>0</v>
      </c>
      <c r="U44" s="117">
        <v>452</v>
      </c>
      <c r="V44" s="117">
        <v>0</v>
      </c>
      <c r="W44" s="132">
        <f t="shared" si="47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5"/>
      <c r="AT44" s="377"/>
      <c r="AU44" s="121"/>
      <c r="AV44" s="121"/>
      <c r="AW44" s="155"/>
    </row>
    <row r="45" spans="1:49" s="31" customFormat="1" ht="24">
      <c r="A45" s="369"/>
      <c r="B45" s="372"/>
      <c r="C45" s="375"/>
      <c r="D45" s="333"/>
      <c r="E45" s="109" t="s">
        <v>257</v>
      </c>
      <c r="F45" s="123">
        <f t="shared" si="48"/>
        <v>0</v>
      </c>
      <c r="G45" s="123">
        <f t="shared" si="48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36"/>
      <c r="AT45" s="378"/>
      <c r="AU45" s="121"/>
      <c r="AV45" s="121"/>
      <c r="AW45" s="155"/>
    </row>
    <row r="46" spans="1:49" s="31" customFormat="1" ht="15.75">
      <c r="A46" s="346" t="s">
        <v>368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8"/>
      <c r="AU46" s="121"/>
      <c r="AV46" s="121"/>
      <c r="AW46" s="155"/>
    </row>
    <row r="47" spans="1:49" s="31" customFormat="1" ht="15.75">
      <c r="A47" s="346" t="s">
        <v>369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8"/>
      <c r="AU47" s="121"/>
      <c r="AV47" s="121"/>
      <c r="AW47" s="155"/>
    </row>
    <row r="48" spans="1:49" s="100" customFormat="1" ht="12.75">
      <c r="A48" s="401" t="s">
        <v>270</v>
      </c>
      <c r="B48" s="402"/>
      <c r="C48" s="402"/>
      <c r="D48" s="403"/>
      <c r="E48" s="202" t="s">
        <v>42</v>
      </c>
      <c r="F48" s="203">
        <f>F49+F50+F51</f>
        <v>599.4</v>
      </c>
      <c r="G48" s="203">
        <f t="shared" ref="G48:AR48" si="49">G49+G50+G51</f>
        <v>0</v>
      </c>
      <c r="H48" s="203">
        <f>G48/F48*100</f>
        <v>0</v>
      </c>
      <c r="I48" s="203">
        <f t="shared" si="49"/>
        <v>0</v>
      </c>
      <c r="J48" s="203">
        <f t="shared" si="49"/>
        <v>0</v>
      </c>
      <c r="K48" s="203">
        <v>0</v>
      </c>
      <c r="L48" s="203">
        <f t="shared" si="49"/>
        <v>0</v>
      </c>
      <c r="M48" s="203">
        <f t="shared" si="49"/>
        <v>0</v>
      </c>
      <c r="N48" s="203">
        <v>0</v>
      </c>
      <c r="O48" s="203">
        <f t="shared" si="49"/>
        <v>119.8</v>
      </c>
      <c r="P48" s="203">
        <f t="shared" si="49"/>
        <v>0</v>
      </c>
      <c r="Q48" s="203">
        <f>P48/O48*100</f>
        <v>0</v>
      </c>
      <c r="R48" s="203">
        <f t="shared" si="49"/>
        <v>0</v>
      </c>
      <c r="S48" s="203">
        <f t="shared" si="49"/>
        <v>0</v>
      </c>
      <c r="T48" s="203">
        <v>0</v>
      </c>
      <c r="U48" s="203">
        <f t="shared" si="49"/>
        <v>0</v>
      </c>
      <c r="V48" s="203">
        <f t="shared" si="49"/>
        <v>0</v>
      </c>
      <c r="W48" s="203">
        <f t="shared" si="49"/>
        <v>0</v>
      </c>
      <c r="X48" s="203">
        <f t="shared" si="49"/>
        <v>179.7</v>
      </c>
      <c r="Y48" s="203">
        <f t="shared" si="49"/>
        <v>0</v>
      </c>
      <c r="Z48" s="203">
        <f t="shared" si="49"/>
        <v>0</v>
      </c>
      <c r="AA48" s="203">
        <f t="shared" si="49"/>
        <v>0</v>
      </c>
      <c r="AB48" s="203">
        <f t="shared" si="49"/>
        <v>0</v>
      </c>
      <c r="AC48" s="203">
        <f t="shared" si="49"/>
        <v>0</v>
      </c>
      <c r="AD48" s="203">
        <f t="shared" si="49"/>
        <v>0</v>
      </c>
      <c r="AE48" s="203">
        <f t="shared" si="49"/>
        <v>0</v>
      </c>
      <c r="AF48" s="203">
        <f t="shared" si="49"/>
        <v>0</v>
      </c>
      <c r="AG48" s="203">
        <f t="shared" si="49"/>
        <v>179.7</v>
      </c>
      <c r="AH48" s="203">
        <f t="shared" si="49"/>
        <v>0</v>
      </c>
      <c r="AI48" s="203">
        <f t="shared" si="49"/>
        <v>0</v>
      </c>
      <c r="AJ48" s="203">
        <f t="shared" si="49"/>
        <v>0</v>
      </c>
      <c r="AK48" s="203">
        <f t="shared" si="49"/>
        <v>0</v>
      </c>
      <c r="AL48" s="203">
        <f t="shared" si="49"/>
        <v>0</v>
      </c>
      <c r="AM48" s="203">
        <f t="shared" si="49"/>
        <v>120.2</v>
      </c>
      <c r="AN48" s="203">
        <f t="shared" si="49"/>
        <v>0</v>
      </c>
      <c r="AO48" s="203">
        <f t="shared" si="49"/>
        <v>0</v>
      </c>
      <c r="AP48" s="203">
        <f t="shared" si="49"/>
        <v>0</v>
      </c>
      <c r="AQ48" s="203">
        <f t="shared" si="49"/>
        <v>0</v>
      </c>
      <c r="AR48" s="203">
        <f t="shared" si="49"/>
        <v>0</v>
      </c>
      <c r="AS48" s="313"/>
      <c r="AT48" s="358"/>
      <c r="AU48" s="121"/>
      <c r="AV48" s="121"/>
      <c r="AW48" s="155"/>
    </row>
    <row r="49" spans="1:49" s="100" customFormat="1" ht="36">
      <c r="A49" s="404"/>
      <c r="B49" s="405"/>
      <c r="C49" s="405"/>
      <c r="D49" s="406"/>
      <c r="E49" s="204" t="s">
        <v>3</v>
      </c>
      <c r="F49" s="203">
        <f>F57</f>
        <v>0</v>
      </c>
      <c r="G49" s="203">
        <f t="shared" ref="G49:AR51" si="50">G57</f>
        <v>0</v>
      </c>
      <c r="H49" s="203">
        <v>0</v>
      </c>
      <c r="I49" s="203">
        <f t="shared" si="50"/>
        <v>0</v>
      </c>
      <c r="J49" s="203">
        <f t="shared" si="50"/>
        <v>0</v>
      </c>
      <c r="K49" s="203">
        <v>0</v>
      </c>
      <c r="L49" s="203">
        <f t="shared" si="50"/>
        <v>0</v>
      </c>
      <c r="M49" s="203">
        <f t="shared" si="50"/>
        <v>0</v>
      </c>
      <c r="N49" s="203">
        <v>0</v>
      </c>
      <c r="O49" s="203">
        <f t="shared" si="50"/>
        <v>0</v>
      </c>
      <c r="P49" s="203">
        <f t="shared" si="50"/>
        <v>0</v>
      </c>
      <c r="Q49" s="203">
        <v>0</v>
      </c>
      <c r="R49" s="203">
        <f t="shared" si="50"/>
        <v>0</v>
      </c>
      <c r="S49" s="203">
        <f t="shared" si="50"/>
        <v>0</v>
      </c>
      <c r="T49" s="203">
        <f t="shared" si="50"/>
        <v>0</v>
      </c>
      <c r="U49" s="203">
        <f t="shared" si="50"/>
        <v>0</v>
      </c>
      <c r="V49" s="203">
        <f t="shared" si="50"/>
        <v>0</v>
      </c>
      <c r="W49" s="203">
        <f t="shared" si="50"/>
        <v>0</v>
      </c>
      <c r="X49" s="203">
        <f t="shared" si="50"/>
        <v>0</v>
      </c>
      <c r="Y49" s="203">
        <f t="shared" si="50"/>
        <v>0</v>
      </c>
      <c r="Z49" s="203">
        <f t="shared" si="50"/>
        <v>0</v>
      </c>
      <c r="AA49" s="203">
        <f t="shared" si="50"/>
        <v>0</v>
      </c>
      <c r="AB49" s="203">
        <f t="shared" si="50"/>
        <v>0</v>
      </c>
      <c r="AC49" s="203">
        <f t="shared" si="50"/>
        <v>0</v>
      </c>
      <c r="AD49" s="203">
        <f t="shared" si="50"/>
        <v>0</v>
      </c>
      <c r="AE49" s="203">
        <f t="shared" si="50"/>
        <v>0</v>
      </c>
      <c r="AF49" s="203">
        <f t="shared" si="50"/>
        <v>0</v>
      </c>
      <c r="AG49" s="203">
        <f t="shared" si="50"/>
        <v>0</v>
      </c>
      <c r="AH49" s="203">
        <f t="shared" si="50"/>
        <v>0</v>
      </c>
      <c r="AI49" s="203">
        <f t="shared" si="50"/>
        <v>0</v>
      </c>
      <c r="AJ49" s="203">
        <f t="shared" si="50"/>
        <v>0</v>
      </c>
      <c r="AK49" s="203">
        <f t="shared" si="50"/>
        <v>0</v>
      </c>
      <c r="AL49" s="203">
        <f t="shared" si="50"/>
        <v>0</v>
      </c>
      <c r="AM49" s="203">
        <f t="shared" si="50"/>
        <v>0</v>
      </c>
      <c r="AN49" s="203">
        <f t="shared" si="50"/>
        <v>0</v>
      </c>
      <c r="AO49" s="203">
        <f t="shared" si="50"/>
        <v>0</v>
      </c>
      <c r="AP49" s="203">
        <f t="shared" si="50"/>
        <v>0</v>
      </c>
      <c r="AQ49" s="203">
        <f t="shared" si="50"/>
        <v>0</v>
      </c>
      <c r="AR49" s="203">
        <f t="shared" si="50"/>
        <v>0</v>
      </c>
      <c r="AS49" s="314"/>
      <c r="AT49" s="359"/>
      <c r="AU49" s="121"/>
      <c r="AV49" s="121"/>
      <c r="AW49" s="155"/>
    </row>
    <row r="50" spans="1:49" s="100" customFormat="1" ht="24">
      <c r="A50" s="404"/>
      <c r="B50" s="405"/>
      <c r="C50" s="405"/>
      <c r="D50" s="406"/>
      <c r="E50" s="204" t="s">
        <v>44</v>
      </c>
      <c r="F50" s="203">
        <f>F58</f>
        <v>599.4</v>
      </c>
      <c r="G50" s="203">
        <f t="shared" si="50"/>
        <v>0</v>
      </c>
      <c r="H50" s="203">
        <f>G50/F50*100</f>
        <v>0</v>
      </c>
      <c r="I50" s="203">
        <f t="shared" si="50"/>
        <v>0</v>
      </c>
      <c r="J50" s="203">
        <f t="shared" si="50"/>
        <v>0</v>
      </c>
      <c r="K50" s="203">
        <v>0</v>
      </c>
      <c r="L50" s="203">
        <f t="shared" si="50"/>
        <v>0</v>
      </c>
      <c r="M50" s="203">
        <f t="shared" si="50"/>
        <v>0</v>
      </c>
      <c r="N50" s="203">
        <v>0</v>
      </c>
      <c r="O50" s="203">
        <f t="shared" si="50"/>
        <v>119.8</v>
      </c>
      <c r="P50" s="203">
        <f t="shared" si="50"/>
        <v>0</v>
      </c>
      <c r="Q50" s="203">
        <f t="shared" ref="Q50" si="51">P50/O50*100</f>
        <v>0</v>
      </c>
      <c r="R50" s="203">
        <f t="shared" si="50"/>
        <v>0</v>
      </c>
      <c r="S50" s="203">
        <f t="shared" si="50"/>
        <v>0</v>
      </c>
      <c r="T50" s="203">
        <f t="shared" si="50"/>
        <v>0</v>
      </c>
      <c r="U50" s="203">
        <f t="shared" si="50"/>
        <v>0</v>
      </c>
      <c r="V50" s="203">
        <f t="shared" si="50"/>
        <v>0</v>
      </c>
      <c r="W50" s="203">
        <f t="shared" si="50"/>
        <v>0</v>
      </c>
      <c r="X50" s="203">
        <f t="shared" si="50"/>
        <v>179.7</v>
      </c>
      <c r="Y50" s="203">
        <f t="shared" si="50"/>
        <v>0</v>
      </c>
      <c r="Z50" s="203">
        <f t="shared" si="50"/>
        <v>0</v>
      </c>
      <c r="AA50" s="203">
        <f t="shared" si="50"/>
        <v>0</v>
      </c>
      <c r="AB50" s="203">
        <f t="shared" si="50"/>
        <v>0</v>
      </c>
      <c r="AC50" s="203">
        <f t="shared" si="50"/>
        <v>0</v>
      </c>
      <c r="AD50" s="203">
        <f t="shared" si="50"/>
        <v>0</v>
      </c>
      <c r="AE50" s="203">
        <f t="shared" si="50"/>
        <v>0</v>
      </c>
      <c r="AF50" s="203">
        <f t="shared" si="50"/>
        <v>0</v>
      </c>
      <c r="AG50" s="203">
        <f t="shared" si="50"/>
        <v>179.7</v>
      </c>
      <c r="AH50" s="203">
        <f t="shared" si="50"/>
        <v>0</v>
      </c>
      <c r="AI50" s="203">
        <f t="shared" si="50"/>
        <v>0</v>
      </c>
      <c r="AJ50" s="203">
        <f t="shared" si="50"/>
        <v>0</v>
      </c>
      <c r="AK50" s="203">
        <f t="shared" si="50"/>
        <v>0</v>
      </c>
      <c r="AL50" s="203">
        <f t="shared" si="50"/>
        <v>0</v>
      </c>
      <c r="AM50" s="203">
        <f t="shared" si="50"/>
        <v>120.2</v>
      </c>
      <c r="AN50" s="203">
        <f t="shared" si="50"/>
        <v>0</v>
      </c>
      <c r="AO50" s="203">
        <f t="shared" si="50"/>
        <v>0</v>
      </c>
      <c r="AP50" s="203">
        <f t="shared" si="50"/>
        <v>0</v>
      </c>
      <c r="AQ50" s="203">
        <f t="shared" si="50"/>
        <v>0</v>
      </c>
      <c r="AR50" s="203">
        <f t="shared" si="50"/>
        <v>0</v>
      </c>
      <c r="AS50" s="314"/>
      <c r="AT50" s="359"/>
      <c r="AU50" s="121"/>
      <c r="AV50" s="121"/>
      <c r="AW50" s="155"/>
    </row>
    <row r="51" spans="1:49" s="100" customFormat="1" ht="24">
      <c r="A51" s="407"/>
      <c r="B51" s="408"/>
      <c r="C51" s="408"/>
      <c r="D51" s="409"/>
      <c r="E51" s="205" t="s">
        <v>257</v>
      </c>
      <c r="F51" s="203">
        <f>F59</f>
        <v>0</v>
      </c>
      <c r="G51" s="203">
        <f t="shared" si="50"/>
        <v>0</v>
      </c>
      <c r="H51" s="203">
        <v>0</v>
      </c>
      <c r="I51" s="203">
        <f t="shared" si="50"/>
        <v>0</v>
      </c>
      <c r="J51" s="203">
        <f t="shared" si="50"/>
        <v>0</v>
      </c>
      <c r="K51" s="203">
        <f t="shared" si="50"/>
        <v>0</v>
      </c>
      <c r="L51" s="203">
        <f t="shared" si="50"/>
        <v>0</v>
      </c>
      <c r="M51" s="203">
        <f t="shared" si="50"/>
        <v>0</v>
      </c>
      <c r="N51" s="203">
        <v>0</v>
      </c>
      <c r="O51" s="203">
        <f t="shared" si="50"/>
        <v>0</v>
      </c>
      <c r="P51" s="203">
        <f t="shared" si="50"/>
        <v>0</v>
      </c>
      <c r="Q51" s="203">
        <f t="shared" si="50"/>
        <v>0</v>
      </c>
      <c r="R51" s="203">
        <f t="shared" si="50"/>
        <v>0</v>
      </c>
      <c r="S51" s="203">
        <f t="shared" si="50"/>
        <v>0</v>
      </c>
      <c r="T51" s="203">
        <f t="shared" si="50"/>
        <v>0</v>
      </c>
      <c r="U51" s="203">
        <f t="shared" si="50"/>
        <v>0</v>
      </c>
      <c r="V51" s="203">
        <f t="shared" si="50"/>
        <v>0</v>
      </c>
      <c r="W51" s="203">
        <f t="shared" si="50"/>
        <v>0</v>
      </c>
      <c r="X51" s="203">
        <f t="shared" si="50"/>
        <v>0</v>
      </c>
      <c r="Y51" s="203">
        <f t="shared" si="50"/>
        <v>0</v>
      </c>
      <c r="Z51" s="203">
        <f t="shared" si="50"/>
        <v>0</v>
      </c>
      <c r="AA51" s="203">
        <f t="shared" si="50"/>
        <v>0</v>
      </c>
      <c r="AB51" s="203">
        <f t="shared" si="50"/>
        <v>0</v>
      </c>
      <c r="AC51" s="203">
        <f t="shared" si="50"/>
        <v>0</v>
      </c>
      <c r="AD51" s="203">
        <f t="shared" si="50"/>
        <v>0</v>
      </c>
      <c r="AE51" s="203">
        <f t="shared" si="50"/>
        <v>0</v>
      </c>
      <c r="AF51" s="203">
        <f t="shared" si="50"/>
        <v>0</v>
      </c>
      <c r="AG51" s="203">
        <f t="shared" si="50"/>
        <v>0</v>
      </c>
      <c r="AH51" s="203">
        <f t="shared" si="50"/>
        <v>0</v>
      </c>
      <c r="AI51" s="203">
        <f t="shared" si="50"/>
        <v>0</v>
      </c>
      <c r="AJ51" s="203">
        <f t="shared" si="50"/>
        <v>0</v>
      </c>
      <c r="AK51" s="203">
        <f t="shared" si="50"/>
        <v>0</v>
      </c>
      <c r="AL51" s="203">
        <f t="shared" si="50"/>
        <v>0</v>
      </c>
      <c r="AM51" s="203">
        <f t="shared" si="50"/>
        <v>0</v>
      </c>
      <c r="AN51" s="203">
        <f t="shared" si="50"/>
        <v>0</v>
      </c>
      <c r="AO51" s="203">
        <f t="shared" si="50"/>
        <v>0</v>
      </c>
      <c r="AP51" s="203">
        <f t="shared" si="50"/>
        <v>0</v>
      </c>
      <c r="AQ51" s="203">
        <f t="shared" si="50"/>
        <v>0</v>
      </c>
      <c r="AR51" s="203">
        <f t="shared" si="50"/>
        <v>0</v>
      </c>
      <c r="AS51" s="315"/>
      <c r="AT51" s="360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311</v>
      </c>
      <c r="AT52" s="198"/>
      <c r="AU52" s="121"/>
      <c r="AV52" s="121"/>
      <c r="AW52" s="155"/>
    </row>
    <row r="53" spans="1:49" s="100" customFormat="1" ht="264">
      <c r="A53" s="199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01" t="s">
        <v>306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200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312</v>
      </c>
      <c r="AT54" s="134"/>
      <c r="AU54" s="121"/>
      <c r="AV54" s="121"/>
      <c r="AW54" s="155"/>
    </row>
    <row r="55" spans="1:49" s="100" customFormat="1" ht="84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313</v>
      </c>
      <c r="AT55" s="134"/>
      <c r="AU55" s="121"/>
      <c r="AV55" s="121"/>
      <c r="AW55" s="155"/>
    </row>
    <row r="56" spans="1:49" s="31" customFormat="1" ht="12.75">
      <c r="A56" s="361" t="s">
        <v>382</v>
      </c>
      <c r="B56" s="370" t="s">
        <v>259</v>
      </c>
      <c r="C56" s="410" t="s">
        <v>271</v>
      </c>
      <c r="D56" s="413" t="s">
        <v>383</v>
      </c>
      <c r="E56" s="107" t="s">
        <v>42</v>
      </c>
      <c r="F56" s="104">
        <f>SUM(F57:F59)</f>
        <v>599.4</v>
      </c>
      <c r="G56" s="104">
        <f t="shared" ref="G56" si="52">SUM(G57:G59)</f>
        <v>0</v>
      </c>
      <c r="H56" s="104">
        <f>G56/F56*100</f>
        <v>0</v>
      </c>
      <c r="I56" s="207">
        <f t="shared" ref="I56:AP56" si="53">I57+I58+I59</f>
        <v>0</v>
      </c>
      <c r="J56" s="207">
        <f t="shared" si="53"/>
        <v>0</v>
      </c>
      <c r="K56" s="104">
        <v>0</v>
      </c>
      <c r="L56" s="207">
        <f t="shared" si="53"/>
        <v>0</v>
      </c>
      <c r="M56" s="207">
        <f t="shared" si="53"/>
        <v>0</v>
      </c>
      <c r="N56" s="207">
        <v>0</v>
      </c>
      <c r="O56" s="207">
        <f t="shared" si="53"/>
        <v>119.8</v>
      </c>
      <c r="P56" s="207">
        <f t="shared" si="53"/>
        <v>0</v>
      </c>
      <c r="Q56" s="104">
        <f t="shared" ref="Q56:Q58" si="54">P56/O56*100</f>
        <v>0</v>
      </c>
      <c r="R56" s="207">
        <f t="shared" si="53"/>
        <v>0</v>
      </c>
      <c r="S56" s="207">
        <f t="shared" si="53"/>
        <v>0</v>
      </c>
      <c r="T56" s="207">
        <f t="shared" si="53"/>
        <v>0</v>
      </c>
      <c r="U56" s="207">
        <f t="shared" si="53"/>
        <v>0</v>
      </c>
      <c r="V56" s="207">
        <f t="shared" si="53"/>
        <v>0</v>
      </c>
      <c r="W56" s="104">
        <v>0</v>
      </c>
      <c r="X56" s="207">
        <f t="shared" si="53"/>
        <v>179.7</v>
      </c>
      <c r="Y56" s="207">
        <f t="shared" si="53"/>
        <v>0</v>
      </c>
      <c r="Z56" s="207">
        <f t="shared" si="53"/>
        <v>0</v>
      </c>
      <c r="AA56" s="207">
        <f t="shared" si="53"/>
        <v>0</v>
      </c>
      <c r="AB56" s="207">
        <f t="shared" si="53"/>
        <v>0</v>
      </c>
      <c r="AC56" s="207">
        <f t="shared" si="53"/>
        <v>0</v>
      </c>
      <c r="AD56" s="207">
        <f t="shared" si="53"/>
        <v>0</v>
      </c>
      <c r="AE56" s="207">
        <f t="shared" si="53"/>
        <v>0</v>
      </c>
      <c r="AF56" s="207">
        <f t="shared" si="53"/>
        <v>0</v>
      </c>
      <c r="AG56" s="207">
        <f t="shared" si="53"/>
        <v>179.7</v>
      </c>
      <c r="AH56" s="207">
        <f t="shared" si="53"/>
        <v>0</v>
      </c>
      <c r="AI56" s="105">
        <f>AH56/AG56*100</f>
        <v>0</v>
      </c>
      <c r="AJ56" s="207">
        <f t="shared" si="53"/>
        <v>0</v>
      </c>
      <c r="AK56" s="207">
        <f t="shared" si="53"/>
        <v>0</v>
      </c>
      <c r="AL56" s="207">
        <f t="shared" si="53"/>
        <v>0</v>
      </c>
      <c r="AM56" s="207">
        <f t="shared" si="53"/>
        <v>120.2</v>
      </c>
      <c r="AN56" s="207">
        <f t="shared" si="53"/>
        <v>0</v>
      </c>
      <c r="AO56" s="207">
        <f t="shared" si="53"/>
        <v>0</v>
      </c>
      <c r="AP56" s="207">
        <f t="shared" si="53"/>
        <v>0</v>
      </c>
      <c r="AQ56" s="104"/>
      <c r="AR56" s="104"/>
      <c r="AS56" s="340" t="s">
        <v>314</v>
      </c>
      <c r="AT56" s="416"/>
      <c r="AU56" s="121"/>
      <c r="AV56" s="121"/>
      <c r="AW56" s="155"/>
    </row>
    <row r="57" spans="1:49" s="31" customFormat="1" ht="36">
      <c r="A57" s="362"/>
      <c r="B57" s="371"/>
      <c r="C57" s="411"/>
      <c r="D57" s="414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1"/>
      <c r="AT57" s="417"/>
      <c r="AU57" s="121"/>
      <c r="AV57" s="121"/>
      <c r="AW57" s="155"/>
    </row>
    <row r="58" spans="1:49" s="31" customFormat="1" ht="12.75">
      <c r="A58" s="362"/>
      <c r="B58" s="371"/>
      <c r="C58" s="411"/>
      <c r="D58" s="414"/>
      <c r="E58" s="108" t="s">
        <v>44</v>
      </c>
      <c r="F58" s="104">
        <f t="shared" ref="F58:G59" si="55">I58+L58+O58+R58+U58+X58+AA58+AD58+AG58+AJ58+AM58+AP58</f>
        <v>599.4</v>
      </c>
      <c r="G58" s="104">
        <f t="shared" si="55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v>119.8</v>
      </c>
      <c r="P58" s="104">
        <v>0</v>
      </c>
      <c r="Q58" s="104">
        <f t="shared" si="54"/>
        <v>0</v>
      </c>
      <c r="R58" s="104">
        <v>0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1"/>
      <c r="AT58" s="417"/>
      <c r="AU58" s="121"/>
      <c r="AV58" s="121"/>
      <c r="AW58" s="155"/>
    </row>
    <row r="59" spans="1:49" s="31" customFormat="1" ht="24">
      <c r="A59" s="363"/>
      <c r="B59" s="372"/>
      <c r="C59" s="412"/>
      <c r="D59" s="415"/>
      <c r="E59" s="109" t="s">
        <v>257</v>
      </c>
      <c r="F59" s="104">
        <f t="shared" si="55"/>
        <v>0</v>
      </c>
      <c r="G59" s="104">
        <f t="shared" si="55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2"/>
      <c r="AT59" s="418"/>
      <c r="AU59" s="121"/>
      <c r="AV59" s="121"/>
      <c r="AW59" s="155"/>
    </row>
    <row r="60" spans="1:49" s="31" customFormat="1" ht="15.75">
      <c r="A60" s="346" t="s">
        <v>384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8"/>
      <c r="AU60" s="121"/>
      <c r="AV60" s="121"/>
      <c r="AW60" s="155"/>
    </row>
    <row r="61" spans="1:49" s="31" customFormat="1" ht="15.75">
      <c r="A61" s="346" t="s">
        <v>385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8"/>
      <c r="AU61" s="121"/>
      <c r="AV61" s="121"/>
      <c r="AW61" s="155"/>
    </row>
    <row r="62" spans="1:49" s="100" customFormat="1" ht="12.75">
      <c r="A62" s="349" t="s">
        <v>272</v>
      </c>
      <c r="B62" s="350"/>
      <c r="C62" s="350"/>
      <c r="D62" s="351"/>
      <c r="E62" s="129" t="s">
        <v>42</v>
      </c>
      <c r="F62" s="106">
        <f>F63+F64+F65</f>
        <v>10628.100000000002</v>
      </c>
      <c r="G62" s="106">
        <f t="shared" ref="G62:AP62" si="56">G63+G64+G65</f>
        <v>0</v>
      </c>
      <c r="H62" s="106">
        <f>G62/F62*100</f>
        <v>0</v>
      </c>
      <c r="I62" s="106">
        <f t="shared" si="56"/>
        <v>0</v>
      </c>
      <c r="J62" s="106">
        <f t="shared" si="56"/>
        <v>0</v>
      </c>
      <c r="K62" s="106">
        <v>0</v>
      </c>
      <c r="L62" s="106">
        <f t="shared" si="56"/>
        <v>2337.5</v>
      </c>
      <c r="M62" s="106">
        <f t="shared" si="56"/>
        <v>0</v>
      </c>
      <c r="N62" s="106">
        <f t="shared" si="56"/>
        <v>0</v>
      </c>
      <c r="O62" s="106">
        <f t="shared" si="56"/>
        <v>2141.4</v>
      </c>
      <c r="P62" s="106">
        <f t="shared" si="56"/>
        <v>0</v>
      </c>
      <c r="Q62" s="106">
        <f>P62/O62*100</f>
        <v>0</v>
      </c>
      <c r="R62" s="106">
        <f t="shared" si="56"/>
        <v>328.59999999999997</v>
      </c>
      <c r="S62" s="106">
        <f t="shared" si="56"/>
        <v>0</v>
      </c>
      <c r="T62" s="106">
        <f>S62/R62*100</f>
        <v>0</v>
      </c>
      <c r="U62" s="106">
        <f t="shared" si="56"/>
        <v>1220.6000000000001</v>
      </c>
      <c r="V62" s="106">
        <f t="shared" si="56"/>
        <v>0</v>
      </c>
      <c r="W62" s="106">
        <f t="shared" si="56"/>
        <v>0</v>
      </c>
      <c r="X62" s="106">
        <f t="shared" si="56"/>
        <v>1288.6000000000001</v>
      </c>
      <c r="Y62" s="106">
        <f t="shared" si="56"/>
        <v>0</v>
      </c>
      <c r="Z62" s="106">
        <f t="shared" si="56"/>
        <v>0</v>
      </c>
      <c r="AA62" s="106">
        <f t="shared" si="56"/>
        <v>1075.6000000000001</v>
      </c>
      <c r="AB62" s="106">
        <f t="shared" si="56"/>
        <v>0</v>
      </c>
      <c r="AC62" s="106">
        <f t="shared" si="56"/>
        <v>0</v>
      </c>
      <c r="AD62" s="106">
        <f t="shared" si="56"/>
        <v>150.6</v>
      </c>
      <c r="AE62" s="106">
        <f t="shared" si="56"/>
        <v>0</v>
      </c>
      <c r="AF62" s="106">
        <f t="shared" ref="AF62" si="57">AE62/AD62*100</f>
        <v>0</v>
      </c>
      <c r="AG62" s="106">
        <f t="shared" si="56"/>
        <v>200.6</v>
      </c>
      <c r="AH62" s="106">
        <f t="shared" si="56"/>
        <v>0</v>
      </c>
      <c r="AI62" s="106">
        <f t="shared" si="56"/>
        <v>0</v>
      </c>
      <c r="AJ62" s="106">
        <f t="shared" si="56"/>
        <v>162.6</v>
      </c>
      <c r="AK62" s="106">
        <f t="shared" si="56"/>
        <v>0</v>
      </c>
      <c r="AL62" s="106">
        <f t="shared" si="56"/>
        <v>0</v>
      </c>
      <c r="AM62" s="106">
        <f t="shared" si="56"/>
        <v>1350.0000000000002</v>
      </c>
      <c r="AN62" s="106">
        <f t="shared" si="56"/>
        <v>0</v>
      </c>
      <c r="AO62" s="106">
        <f t="shared" si="56"/>
        <v>0</v>
      </c>
      <c r="AP62" s="106">
        <f t="shared" si="56"/>
        <v>372</v>
      </c>
      <c r="AQ62" s="106">
        <f>AQ92+AQ100</f>
        <v>0</v>
      </c>
      <c r="AR62" s="106">
        <f>AR92+AR100</f>
        <v>0</v>
      </c>
      <c r="AS62" s="313"/>
      <c r="AT62" s="358"/>
      <c r="AU62" s="121"/>
      <c r="AV62" s="121"/>
      <c r="AW62" s="155"/>
    </row>
    <row r="63" spans="1:49" s="100" customFormat="1" ht="36">
      <c r="A63" s="352"/>
      <c r="B63" s="353"/>
      <c r="C63" s="353"/>
      <c r="D63" s="354"/>
      <c r="E63" s="111" t="s">
        <v>3</v>
      </c>
      <c r="F63" s="106">
        <f>F70+F74+F78</f>
        <v>0</v>
      </c>
      <c r="G63" s="106">
        <f t="shared" ref="G63:AR65" si="58">G70+G74+G78</f>
        <v>0</v>
      </c>
      <c r="H63" s="106">
        <v>0</v>
      </c>
      <c r="I63" s="106">
        <f t="shared" si="58"/>
        <v>0</v>
      </c>
      <c r="J63" s="106">
        <f t="shared" si="58"/>
        <v>0</v>
      </c>
      <c r="K63" s="106">
        <v>0</v>
      </c>
      <c r="L63" s="106">
        <f t="shared" si="58"/>
        <v>0</v>
      </c>
      <c r="M63" s="106">
        <f t="shared" si="58"/>
        <v>0</v>
      </c>
      <c r="N63" s="106">
        <f t="shared" si="58"/>
        <v>0</v>
      </c>
      <c r="O63" s="106">
        <f t="shared" si="58"/>
        <v>0</v>
      </c>
      <c r="P63" s="106">
        <f t="shared" si="58"/>
        <v>0</v>
      </c>
      <c r="Q63" s="106">
        <v>0</v>
      </c>
      <c r="R63" s="106">
        <f t="shared" si="58"/>
        <v>0</v>
      </c>
      <c r="S63" s="106">
        <f t="shared" si="58"/>
        <v>0</v>
      </c>
      <c r="T63" s="106">
        <v>0</v>
      </c>
      <c r="U63" s="106">
        <f t="shared" si="58"/>
        <v>0</v>
      </c>
      <c r="V63" s="106">
        <f t="shared" si="58"/>
        <v>0</v>
      </c>
      <c r="W63" s="106">
        <f t="shared" si="58"/>
        <v>0</v>
      </c>
      <c r="X63" s="106">
        <f t="shared" si="58"/>
        <v>0</v>
      </c>
      <c r="Y63" s="106">
        <f t="shared" si="58"/>
        <v>0</v>
      </c>
      <c r="Z63" s="106">
        <f t="shared" si="58"/>
        <v>0</v>
      </c>
      <c r="AA63" s="106">
        <f t="shared" si="58"/>
        <v>0</v>
      </c>
      <c r="AB63" s="106">
        <f t="shared" si="58"/>
        <v>0</v>
      </c>
      <c r="AC63" s="106">
        <f t="shared" si="58"/>
        <v>0</v>
      </c>
      <c r="AD63" s="106">
        <f t="shared" si="58"/>
        <v>0</v>
      </c>
      <c r="AE63" s="106">
        <f t="shared" si="58"/>
        <v>0</v>
      </c>
      <c r="AF63" s="106">
        <f t="shared" si="58"/>
        <v>0</v>
      </c>
      <c r="AG63" s="106">
        <f t="shared" si="58"/>
        <v>0</v>
      </c>
      <c r="AH63" s="106">
        <f t="shared" si="58"/>
        <v>0</v>
      </c>
      <c r="AI63" s="106">
        <f t="shared" si="58"/>
        <v>0</v>
      </c>
      <c r="AJ63" s="106">
        <f t="shared" si="58"/>
        <v>0</v>
      </c>
      <c r="AK63" s="106">
        <f t="shared" si="58"/>
        <v>0</v>
      </c>
      <c r="AL63" s="106">
        <f t="shared" si="58"/>
        <v>0</v>
      </c>
      <c r="AM63" s="106">
        <f t="shared" si="58"/>
        <v>0</v>
      </c>
      <c r="AN63" s="106">
        <f t="shared" si="58"/>
        <v>0</v>
      </c>
      <c r="AO63" s="106">
        <f t="shared" si="58"/>
        <v>0</v>
      </c>
      <c r="AP63" s="106">
        <f t="shared" si="58"/>
        <v>0</v>
      </c>
      <c r="AQ63" s="106">
        <f t="shared" si="58"/>
        <v>0</v>
      </c>
      <c r="AR63" s="106">
        <f t="shared" si="58"/>
        <v>0</v>
      </c>
      <c r="AS63" s="314"/>
      <c r="AT63" s="359"/>
      <c r="AU63" s="121"/>
      <c r="AV63" s="121"/>
      <c r="AW63" s="155"/>
    </row>
    <row r="64" spans="1:49" s="100" customFormat="1" ht="24">
      <c r="A64" s="352"/>
      <c r="B64" s="353"/>
      <c r="C64" s="353"/>
      <c r="D64" s="354"/>
      <c r="E64" s="111" t="s">
        <v>44</v>
      </c>
      <c r="F64" s="106">
        <f>F71+F75+F79</f>
        <v>10628.100000000002</v>
      </c>
      <c r="G64" s="106">
        <f t="shared" si="58"/>
        <v>0</v>
      </c>
      <c r="H64" s="106">
        <f>G64/F64*100</f>
        <v>0</v>
      </c>
      <c r="I64" s="106">
        <f t="shared" si="58"/>
        <v>0</v>
      </c>
      <c r="J64" s="106">
        <f t="shared" si="58"/>
        <v>0</v>
      </c>
      <c r="K64" s="106">
        <v>0</v>
      </c>
      <c r="L64" s="106">
        <f t="shared" si="58"/>
        <v>2337.5</v>
      </c>
      <c r="M64" s="106">
        <f t="shared" si="58"/>
        <v>0</v>
      </c>
      <c r="N64" s="106">
        <f t="shared" si="58"/>
        <v>0</v>
      </c>
      <c r="O64" s="106">
        <f t="shared" si="58"/>
        <v>2141.4</v>
      </c>
      <c r="P64" s="106">
        <f t="shared" si="58"/>
        <v>0</v>
      </c>
      <c r="Q64" s="106">
        <f t="shared" ref="Q64" si="59">P64/O64*100</f>
        <v>0</v>
      </c>
      <c r="R64" s="106">
        <f t="shared" si="58"/>
        <v>328.59999999999997</v>
      </c>
      <c r="S64" s="106">
        <f t="shared" si="58"/>
        <v>0</v>
      </c>
      <c r="T64" s="106">
        <f t="shared" ref="T64" si="60">S64/R64*100</f>
        <v>0</v>
      </c>
      <c r="U64" s="106">
        <f t="shared" si="58"/>
        <v>1220.6000000000001</v>
      </c>
      <c r="V64" s="106">
        <f t="shared" si="58"/>
        <v>0</v>
      </c>
      <c r="W64" s="106">
        <f t="shared" si="58"/>
        <v>0</v>
      </c>
      <c r="X64" s="106">
        <f t="shared" si="58"/>
        <v>1288.6000000000001</v>
      </c>
      <c r="Y64" s="106">
        <f t="shared" si="58"/>
        <v>0</v>
      </c>
      <c r="Z64" s="106">
        <f t="shared" si="58"/>
        <v>0</v>
      </c>
      <c r="AA64" s="106">
        <f t="shared" si="58"/>
        <v>1075.6000000000001</v>
      </c>
      <c r="AB64" s="106">
        <f t="shared" si="58"/>
        <v>0</v>
      </c>
      <c r="AC64" s="106">
        <f t="shared" si="58"/>
        <v>0</v>
      </c>
      <c r="AD64" s="106">
        <f t="shared" si="58"/>
        <v>150.6</v>
      </c>
      <c r="AE64" s="106">
        <f t="shared" si="58"/>
        <v>0</v>
      </c>
      <c r="AF64" s="106">
        <f t="shared" ref="AF64" si="61">AE64/AD64*100</f>
        <v>0</v>
      </c>
      <c r="AG64" s="106">
        <f t="shared" si="58"/>
        <v>200.6</v>
      </c>
      <c r="AH64" s="106">
        <f t="shared" si="58"/>
        <v>0</v>
      </c>
      <c r="AI64" s="106">
        <f t="shared" si="58"/>
        <v>0</v>
      </c>
      <c r="AJ64" s="106">
        <f t="shared" si="58"/>
        <v>162.6</v>
      </c>
      <c r="AK64" s="106">
        <f t="shared" si="58"/>
        <v>0</v>
      </c>
      <c r="AL64" s="106">
        <f t="shared" si="58"/>
        <v>0</v>
      </c>
      <c r="AM64" s="106">
        <f t="shared" si="58"/>
        <v>1350.0000000000002</v>
      </c>
      <c r="AN64" s="106">
        <f t="shared" si="58"/>
        <v>0</v>
      </c>
      <c r="AO64" s="106">
        <f t="shared" si="58"/>
        <v>0</v>
      </c>
      <c r="AP64" s="106">
        <f t="shared" si="58"/>
        <v>372</v>
      </c>
      <c r="AQ64" s="106">
        <f t="shared" si="58"/>
        <v>0</v>
      </c>
      <c r="AR64" s="106">
        <f t="shared" si="58"/>
        <v>0</v>
      </c>
      <c r="AS64" s="314"/>
      <c r="AT64" s="359"/>
      <c r="AU64" s="121"/>
      <c r="AV64" s="121"/>
      <c r="AW64" s="155"/>
    </row>
    <row r="65" spans="1:49" s="100" customFormat="1" ht="24">
      <c r="A65" s="355"/>
      <c r="B65" s="356"/>
      <c r="C65" s="356"/>
      <c r="D65" s="357"/>
      <c r="E65" s="110" t="s">
        <v>257</v>
      </c>
      <c r="F65" s="106">
        <f>F72+F76+F80</f>
        <v>0</v>
      </c>
      <c r="G65" s="106">
        <f t="shared" si="58"/>
        <v>0</v>
      </c>
      <c r="H65" s="106">
        <v>0</v>
      </c>
      <c r="I65" s="106">
        <f t="shared" si="58"/>
        <v>0</v>
      </c>
      <c r="J65" s="106">
        <f t="shared" si="58"/>
        <v>0</v>
      </c>
      <c r="K65" s="106">
        <v>0</v>
      </c>
      <c r="L65" s="106">
        <f t="shared" si="58"/>
        <v>0</v>
      </c>
      <c r="M65" s="106">
        <f t="shared" si="58"/>
        <v>0</v>
      </c>
      <c r="N65" s="106">
        <f t="shared" si="58"/>
        <v>0</v>
      </c>
      <c r="O65" s="106">
        <f t="shared" si="58"/>
        <v>0</v>
      </c>
      <c r="P65" s="106">
        <f t="shared" si="58"/>
        <v>0</v>
      </c>
      <c r="Q65" s="106">
        <v>0</v>
      </c>
      <c r="R65" s="106">
        <f t="shared" si="58"/>
        <v>0</v>
      </c>
      <c r="S65" s="106">
        <f t="shared" si="58"/>
        <v>0</v>
      </c>
      <c r="T65" s="106">
        <v>0</v>
      </c>
      <c r="U65" s="106">
        <f t="shared" si="58"/>
        <v>0</v>
      </c>
      <c r="V65" s="106">
        <f t="shared" si="58"/>
        <v>0</v>
      </c>
      <c r="W65" s="106">
        <f t="shared" si="58"/>
        <v>0</v>
      </c>
      <c r="X65" s="106">
        <f t="shared" si="58"/>
        <v>0</v>
      </c>
      <c r="Y65" s="106">
        <f t="shared" si="58"/>
        <v>0</v>
      </c>
      <c r="Z65" s="106">
        <f t="shared" si="58"/>
        <v>0</v>
      </c>
      <c r="AA65" s="106">
        <f t="shared" si="58"/>
        <v>0</v>
      </c>
      <c r="AB65" s="106">
        <f t="shared" si="58"/>
        <v>0</v>
      </c>
      <c r="AC65" s="106">
        <f t="shared" si="58"/>
        <v>0</v>
      </c>
      <c r="AD65" s="106">
        <f t="shared" si="58"/>
        <v>0</v>
      </c>
      <c r="AE65" s="106">
        <f t="shared" si="58"/>
        <v>0</v>
      </c>
      <c r="AF65" s="106">
        <f t="shared" si="58"/>
        <v>0</v>
      </c>
      <c r="AG65" s="106">
        <f t="shared" si="58"/>
        <v>0</v>
      </c>
      <c r="AH65" s="106">
        <f t="shared" si="58"/>
        <v>0</v>
      </c>
      <c r="AI65" s="106">
        <f t="shared" si="58"/>
        <v>0</v>
      </c>
      <c r="AJ65" s="106">
        <f t="shared" si="58"/>
        <v>0</v>
      </c>
      <c r="AK65" s="106">
        <f t="shared" si="58"/>
        <v>0</v>
      </c>
      <c r="AL65" s="106">
        <f t="shared" si="58"/>
        <v>0</v>
      </c>
      <c r="AM65" s="106">
        <f t="shared" si="58"/>
        <v>0</v>
      </c>
      <c r="AN65" s="106">
        <f t="shared" si="58"/>
        <v>0</v>
      </c>
      <c r="AO65" s="106">
        <f t="shared" si="58"/>
        <v>0</v>
      </c>
      <c r="AP65" s="106">
        <f t="shared" si="58"/>
        <v>0</v>
      </c>
      <c r="AQ65" s="106">
        <f t="shared" si="58"/>
        <v>0</v>
      </c>
      <c r="AR65" s="106">
        <f t="shared" si="58"/>
        <v>0</v>
      </c>
      <c r="AS65" s="315"/>
      <c r="AT65" s="360"/>
      <c r="AU65" s="121"/>
      <c r="AV65" s="121"/>
      <c r="AW65" s="155"/>
    </row>
    <row r="66" spans="1:49" s="100" customFormat="1" ht="144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315</v>
      </c>
      <c r="AT66" s="134"/>
      <c r="AU66" s="121"/>
      <c r="AV66" s="121"/>
      <c r="AW66" s="155"/>
    </row>
    <row r="67" spans="1:49" s="100" customFormat="1" ht="72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307</v>
      </c>
      <c r="AT67" s="134"/>
      <c r="AU67" s="121"/>
      <c r="AV67" s="121"/>
      <c r="AW67" s="155"/>
    </row>
    <row r="68" spans="1:49" s="100" customFormat="1" ht="132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316</v>
      </c>
      <c r="AT68" s="134"/>
      <c r="AU68" s="121"/>
      <c r="AV68" s="121"/>
      <c r="AW68" s="155"/>
    </row>
    <row r="69" spans="1:49" s="31" customFormat="1" ht="12.75">
      <c r="A69" s="322" t="s">
        <v>395</v>
      </c>
      <c r="B69" s="325" t="s">
        <v>396</v>
      </c>
      <c r="C69" s="328" t="s">
        <v>277</v>
      </c>
      <c r="D69" s="331" t="s">
        <v>397</v>
      </c>
      <c r="E69" s="107" t="s">
        <v>42</v>
      </c>
      <c r="F69" s="123">
        <f>SUM(F70:F72)</f>
        <v>1612.1</v>
      </c>
      <c r="G69" s="123">
        <f t="shared" ref="G69" si="62">SUM(G70:G72)</f>
        <v>0</v>
      </c>
      <c r="H69" s="123">
        <f>G69/F69*100</f>
        <v>0</v>
      </c>
      <c r="I69" s="138">
        <f t="shared" ref="I69:AP69" si="63">I70+I71+I72</f>
        <v>0</v>
      </c>
      <c r="J69" s="138">
        <f t="shared" si="63"/>
        <v>0</v>
      </c>
      <c r="K69" s="123">
        <v>0</v>
      </c>
      <c r="L69" s="138">
        <f t="shared" si="63"/>
        <v>61.4</v>
      </c>
      <c r="M69" s="132">
        <f t="shared" si="63"/>
        <v>0</v>
      </c>
      <c r="N69" s="132">
        <f>M69/L69*100</f>
        <v>0</v>
      </c>
      <c r="O69" s="132">
        <f t="shared" si="63"/>
        <v>207.4</v>
      </c>
      <c r="P69" s="132">
        <f t="shared" si="63"/>
        <v>0</v>
      </c>
      <c r="Q69" s="123">
        <f t="shared" ref="Q69:Q79" si="64">P69/O69*100</f>
        <v>0</v>
      </c>
      <c r="R69" s="132">
        <f t="shared" si="63"/>
        <v>61.4</v>
      </c>
      <c r="S69" s="132">
        <f t="shared" si="63"/>
        <v>0</v>
      </c>
      <c r="T69" s="132">
        <f>S69/R69*100</f>
        <v>0</v>
      </c>
      <c r="U69" s="138">
        <f t="shared" si="63"/>
        <v>61.4</v>
      </c>
      <c r="V69" s="138">
        <f t="shared" si="63"/>
        <v>0</v>
      </c>
      <c r="W69" s="132">
        <f t="shared" ref="W69" si="65">V69/U69*100</f>
        <v>0</v>
      </c>
      <c r="X69" s="132">
        <f t="shared" si="63"/>
        <v>61.4</v>
      </c>
      <c r="Y69" s="132">
        <f t="shared" si="63"/>
        <v>0</v>
      </c>
      <c r="Z69" s="132">
        <f t="shared" ref="Z69" si="66">Y69/X69*100</f>
        <v>0</v>
      </c>
      <c r="AA69" s="132">
        <f t="shared" si="63"/>
        <v>61.4</v>
      </c>
      <c r="AB69" s="132">
        <f t="shared" si="63"/>
        <v>0</v>
      </c>
      <c r="AC69" s="132">
        <f t="shared" ref="AC69" si="67">AB69/AA69*100</f>
        <v>0</v>
      </c>
      <c r="AD69" s="132">
        <f t="shared" si="63"/>
        <v>61.4</v>
      </c>
      <c r="AE69" s="138">
        <f t="shared" si="63"/>
        <v>0</v>
      </c>
      <c r="AF69" s="104">
        <f t="shared" ref="AF69" si="68">AE69/AD69*100</f>
        <v>0</v>
      </c>
      <c r="AG69" s="138">
        <f t="shared" si="63"/>
        <v>61.4</v>
      </c>
      <c r="AH69" s="138">
        <f t="shared" si="63"/>
        <v>0</v>
      </c>
      <c r="AI69" s="132">
        <f t="shared" ref="AI69" si="69">AH69/AG69*100</f>
        <v>0</v>
      </c>
      <c r="AJ69" s="138">
        <f t="shared" si="63"/>
        <v>61.4</v>
      </c>
      <c r="AK69" s="138">
        <f t="shared" si="63"/>
        <v>0</v>
      </c>
      <c r="AL69" s="138">
        <f t="shared" si="63"/>
        <v>0</v>
      </c>
      <c r="AM69" s="138">
        <f t="shared" si="63"/>
        <v>790.7</v>
      </c>
      <c r="AN69" s="138">
        <f t="shared" si="63"/>
        <v>0</v>
      </c>
      <c r="AO69" s="138">
        <f t="shared" si="63"/>
        <v>0</v>
      </c>
      <c r="AP69" s="138">
        <f t="shared" si="63"/>
        <v>122.8</v>
      </c>
      <c r="AQ69" s="104"/>
      <c r="AR69" s="104"/>
      <c r="AS69" s="334" t="s">
        <v>317</v>
      </c>
      <c r="AT69" s="337"/>
      <c r="AU69" s="121"/>
      <c r="AV69" s="121"/>
      <c r="AW69" s="155"/>
    </row>
    <row r="70" spans="1:49" s="31" customFormat="1" ht="36">
      <c r="A70" s="323"/>
      <c r="B70" s="326"/>
      <c r="C70" s="329"/>
      <c r="D70" s="332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5"/>
      <c r="AT70" s="338"/>
      <c r="AU70" s="121"/>
      <c r="AV70" s="121"/>
      <c r="AW70" s="155"/>
    </row>
    <row r="71" spans="1:49" s="31" customFormat="1" ht="12.75">
      <c r="A71" s="323"/>
      <c r="B71" s="326"/>
      <c r="C71" s="329"/>
      <c r="D71" s="332"/>
      <c r="E71" s="108" t="s">
        <v>44</v>
      </c>
      <c r="F71" s="123">
        <f t="shared" ref="F71:G72" si="70">I71+L71+O71+R71+U71+X71+AA71+AD71+AG71+AJ71+AM71+AP71</f>
        <v>1612.1</v>
      </c>
      <c r="G71" s="123">
        <f t="shared" si="70"/>
        <v>0</v>
      </c>
      <c r="H71" s="123">
        <f>G71/F71*100</f>
        <v>0</v>
      </c>
      <c r="I71" s="123">
        <v>0</v>
      </c>
      <c r="J71" s="123">
        <v>0</v>
      </c>
      <c r="K71" s="123">
        <v>0</v>
      </c>
      <c r="L71" s="150">
        <v>61.4</v>
      </c>
      <c r="M71" s="123">
        <v>0</v>
      </c>
      <c r="N71" s="138">
        <f t="shared" ref="N71" si="71">M71/L71*100</f>
        <v>0</v>
      </c>
      <c r="O71" s="123">
        <v>207.4</v>
      </c>
      <c r="P71" s="123">
        <v>0</v>
      </c>
      <c r="Q71" s="123">
        <f t="shared" si="64"/>
        <v>0</v>
      </c>
      <c r="R71" s="123">
        <v>61.4</v>
      </c>
      <c r="S71" s="123">
        <v>0</v>
      </c>
      <c r="T71" s="132">
        <f t="shared" ref="T71:T79" si="72">S71/R71*100</f>
        <v>0</v>
      </c>
      <c r="U71" s="117">
        <v>61.4</v>
      </c>
      <c r="V71" s="117">
        <v>0</v>
      </c>
      <c r="W71" s="132">
        <f t="shared" ref="W71" si="73">V71/U71*100</f>
        <v>0</v>
      </c>
      <c r="X71" s="117">
        <v>61.4</v>
      </c>
      <c r="Y71" s="117">
        <v>0</v>
      </c>
      <c r="Z71" s="132">
        <f t="shared" ref="Z71" si="74">Y71/X71*100</f>
        <v>0</v>
      </c>
      <c r="AA71" s="117">
        <v>61.4</v>
      </c>
      <c r="AB71" s="117">
        <v>0</v>
      </c>
      <c r="AC71" s="132">
        <f t="shared" ref="AC71" si="75">AB71/AA71*100</f>
        <v>0</v>
      </c>
      <c r="AD71" s="117">
        <v>61.4</v>
      </c>
      <c r="AE71" s="117">
        <v>0</v>
      </c>
      <c r="AF71" s="132">
        <f t="shared" ref="AF71" si="76">AE71/AD71*100</f>
        <v>0</v>
      </c>
      <c r="AG71" s="117">
        <v>61.4</v>
      </c>
      <c r="AH71" s="117">
        <v>0</v>
      </c>
      <c r="AI71" s="132">
        <f t="shared" ref="AI71" si="77">AH71/AG71*100</f>
        <v>0</v>
      </c>
      <c r="AJ71" s="123">
        <v>61.4</v>
      </c>
      <c r="AK71" s="123">
        <v>0</v>
      </c>
      <c r="AL71" s="123">
        <v>0</v>
      </c>
      <c r="AM71" s="117">
        <v>790.7</v>
      </c>
      <c r="AN71" s="117">
        <v>0</v>
      </c>
      <c r="AO71" s="117">
        <v>0</v>
      </c>
      <c r="AP71" s="123">
        <v>122.8</v>
      </c>
      <c r="AQ71" s="104"/>
      <c r="AR71" s="104"/>
      <c r="AS71" s="335"/>
      <c r="AT71" s="338"/>
      <c r="AU71" s="121"/>
      <c r="AV71" s="121"/>
      <c r="AW71" s="155"/>
    </row>
    <row r="72" spans="1:49" s="31" customFormat="1" ht="24">
      <c r="A72" s="324"/>
      <c r="B72" s="327"/>
      <c r="C72" s="330"/>
      <c r="D72" s="333"/>
      <c r="E72" s="109" t="s">
        <v>257</v>
      </c>
      <c r="F72" s="123">
        <f t="shared" si="70"/>
        <v>0</v>
      </c>
      <c r="G72" s="123">
        <f t="shared" si="70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36"/>
      <c r="AT72" s="339"/>
      <c r="AU72" s="121"/>
      <c r="AV72" s="121"/>
      <c r="AW72" s="155"/>
    </row>
    <row r="73" spans="1:49" s="31" customFormat="1" ht="12.75">
      <c r="A73" s="322" t="s">
        <v>398</v>
      </c>
      <c r="B73" s="325" t="s">
        <v>258</v>
      </c>
      <c r="C73" s="328" t="s">
        <v>277</v>
      </c>
      <c r="D73" s="331" t="s">
        <v>400</v>
      </c>
      <c r="E73" s="107" t="s">
        <v>42</v>
      </c>
      <c r="F73" s="123">
        <f>SUM(F74:F76)</f>
        <v>455.1</v>
      </c>
      <c r="G73" s="123">
        <f t="shared" ref="G73" si="78">SUM(G74:G76)</f>
        <v>0</v>
      </c>
      <c r="H73" s="123">
        <f>G73/F73*100</f>
        <v>0</v>
      </c>
      <c r="I73" s="138">
        <f t="shared" ref="I73:AP73" si="79">I74+I75+I76</f>
        <v>0</v>
      </c>
      <c r="J73" s="138">
        <f t="shared" si="79"/>
        <v>0</v>
      </c>
      <c r="K73" s="123">
        <v>0</v>
      </c>
      <c r="L73" s="138">
        <f t="shared" si="79"/>
        <v>0</v>
      </c>
      <c r="M73" s="132">
        <f t="shared" si="79"/>
        <v>0</v>
      </c>
      <c r="N73" s="132">
        <v>0</v>
      </c>
      <c r="O73" s="132">
        <f t="shared" si="79"/>
        <v>0</v>
      </c>
      <c r="P73" s="132">
        <f t="shared" si="79"/>
        <v>0</v>
      </c>
      <c r="Q73" s="123">
        <v>0</v>
      </c>
      <c r="R73" s="132">
        <f t="shared" si="79"/>
        <v>0</v>
      </c>
      <c r="S73" s="132">
        <f t="shared" si="79"/>
        <v>0</v>
      </c>
      <c r="T73" s="132">
        <v>0</v>
      </c>
      <c r="U73" s="132">
        <f t="shared" si="79"/>
        <v>0</v>
      </c>
      <c r="V73" s="132">
        <f t="shared" si="79"/>
        <v>0</v>
      </c>
      <c r="W73" s="132">
        <f t="shared" si="79"/>
        <v>0</v>
      </c>
      <c r="X73" s="132">
        <f t="shared" si="79"/>
        <v>0</v>
      </c>
      <c r="Y73" s="132">
        <f t="shared" si="79"/>
        <v>0</v>
      </c>
      <c r="Z73" s="138">
        <f t="shared" si="79"/>
        <v>0</v>
      </c>
      <c r="AA73" s="138">
        <f t="shared" si="79"/>
        <v>0</v>
      </c>
      <c r="AB73" s="138">
        <f t="shared" si="79"/>
        <v>0</v>
      </c>
      <c r="AC73" s="138">
        <f t="shared" si="79"/>
        <v>0</v>
      </c>
      <c r="AD73" s="132">
        <f t="shared" si="79"/>
        <v>0</v>
      </c>
      <c r="AE73" s="132">
        <f t="shared" si="79"/>
        <v>0</v>
      </c>
      <c r="AF73" s="132">
        <f t="shared" si="79"/>
        <v>0</v>
      </c>
      <c r="AG73" s="132">
        <f t="shared" si="79"/>
        <v>0</v>
      </c>
      <c r="AH73" s="132">
        <f t="shared" si="79"/>
        <v>0</v>
      </c>
      <c r="AI73" s="132">
        <f t="shared" si="79"/>
        <v>0</v>
      </c>
      <c r="AJ73" s="132">
        <f t="shared" si="79"/>
        <v>0</v>
      </c>
      <c r="AK73" s="132">
        <f t="shared" si="79"/>
        <v>0</v>
      </c>
      <c r="AL73" s="132">
        <f t="shared" si="79"/>
        <v>0</v>
      </c>
      <c r="AM73" s="132">
        <f t="shared" si="79"/>
        <v>455.1</v>
      </c>
      <c r="AN73" s="132">
        <f t="shared" si="79"/>
        <v>0</v>
      </c>
      <c r="AO73" s="132">
        <f t="shared" si="79"/>
        <v>0</v>
      </c>
      <c r="AP73" s="132">
        <f t="shared" si="79"/>
        <v>0</v>
      </c>
      <c r="AQ73" s="104"/>
      <c r="AR73" s="104"/>
      <c r="AS73" s="340" t="s">
        <v>281</v>
      </c>
      <c r="AT73" s="343" t="s">
        <v>300</v>
      </c>
      <c r="AU73" s="121"/>
      <c r="AV73" s="121"/>
      <c r="AW73" s="155"/>
    </row>
    <row r="74" spans="1:49" s="31" customFormat="1" ht="36">
      <c r="A74" s="323"/>
      <c r="B74" s="326"/>
      <c r="C74" s="329"/>
      <c r="D74" s="332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1"/>
      <c r="AT74" s="344"/>
      <c r="AU74" s="121"/>
      <c r="AV74" s="121"/>
      <c r="AW74" s="155"/>
    </row>
    <row r="75" spans="1:49" s="31" customFormat="1" ht="12.75">
      <c r="A75" s="323"/>
      <c r="B75" s="326"/>
      <c r="C75" s="329"/>
      <c r="D75" s="332"/>
      <c r="E75" s="108" t="s">
        <v>44</v>
      </c>
      <c r="F75" s="123">
        <f t="shared" ref="F75:G76" si="80">I75+L75+O75+R75+U75+X75+AA75+AD75+AG75+AJ75+AM75+AP75</f>
        <v>455.1</v>
      </c>
      <c r="G75" s="123">
        <f t="shared" si="80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1"/>
      <c r="AT75" s="344"/>
      <c r="AU75" s="121"/>
      <c r="AV75" s="121"/>
      <c r="AW75" s="155"/>
    </row>
    <row r="76" spans="1:49" s="31" customFormat="1" ht="24">
      <c r="A76" s="324"/>
      <c r="B76" s="327"/>
      <c r="C76" s="330"/>
      <c r="D76" s="333"/>
      <c r="E76" s="109" t="s">
        <v>257</v>
      </c>
      <c r="F76" s="123">
        <f t="shared" si="80"/>
        <v>0</v>
      </c>
      <c r="G76" s="123">
        <f t="shared" si="80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2"/>
      <c r="AT76" s="345"/>
      <c r="AU76" s="121"/>
      <c r="AV76" s="121"/>
      <c r="AW76" s="155"/>
    </row>
    <row r="77" spans="1:49" s="31" customFormat="1" ht="12.75">
      <c r="A77" s="322" t="s">
        <v>399</v>
      </c>
      <c r="B77" s="325" t="s">
        <v>295</v>
      </c>
      <c r="C77" s="328" t="s">
        <v>401</v>
      </c>
      <c r="D77" s="331" t="s">
        <v>402</v>
      </c>
      <c r="E77" s="107" t="s">
        <v>42</v>
      </c>
      <c r="F77" s="123">
        <f>SUM(F78:F80)</f>
        <v>8560.9000000000015</v>
      </c>
      <c r="G77" s="123">
        <f t="shared" ref="G77" si="81">SUM(G78:G80)</f>
        <v>0</v>
      </c>
      <c r="H77" s="123">
        <f>G77/F77*100</f>
        <v>0</v>
      </c>
      <c r="I77" s="132">
        <f t="shared" ref="I77:AP77" si="82">I78+I79+I80</f>
        <v>0</v>
      </c>
      <c r="J77" s="132">
        <f t="shared" si="82"/>
        <v>0</v>
      </c>
      <c r="K77" s="123">
        <v>0</v>
      </c>
      <c r="L77" s="132">
        <f t="shared" si="82"/>
        <v>2276.1</v>
      </c>
      <c r="M77" s="132">
        <f t="shared" si="82"/>
        <v>0</v>
      </c>
      <c r="N77" s="132">
        <f>M77/L77*100</f>
        <v>0</v>
      </c>
      <c r="O77" s="132">
        <f t="shared" si="82"/>
        <v>1934</v>
      </c>
      <c r="P77" s="132">
        <f t="shared" si="82"/>
        <v>0</v>
      </c>
      <c r="Q77" s="123">
        <f t="shared" si="64"/>
        <v>0</v>
      </c>
      <c r="R77" s="132">
        <f t="shared" si="82"/>
        <v>267.2</v>
      </c>
      <c r="S77" s="132">
        <f t="shared" si="82"/>
        <v>0</v>
      </c>
      <c r="T77" s="132">
        <f t="shared" si="72"/>
        <v>0</v>
      </c>
      <c r="U77" s="132">
        <f t="shared" si="82"/>
        <v>1159.2</v>
      </c>
      <c r="V77" s="132">
        <f t="shared" si="82"/>
        <v>0</v>
      </c>
      <c r="W77" s="138">
        <f t="shared" ref="W77" si="83">V77/U77*100</f>
        <v>0</v>
      </c>
      <c r="X77" s="132">
        <f t="shared" si="82"/>
        <v>1227.2</v>
      </c>
      <c r="Y77" s="132">
        <f t="shared" si="82"/>
        <v>0</v>
      </c>
      <c r="Z77" s="132">
        <f t="shared" si="82"/>
        <v>0</v>
      </c>
      <c r="AA77" s="132">
        <f t="shared" si="82"/>
        <v>1014.2</v>
      </c>
      <c r="AB77" s="132">
        <f t="shared" si="82"/>
        <v>0</v>
      </c>
      <c r="AC77" s="117">
        <f>AB77/AA77*100</f>
        <v>0</v>
      </c>
      <c r="AD77" s="132">
        <f t="shared" si="82"/>
        <v>89.2</v>
      </c>
      <c r="AE77" s="132">
        <f t="shared" si="82"/>
        <v>0</v>
      </c>
      <c r="AF77" s="104">
        <f t="shared" ref="AF77" si="84">AE77/AD77*100</f>
        <v>0</v>
      </c>
      <c r="AG77" s="132">
        <f t="shared" si="82"/>
        <v>139.19999999999999</v>
      </c>
      <c r="AH77" s="132">
        <f t="shared" si="82"/>
        <v>0</v>
      </c>
      <c r="AI77" s="104">
        <f t="shared" ref="AI77" si="85">AH77/AG77*100</f>
        <v>0</v>
      </c>
      <c r="AJ77" s="132">
        <f t="shared" si="82"/>
        <v>101.2</v>
      </c>
      <c r="AK77" s="132">
        <f t="shared" si="82"/>
        <v>0</v>
      </c>
      <c r="AL77" s="132">
        <f t="shared" si="82"/>
        <v>0</v>
      </c>
      <c r="AM77" s="132">
        <f t="shared" si="82"/>
        <v>104.2</v>
      </c>
      <c r="AN77" s="132">
        <f t="shared" si="82"/>
        <v>0</v>
      </c>
      <c r="AO77" s="132">
        <f t="shared" si="82"/>
        <v>0</v>
      </c>
      <c r="AP77" s="132">
        <f t="shared" si="82"/>
        <v>249.20000000000002</v>
      </c>
      <c r="AQ77" s="104"/>
      <c r="AR77" s="104"/>
      <c r="AS77" s="334" t="s">
        <v>320</v>
      </c>
      <c r="AT77" s="337"/>
      <c r="AU77" s="121"/>
      <c r="AV77" s="121"/>
      <c r="AW77" s="155"/>
    </row>
    <row r="78" spans="1:49" s="31" customFormat="1" ht="36">
      <c r="A78" s="323"/>
      <c r="B78" s="326"/>
      <c r="C78" s="329"/>
      <c r="D78" s="332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5"/>
      <c r="AT78" s="338"/>
      <c r="AU78" s="121"/>
      <c r="AV78" s="121"/>
      <c r="AW78" s="155"/>
    </row>
    <row r="79" spans="1:49" s="31" customFormat="1" ht="12.75">
      <c r="A79" s="323"/>
      <c r="B79" s="326"/>
      <c r="C79" s="329"/>
      <c r="D79" s="332"/>
      <c r="E79" s="108" t="s">
        <v>44</v>
      </c>
      <c r="F79" s="123">
        <f t="shared" ref="F79:G80" si="86">I79+L79+O79+R79+U79+X79+AA79+AD79+AG79+AJ79+AM79+AP79</f>
        <v>8560.9000000000015</v>
      </c>
      <c r="G79" s="123">
        <f t="shared" si="86"/>
        <v>0</v>
      </c>
      <c r="H79" s="123">
        <f>G79/F79*100</f>
        <v>0</v>
      </c>
      <c r="I79" s="123">
        <v>0</v>
      </c>
      <c r="J79" s="123">
        <v>0</v>
      </c>
      <c r="K79" s="123">
        <v>0</v>
      </c>
      <c r="L79" s="150">
        <f>2231.1+45</f>
        <v>2276.1</v>
      </c>
      <c r="M79" s="123">
        <v>0</v>
      </c>
      <c r="N79" s="138">
        <f t="shared" ref="N79" si="87">M79/L79*100</f>
        <v>0</v>
      </c>
      <c r="O79" s="123">
        <f>1844+40+50</f>
        <v>1934</v>
      </c>
      <c r="P79" s="123">
        <v>0</v>
      </c>
      <c r="Q79" s="123">
        <f t="shared" si="64"/>
        <v>0</v>
      </c>
      <c r="R79" s="123">
        <f>229.2+38</f>
        <v>267.2</v>
      </c>
      <c r="S79" s="123">
        <v>0</v>
      </c>
      <c r="T79" s="138">
        <f t="shared" si="72"/>
        <v>0</v>
      </c>
      <c r="U79" s="117">
        <f>1129.2+30</f>
        <v>1159.2</v>
      </c>
      <c r="V79" s="117">
        <v>0</v>
      </c>
      <c r="W79" s="138">
        <f t="shared" ref="W79" si="88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89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5"/>
      <c r="AT79" s="338"/>
      <c r="AU79" s="121"/>
      <c r="AV79" s="121"/>
      <c r="AW79" s="155"/>
    </row>
    <row r="80" spans="1:49" s="31" customFormat="1" ht="24">
      <c r="A80" s="324"/>
      <c r="B80" s="327"/>
      <c r="C80" s="330"/>
      <c r="D80" s="333"/>
      <c r="E80" s="109" t="s">
        <v>257</v>
      </c>
      <c r="F80" s="123">
        <f t="shared" si="86"/>
        <v>0</v>
      </c>
      <c r="G80" s="123">
        <f t="shared" si="86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36"/>
      <c r="AT80" s="339"/>
      <c r="AU80" s="121"/>
      <c r="AV80" s="121"/>
      <c r="AW80" s="155"/>
    </row>
    <row r="81" spans="1:48" s="100" customFormat="1" ht="12.75">
      <c r="A81" s="304" t="s">
        <v>256</v>
      </c>
      <c r="B81" s="305"/>
      <c r="C81" s="305"/>
      <c r="D81" s="306"/>
      <c r="E81" s="110" t="s">
        <v>42</v>
      </c>
      <c r="F81" s="106">
        <f>F82+F83+F84</f>
        <v>433024.19999999995</v>
      </c>
      <c r="G81" s="106">
        <f t="shared" ref="G81:AP81" si="90">G82+G83+G84</f>
        <v>25267</v>
      </c>
      <c r="H81" s="106">
        <f>G81/F81*100</f>
        <v>5.8350087593256914</v>
      </c>
      <c r="I81" s="106">
        <f t="shared" si="90"/>
        <v>14942.5</v>
      </c>
      <c r="J81" s="106">
        <f t="shared" si="90"/>
        <v>25267</v>
      </c>
      <c r="K81" s="106">
        <f>J81/I81*100</f>
        <v>169.09486364396855</v>
      </c>
      <c r="L81" s="106">
        <f t="shared" si="90"/>
        <v>45743.000000000007</v>
      </c>
      <c r="M81" s="106">
        <f t="shared" si="90"/>
        <v>0</v>
      </c>
      <c r="N81" s="106">
        <f>M81/L81*100</f>
        <v>0</v>
      </c>
      <c r="O81" s="106">
        <f t="shared" si="90"/>
        <v>37993.800000000003</v>
      </c>
      <c r="P81" s="106">
        <f t="shared" si="90"/>
        <v>0</v>
      </c>
      <c r="Q81" s="106">
        <f>P81/O81*100</f>
        <v>0</v>
      </c>
      <c r="R81" s="106">
        <f t="shared" si="90"/>
        <v>43738.3</v>
      </c>
      <c r="S81" s="106">
        <f t="shared" si="90"/>
        <v>0</v>
      </c>
      <c r="T81" s="106">
        <f>S81/R81*100</f>
        <v>0</v>
      </c>
      <c r="U81" s="106">
        <f t="shared" si="90"/>
        <v>35345.399999999994</v>
      </c>
      <c r="V81" s="106">
        <f t="shared" si="90"/>
        <v>0</v>
      </c>
      <c r="W81" s="106">
        <f t="shared" si="90"/>
        <v>0</v>
      </c>
      <c r="X81" s="106">
        <f t="shared" si="90"/>
        <v>38567</v>
      </c>
      <c r="Y81" s="106">
        <f t="shared" si="90"/>
        <v>0</v>
      </c>
      <c r="Z81" s="106" t="e">
        <f t="shared" si="90"/>
        <v>#REF!</v>
      </c>
      <c r="AA81" s="106">
        <f t="shared" si="90"/>
        <v>50633.4</v>
      </c>
      <c r="AB81" s="106">
        <f t="shared" si="90"/>
        <v>0</v>
      </c>
      <c r="AC81" s="106" t="e">
        <f t="shared" si="90"/>
        <v>#REF!</v>
      </c>
      <c r="AD81" s="106">
        <f t="shared" si="90"/>
        <v>36461.199999999997</v>
      </c>
      <c r="AE81" s="106">
        <f t="shared" si="90"/>
        <v>0</v>
      </c>
      <c r="AF81" s="103">
        <f t="shared" ref="AF81:AF84" si="91">AE81/AD81*100</f>
        <v>0</v>
      </c>
      <c r="AG81" s="106">
        <f t="shared" si="90"/>
        <v>28451.69999999999</v>
      </c>
      <c r="AH81" s="106">
        <f t="shared" si="90"/>
        <v>0</v>
      </c>
      <c r="AI81" s="106" t="e">
        <f t="shared" si="90"/>
        <v>#REF!</v>
      </c>
      <c r="AJ81" s="106">
        <f t="shared" si="90"/>
        <v>24958.799999999999</v>
      </c>
      <c r="AK81" s="106">
        <f t="shared" si="90"/>
        <v>0</v>
      </c>
      <c r="AL81" s="106" t="e">
        <f t="shared" si="90"/>
        <v>#REF!</v>
      </c>
      <c r="AM81" s="106">
        <f t="shared" si="90"/>
        <v>25565.599999999995</v>
      </c>
      <c r="AN81" s="106">
        <f t="shared" si="90"/>
        <v>0</v>
      </c>
      <c r="AO81" s="106" t="e">
        <f t="shared" si="90"/>
        <v>#REF!</v>
      </c>
      <c r="AP81" s="106">
        <f t="shared" si="90"/>
        <v>50623.5</v>
      </c>
      <c r="AQ81" s="103">
        <f t="shared" ref="AQ81:AR81" si="92">SUM(AQ82:AQ84)</f>
        <v>0</v>
      </c>
      <c r="AR81" s="103" t="e">
        <f t="shared" si="92"/>
        <v>#REF!</v>
      </c>
      <c r="AS81" s="313"/>
      <c r="AT81" s="316"/>
      <c r="AU81" s="121"/>
      <c r="AV81" s="127"/>
    </row>
    <row r="82" spans="1:48" s="100" customFormat="1" ht="36">
      <c r="A82" s="307"/>
      <c r="B82" s="308"/>
      <c r="C82" s="308"/>
      <c r="D82" s="309"/>
      <c r="E82" s="111" t="s">
        <v>3</v>
      </c>
      <c r="F82" s="106">
        <f t="shared" ref="F82:G84" si="93">F10+F34+F49+F63</f>
        <v>124591.59999999998</v>
      </c>
      <c r="G82" s="106">
        <f t="shared" si="93"/>
        <v>924.5</v>
      </c>
      <c r="H82" s="106">
        <f>G82/F82*100</f>
        <v>0.7420243419299537</v>
      </c>
      <c r="I82" s="106">
        <f t="shared" ref="I82:J84" si="94">I10+I34+I49+I63</f>
        <v>949.99999999999989</v>
      </c>
      <c r="J82" s="106">
        <f t="shared" si="94"/>
        <v>924.5</v>
      </c>
      <c r="K82" s="106">
        <f t="shared" ref="K82:K84" si="95">J82/I82*100</f>
        <v>97.31578947368422</v>
      </c>
      <c r="L82" s="106">
        <f t="shared" ref="L82:M84" si="96">L10+L34+L49+L63</f>
        <v>8876.4</v>
      </c>
      <c r="M82" s="106">
        <f t="shared" si="96"/>
        <v>0</v>
      </c>
      <c r="N82" s="106">
        <f t="shared" ref="N82:N84" si="97">M82/L82*100</f>
        <v>0</v>
      </c>
      <c r="O82" s="106">
        <f t="shared" ref="O82:P84" si="98">O10+O34+O49+O63</f>
        <v>9433.7999999999993</v>
      </c>
      <c r="P82" s="106">
        <f t="shared" si="98"/>
        <v>0</v>
      </c>
      <c r="Q82" s="106">
        <f t="shared" ref="Q82:Q84" si="99">P82/O82*100</f>
        <v>0</v>
      </c>
      <c r="R82" s="106">
        <f t="shared" ref="R82:S84" si="100">R10+R34+R49+R63</f>
        <v>10145.4</v>
      </c>
      <c r="S82" s="106">
        <f t="shared" si="100"/>
        <v>0</v>
      </c>
      <c r="T82" s="106">
        <f t="shared" ref="T82:T84" si="101">S82/R82*100</f>
        <v>0</v>
      </c>
      <c r="U82" s="106">
        <f t="shared" ref="U82:AE84" si="102">U10+U34+U49+U63</f>
        <v>8496.3999999999978</v>
      </c>
      <c r="V82" s="106">
        <f t="shared" si="102"/>
        <v>0</v>
      </c>
      <c r="W82" s="106">
        <f t="shared" si="102"/>
        <v>0</v>
      </c>
      <c r="X82" s="106">
        <f t="shared" si="102"/>
        <v>10177.699999999999</v>
      </c>
      <c r="Y82" s="106">
        <f t="shared" si="102"/>
        <v>0</v>
      </c>
      <c r="Z82" s="106" t="e">
        <f t="shared" si="102"/>
        <v>#REF!</v>
      </c>
      <c r="AA82" s="106">
        <f t="shared" si="102"/>
        <v>11495.900000000001</v>
      </c>
      <c r="AB82" s="106">
        <f t="shared" si="102"/>
        <v>0</v>
      </c>
      <c r="AC82" s="106" t="e">
        <f t="shared" si="102"/>
        <v>#REF!</v>
      </c>
      <c r="AD82" s="106">
        <f t="shared" si="102"/>
        <v>11156.3</v>
      </c>
      <c r="AE82" s="106">
        <f t="shared" si="102"/>
        <v>0</v>
      </c>
      <c r="AF82" s="103">
        <f t="shared" si="91"/>
        <v>0</v>
      </c>
      <c r="AG82" s="106">
        <f t="shared" ref="AG82:AR84" si="103">AG10+AG34+AG49+AG63</f>
        <v>9422.9</v>
      </c>
      <c r="AH82" s="106">
        <f t="shared" si="103"/>
        <v>0</v>
      </c>
      <c r="AI82" s="106" t="e">
        <f t="shared" si="103"/>
        <v>#REF!</v>
      </c>
      <c r="AJ82" s="106">
        <f t="shared" si="103"/>
        <v>9978.1999999999989</v>
      </c>
      <c r="AK82" s="106">
        <f t="shared" si="103"/>
        <v>0</v>
      </c>
      <c r="AL82" s="106" t="e">
        <f t="shared" si="103"/>
        <v>#REF!</v>
      </c>
      <c r="AM82" s="106">
        <f t="shared" si="103"/>
        <v>8872.0999999999985</v>
      </c>
      <c r="AN82" s="106">
        <f t="shared" si="103"/>
        <v>0</v>
      </c>
      <c r="AO82" s="106" t="e">
        <f t="shared" si="103"/>
        <v>#REF!</v>
      </c>
      <c r="AP82" s="106">
        <f t="shared" si="103"/>
        <v>25586.5</v>
      </c>
      <c r="AQ82" s="106">
        <f t="shared" si="103"/>
        <v>0</v>
      </c>
      <c r="AR82" s="106" t="e">
        <f t="shared" si="103"/>
        <v>#REF!</v>
      </c>
      <c r="AS82" s="314"/>
      <c r="AT82" s="317"/>
      <c r="AU82" s="121"/>
      <c r="AV82" s="127"/>
    </row>
    <row r="83" spans="1:48" s="100" customFormat="1" ht="24">
      <c r="A83" s="307"/>
      <c r="B83" s="308"/>
      <c r="C83" s="308"/>
      <c r="D83" s="309"/>
      <c r="E83" s="111" t="s">
        <v>44</v>
      </c>
      <c r="F83" s="106">
        <f t="shared" si="93"/>
        <v>302600.5</v>
      </c>
      <c r="G83" s="106">
        <f t="shared" si="93"/>
        <v>24342.5</v>
      </c>
      <c r="H83" s="106">
        <f>G83/F83*100</f>
        <v>8.044434824132809</v>
      </c>
      <c r="I83" s="106">
        <f t="shared" si="94"/>
        <v>13730.7</v>
      </c>
      <c r="J83" s="106">
        <f t="shared" si="94"/>
        <v>24342.5</v>
      </c>
      <c r="K83" s="106">
        <f t="shared" si="95"/>
        <v>177.2852076004865</v>
      </c>
      <c r="L83" s="106">
        <f t="shared" si="96"/>
        <v>36530.100000000006</v>
      </c>
      <c r="M83" s="106">
        <f t="shared" si="96"/>
        <v>0</v>
      </c>
      <c r="N83" s="106">
        <f t="shared" si="97"/>
        <v>0</v>
      </c>
      <c r="O83" s="106">
        <f t="shared" si="98"/>
        <v>27748.7</v>
      </c>
      <c r="P83" s="106">
        <f t="shared" si="98"/>
        <v>0</v>
      </c>
      <c r="Q83" s="106">
        <f t="shared" si="99"/>
        <v>0</v>
      </c>
      <c r="R83" s="106">
        <f t="shared" si="100"/>
        <v>32852.300000000003</v>
      </c>
      <c r="S83" s="106">
        <f t="shared" si="100"/>
        <v>0</v>
      </c>
      <c r="T83" s="106">
        <f t="shared" si="101"/>
        <v>0</v>
      </c>
      <c r="U83" s="106">
        <f t="shared" si="102"/>
        <v>26369.299999999996</v>
      </c>
      <c r="V83" s="106">
        <f t="shared" si="102"/>
        <v>0</v>
      </c>
      <c r="W83" s="106">
        <f t="shared" si="102"/>
        <v>0</v>
      </c>
      <c r="X83" s="106">
        <f t="shared" si="102"/>
        <v>28036.499999999996</v>
      </c>
      <c r="Y83" s="106">
        <f t="shared" si="102"/>
        <v>0</v>
      </c>
      <c r="Z83" s="106" t="e">
        <f t="shared" si="102"/>
        <v>#REF!</v>
      </c>
      <c r="AA83" s="106">
        <f t="shared" si="102"/>
        <v>38312</v>
      </c>
      <c r="AB83" s="106">
        <f t="shared" si="102"/>
        <v>0</v>
      </c>
      <c r="AC83" s="106" t="e">
        <f t="shared" si="102"/>
        <v>#REF!</v>
      </c>
      <c r="AD83" s="106">
        <f t="shared" si="102"/>
        <v>24785.899999999998</v>
      </c>
      <c r="AE83" s="106">
        <f t="shared" si="102"/>
        <v>0</v>
      </c>
      <c r="AF83" s="106">
        <f t="shared" si="91"/>
        <v>0</v>
      </c>
      <c r="AG83" s="106">
        <f t="shared" si="103"/>
        <v>18727.199999999993</v>
      </c>
      <c r="AH83" s="106">
        <f t="shared" si="103"/>
        <v>0</v>
      </c>
      <c r="AI83" s="106" t="e">
        <f t="shared" si="103"/>
        <v>#REF!</v>
      </c>
      <c r="AJ83" s="106">
        <f t="shared" si="103"/>
        <v>14416.000000000002</v>
      </c>
      <c r="AK83" s="106">
        <f t="shared" si="103"/>
        <v>0</v>
      </c>
      <c r="AL83" s="106" t="e">
        <f t="shared" si="103"/>
        <v>#REF!</v>
      </c>
      <c r="AM83" s="106">
        <f t="shared" si="103"/>
        <v>16251.799999999997</v>
      </c>
      <c r="AN83" s="106">
        <f t="shared" si="103"/>
        <v>0</v>
      </c>
      <c r="AO83" s="106" t="e">
        <f t="shared" si="103"/>
        <v>#REF!</v>
      </c>
      <c r="AP83" s="106">
        <f t="shared" si="103"/>
        <v>24839.999999999996</v>
      </c>
      <c r="AQ83" s="106">
        <f t="shared" si="103"/>
        <v>0</v>
      </c>
      <c r="AR83" s="106" t="e">
        <f t="shared" si="103"/>
        <v>#REF!</v>
      </c>
      <c r="AS83" s="314"/>
      <c r="AT83" s="317"/>
      <c r="AU83" s="121"/>
      <c r="AV83" s="127"/>
    </row>
    <row r="84" spans="1:48" s="100" customFormat="1" ht="24">
      <c r="A84" s="310"/>
      <c r="B84" s="311"/>
      <c r="C84" s="311"/>
      <c r="D84" s="312"/>
      <c r="E84" s="110" t="s">
        <v>257</v>
      </c>
      <c r="F84" s="106">
        <f t="shared" si="93"/>
        <v>5832.1</v>
      </c>
      <c r="G84" s="106">
        <f t="shared" si="93"/>
        <v>0</v>
      </c>
      <c r="H84" s="106">
        <f>G84/F84*100</f>
        <v>0</v>
      </c>
      <c r="I84" s="106">
        <f t="shared" si="94"/>
        <v>261.8</v>
      </c>
      <c r="J84" s="106">
        <f t="shared" si="94"/>
        <v>0</v>
      </c>
      <c r="K84" s="106">
        <f t="shared" si="95"/>
        <v>0</v>
      </c>
      <c r="L84" s="106">
        <f t="shared" si="96"/>
        <v>336.5</v>
      </c>
      <c r="M84" s="106">
        <f t="shared" si="96"/>
        <v>0</v>
      </c>
      <c r="N84" s="106">
        <f t="shared" si="97"/>
        <v>0</v>
      </c>
      <c r="O84" s="106">
        <f t="shared" si="98"/>
        <v>811.3</v>
      </c>
      <c r="P84" s="106">
        <f t="shared" si="98"/>
        <v>0</v>
      </c>
      <c r="Q84" s="106">
        <f t="shared" si="99"/>
        <v>0</v>
      </c>
      <c r="R84" s="106">
        <f t="shared" si="100"/>
        <v>740.6</v>
      </c>
      <c r="S84" s="106">
        <f t="shared" si="100"/>
        <v>0</v>
      </c>
      <c r="T84" s="106">
        <f t="shared" si="101"/>
        <v>0</v>
      </c>
      <c r="U84" s="106">
        <f t="shared" si="102"/>
        <v>479.7</v>
      </c>
      <c r="V84" s="106">
        <f t="shared" si="102"/>
        <v>0</v>
      </c>
      <c r="W84" s="106">
        <f t="shared" si="102"/>
        <v>0</v>
      </c>
      <c r="X84" s="106">
        <f t="shared" si="102"/>
        <v>352.8</v>
      </c>
      <c r="Y84" s="106">
        <f t="shared" si="102"/>
        <v>0</v>
      </c>
      <c r="Z84" s="106" t="e">
        <f t="shared" si="102"/>
        <v>#REF!</v>
      </c>
      <c r="AA84" s="106">
        <f t="shared" si="102"/>
        <v>825.5</v>
      </c>
      <c r="AB84" s="106">
        <f t="shared" si="102"/>
        <v>0</v>
      </c>
      <c r="AC84" s="106" t="e">
        <f t="shared" si="102"/>
        <v>#REF!</v>
      </c>
      <c r="AD84" s="106">
        <f t="shared" si="102"/>
        <v>519</v>
      </c>
      <c r="AE84" s="106">
        <f t="shared" si="102"/>
        <v>0</v>
      </c>
      <c r="AF84" s="106">
        <f t="shared" si="91"/>
        <v>0</v>
      </c>
      <c r="AG84" s="106">
        <f t="shared" si="103"/>
        <v>301.60000000000002</v>
      </c>
      <c r="AH84" s="106">
        <f t="shared" si="103"/>
        <v>0</v>
      </c>
      <c r="AI84" s="106" t="e">
        <f t="shared" si="103"/>
        <v>#REF!</v>
      </c>
      <c r="AJ84" s="106">
        <f t="shared" si="103"/>
        <v>564.6</v>
      </c>
      <c r="AK84" s="106">
        <f t="shared" si="103"/>
        <v>0</v>
      </c>
      <c r="AL84" s="106" t="e">
        <f t="shared" si="103"/>
        <v>#REF!</v>
      </c>
      <c r="AM84" s="106">
        <f t="shared" si="103"/>
        <v>441.7</v>
      </c>
      <c r="AN84" s="106">
        <f t="shared" si="103"/>
        <v>0</v>
      </c>
      <c r="AO84" s="106" t="e">
        <f t="shared" si="103"/>
        <v>#REF!</v>
      </c>
      <c r="AP84" s="106">
        <f t="shared" si="103"/>
        <v>197</v>
      </c>
      <c r="AQ84" s="106">
        <f t="shared" si="103"/>
        <v>0</v>
      </c>
      <c r="AR84" s="106" t="e">
        <f t="shared" si="103"/>
        <v>#REF!</v>
      </c>
      <c r="AS84" s="315"/>
      <c r="AT84" s="318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19"/>
      <c r="C86" s="319"/>
      <c r="D86" s="319"/>
      <c r="E86" s="320"/>
      <c r="F86" s="321"/>
      <c r="G86" s="142"/>
      <c r="H86" s="4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3" t="s">
        <v>282</v>
      </c>
      <c r="B88" s="303"/>
      <c r="C88" s="303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3" t="s">
        <v>283</v>
      </c>
      <c r="B89" s="303"/>
      <c r="C89" s="303"/>
      <c r="D89" s="303"/>
      <c r="E89" s="303"/>
      <c r="F89" s="303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3"/>
      <c r="B90" s="303"/>
      <c r="C90" s="303"/>
      <c r="D90" s="303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3"/>
      <c r="B92" s="303"/>
      <c r="C92" s="303"/>
      <c r="D92" s="303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3" t="s">
        <v>404</v>
      </c>
      <c r="B96" s="303"/>
      <c r="C96" s="303"/>
      <c r="D96" s="303"/>
      <c r="AS96" s="131"/>
    </row>
    <row r="97" spans="1:45">
      <c r="A97" s="303" t="s">
        <v>291</v>
      </c>
      <c r="B97" s="303"/>
      <c r="C97" s="303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</mergeCells>
  <conditionalFormatting sqref="H91 H69:H80 H56:H59 H48:H51 H42:H45 H30:H31 H27:H28 H24 H14 H19">
    <cfRule type="cellIs" dxfId="3" priority="1" stopIfTrue="1" operator="notEqual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80"/>
  <sheetViews>
    <sheetView workbookViewId="0">
      <pane xSplit="4" ySplit="8" topLeftCell="AP69" activePane="bottomRight" state="frozen"/>
      <selection pane="topRight" activeCell="E1" sqref="E1"/>
      <selection pane="bottomLeft" activeCell="A9" sqref="A9"/>
      <selection pane="bottomRight" activeCell="AT69" sqref="AT69:AT72"/>
    </sheetView>
  </sheetViews>
  <sheetFormatPr defaultRowHeight="15"/>
  <cols>
    <col min="2" max="3" width="23.7109375" customWidth="1"/>
    <col min="4" max="4" width="11.140625" customWidth="1"/>
    <col min="5" max="5" width="13.28515625" customWidth="1"/>
    <col min="6" max="6" width="10.85546875" customWidth="1"/>
    <col min="7" max="7" width="10.7109375" customWidth="1"/>
    <col min="10" max="11" width="9.140625" customWidth="1"/>
    <col min="12" max="12" width="8.85546875" customWidth="1"/>
    <col min="13" max="13" width="9.140625" style="122" customWidth="1"/>
    <col min="14" max="14" width="9.140625" customWidth="1"/>
    <col min="16" max="16" width="9.140625" customWidth="1"/>
    <col min="17" max="17" width="10.7109375" customWidth="1"/>
    <col min="19" max="20" width="9.140625" hidden="1" customWidth="1"/>
    <col min="22" max="23" width="9.140625" hidden="1" customWidth="1"/>
    <col min="25" max="26" width="9.140625" hidden="1" customWidth="1"/>
    <col min="27" max="27" width="9.28515625" style="122" customWidth="1"/>
    <col min="28" max="29" width="9.140625" hidden="1" customWidth="1"/>
    <col min="30" max="30" width="9.140625" style="122"/>
    <col min="31" max="32" width="9.140625" style="122" hidden="1" customWidth="1"/>
    <col min="33" max="33" width="9.140625" style="122"/>
    <col min="34" max="35" width="9.140625" hidden="1" customWidth="1"/>
    <col min="37" max="38" width="9.140625" hidden="1" customWidth="1"/>
    <col min="39" max="39" width="9.140625" style="122"/>
    <col min="40" max="41" width="9.140625" hidden="1" customWidth="1"/>
    <col min="42" max="42" width="9.140625" style="125"/>
    <col min="43" max="43" width="10.42578125" hidden="1" customWidth="1"/>
    <col min="44" max="44" width="9.140625" hidden="1" customWidth="1"/>
    <col min="45" max="45" width="48.7109375" style="130" customWidth="1"/>
    <col min="46" max="46" width="44.7109375" customWidth="1"/>
    <col min="47" max="50" width="9.140625" customWidth="1"/>
  </cols>
  <sheetData>
    <row r="1" spans="1:49" s="31" customFormat="1" ht="12.75">
      <c r="A1" s="151"/>
      <c r="B1" s="151"/>
      <c r="C1" s="151"/>
      <c r="D1" s="151"/>
      <c r="E1" s="29"/>
      <c r="F1" s="29"/>
      <c r="G1" s="29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Q1" s="151"/>
      <c r="AR1" s="151"/>
      <c r="AS1" s="151"/>
    </row>
    <row r="2" spans="1:49" s="118" customFormat="1" ht="15.75">
      <c r="A2" s="397" t="s">
        <v>405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196"/>
    </row>
    <row r="3" spans="1:49" s="118" customFormat="1" ht="15.7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197"/>
    </row>
    <row r="4" spans="1:49" s="31" customFormat="1" ht="12.75">
      <c r="A4" s="30"/>
      <c r="B4" s="151"/>
      <c r="C4" s="151"/>
      <c r="D4" s="151"/>
      <c r="E4" s="29"/>
      <c r="F4" s="29"/>
      <c r="G4" s="29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02"/>
      <c r="AQ4" s="102"/>
      <c r="AR4" s="102"/>
      <c r="AS4" s="102"/>
    </row>
    <row r="5" spans="1:49" s="31" customFormat="1" ht="12.75">
      <c r="A5" s="396" t="s">
        <v>0</v>
      </c>
      <c r="B5" s="396" t="s">
        <v>261</v>
      </c>
      <c r="C5" s="399" t="s">
        <v>47</v>
      </c>
      <c r="D5" s="399" t="s">
        <v>262</v>
      </c>
      <c r="E5" s="396" t="s">
        <v>1</v>
      </c>
      <c r="F5" s="396" t="s">
        <v>263</v>
      </c>
      <c r="G5" s="396"/>
      <c r="H5" s="396"/>
      <c r="I5" s="396" t="s">
        <v>18</v>
      </c>
      <c r="J5" s="396"/>
      <c r="K5" s="396"/>
      <c r="L5" s="396" t="s">
        <v>19</v>
      </c>
      <c r="M5" s="396"/>
      <c r="N5" s="396"/>
      <c r="O5" s="396" t="s">
        <v>23</v>
      </c>
      <c r="P5" s="396"/>
      <c r="Q5" s="396"/>
      <c r="R5" s="396" t="s">
        <v>25</v>
      </c>
      <c r="S5" s="396"/>
      <c r="T5" s="396"/>
      <c r="U5" s="396" t="s">
        <v>26</v>
      </c>
      <c r="V5" s="396"/>
      <c r="W5" s="396"/>
      <c r="X5" s="396" t="s">
        <v>27</v>
      </c>
      <c r="Y5" s="396"/>
      <c r="Z5" s="396"/>
      <c r="AA5" s="396" t="s">
        <v>29</v>
      </c>
      <c r="AB5" s="396"/>
      <c r="AC5" s="396"/>
      <c r="AD5" s="396" t="s">
        <v>30</v>
      </c>
      <c r="AE5" s="396"/>
      <c r="AF5" s="396"/>
      <c r="AG5" s="396" t="s">
        <v>31</v>
      </c>
      <c r="AH5" s="396"/>
      <c r="AI5" s="396"/>
      <c r="AJ5" s="396" t="s">
        <v>33</v>
      </c>
      <c r="AK5" s="396"/>
      <c r="AL5" s="396"/>
      <c r="AM5" s="396" t="s">
        <v>34</v>
      </c>
      <c r="AN5" s="396"/>
      <c r="AO5" s="396"/>
      <c r="AP5" s="396" t="s">
        <v>35</v>
      </c>
      <c r="AQ5" s="396"/>
      <c r="AR5" s="396"/>
      <c r="AS5" s="394" t="s">
        <v>273</v>
      </c>
      <c r="AT5" s="395" t="s">
        <v>274</v>
      </c>
      <c r="AU5" s="32"/>
      <c r="AV5" s="32"/>
    </row>
    <row r="6" spans="1:49" s="31" customFormat="1" ht="25.5">
      <c r="A6" s="396"/>
      <c r="B6" s="396"/>
      <c r="C6" s="400"/>
      <c r="D6" s="400"/>
      <c r="E6" s="396"/>
      <c r="F6" s="195" t="s">
        <v>264</v>
      </c>
      <c r="G6" s="195" t="s">
        <v>265</v>
      </c>
      <c r="H6" s="128" t="s">
        <v>266</v>
      </c>
      <c r="I6" s="195" t="s">
        <v>264</v>
      </c>
      <c r="J6" s="195" t="s">
        <v>265</v>
      </c>
      <c r="K6" s="128" t="s">
        <v>266</v>
      </c>
      <c r="L6" s="195" t="s">
        <v>264</v>
      </c>
      <c r="M6" s="195" t="s">
        <v>265</v>
      </c>
      <c r="N6" s="128" t="s">
        <v>266</v>
      </c>
      <c r="O6" s="195" t="s">
        <v>264</v>
      </c>
      <c r="P6" s="195" t="s">
        <v>265</v>
      </c>
      <c r="Q6" s="128" t="s">
        <v>266</v>
      </c>
      <c r="R6" s="195" t="s">
        <v>264</v>
      </c>
      <c r="S6" s="195" t="s">
        <v>265</v>
      </c>
      <c r="T6" s="128" t="s">
        <v>266</v>
      </c>
      <c r="U6" s="195" t="s">
        <v>264</v>
      </c>
      <c r="V6" s="195" t="s">
        <v>265</v>
      </c>
      <c r="W6" s="128" t="s">
        <v>266</v>
      </c>
      <c r="X6" s="195" t="s">
        <v>264</v>
      </c>
      <c r="Y6" s="195" t="s">
        <v>265</v>
      </c>
      <c r="Z6" s="128" t="s">
        <v>266</v>
      </c>
      <c r="AA6" s="195" t="s">
        <v>264</v>
      </c>
      <c r="AB6" s="195" t="s">
        <v>265</v>
      </c>
      <c r="AC6" s="128" t="s">
        <v>266</v>
      </c>
      <c r="AD6" s="195" t="s">
        <v>264</v>
      </c>
      <c r="AE6" s="195" t="s">
        <v>265</v>
      </c>
      <c r="AF6" s="128" t="s">
        <v>266</v>
      </c>
      <c r="AG6" s="195" t="s">
        <v>264</v>
      </c>
      <c r="AH6" s="195" t="s">
        <v>265</v>
      </c>
      <c r="AI6" s="128" t="s">
        <v>266</v>
      </c>
      <c r="AJ6" s="195" t="s">
        <v>264</v>
      </c>
      <c r="AK6" s="195" t="s">
        <v>265</v>
      </c>
      <c r="AL6" s="128" t="s">
        <v>266</v>
      </c>
      <c r="AM6" s="195" t="s">
        <v>264</v>
      </c>
      <c r="AN6" s="195" t="s">
        <v>265</v>
      </c>
      <c r="AO6" s="128" t="s">
        <v>266</v>
      </c>
      <c r="AP6" s="195" t="s">
        <v>264</v>
      </c>
      <c r="AQ6" s="195" t="s">
        <v>265</v>
      </c>
      <c r="AR6" s="128" t="s">
        <v>266</v>
      </c>
      <c r="AS6" s="394"/>
      <c r="AT6" s="395"/>
    </row>
    <row r="7" spans="1:49" s="31" customFormat="1" ht="15.75">
      <c r="A7" s="346" t="s">
        <v>322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8"/>
    </row>
    <row r="8" spans="1:49" s="31" customFormat="1" ht="15.75">
      <c r="A8" s="346" t="s">
        <v>294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8"/>
    </row>
    <row r="9" spans="1:49" s="100" customFormat="1" ht="12.75">
      <c r="A9" s="382" t="s">
        <v>267</v>
      </c>
      <c r="B9" s="383"/>
      <c r="C9" s="383"/>
      <c r="D9" s="384"/>
      <c r="E9" s="129" t="s">
        <v>42</v>
      </c>
      <c r="F9" s="106">
        <f>F10+F11+F12</f>
        <v>388439.29999999993</v>
      </c>
      <c r="G9" s="106">
        <f t="shared" ref="G9:AP9" si="0">G10+G11+G12</f>
        <v>82185.999999999985</v>
      </c>
      <c r="H9" s="106">
        <f t="shared" ref="H9:H17" si="1">G9/F9*100</f>
        <v>21.158003322526838</v>
      </c>
      <c r="I9" s="106">
        <f t="shared" si="0"/>
        <v>13186.399999999998</v>
      </c>
      <c r="J9" s="106">
        <f t="shared" si="0"/>
        <v>24711</v>
      </c>
      <c r="K9" s="106">
        <f>J9/I9*100</f>
        <v>187.39762179214952</v>
      </c>
      <c r="L9" s="106">
        <f t="shared" si="0"/>
        <v>40103.200000000004</v>
      </c>
      <c r="M9" s="106">
        <f t="shared" si="0"/>
        <v>31148.600000000002</v>
      </c>
      <c r="N9" s="106">
        <f>M9/L9*100</f>
        <v>77.67110853996688</v>
      </c>
      <c r="O9" s="106">
        <f t="shared" si="0"/>
        <v>34440.199999999997</v>
      </c>
      <c r="P9" s="106">
        <f t="shared" si="0"/>
        <v>26326.399999999998</v>
      </c>
      <c r="Q9" s="106">
        <f>P9/O9*100</f>
        <v>76.440903362930527</v>
      </c>
      <c r="R9" s="106">
        <f t="shared" si="0"/>
        <v>39588</v>
      </c>
      <c r="S9" s="106">
        <f t="shared" si="0"/>
        <v>0</v>
      </c>
      <c r="T9" s="106">
        <f>S9/R9*100</f>
        <v>0</v>
      </c>
      <c r="U9" s="106">
        <f t="shared" si="0"/>
        <v>31792.799999999996</v>
      </c>
      <c r="V9" s="106">
        <f t="shared" si="0"/>
        <v>0</v>
      </c>
      <c r="W9" s="106">
        <f>V9/U9*100</f>
        <v>0</v>
      </c>
      <c r="X9" s="106">
        <f t="shared" si="0"/>
        <v>37441.399999999994</v>
      </c>
      <c r="Y9" s="106">
        <f t="shared" si="0"/>
        <v>0</v>
      </c>
      <c r="Z9" s="106" t="e">
        <f t="shared" si="0"/>
        <v>#REF!</v>
      </c>
      <c r="AA9" s="106">
        <f t="shared" si="0"/>
        <v>46006.5</v>
      </c>
      <c r="AB9" s="106">
        <f t="shared" si="0"/>
        <v>0</v>
      </c>
      <c r="AC9" s="106" t="e">
        <f t="shared" si="0"/>
        <v>#REF!</v>
      </c>
      <c r="AD9" s="106">
        <f t="shared" si="0"/>
        <v>33870.399999999994</v>
      </c>
      <c r="AE9" s="106">
        <f t="shared" si="0"/>
        <v>0</v>
      </c>
      <c r="AF9" s="106">
        <f>AE9/AD9*100</f>
        <v>0</v>
      </c>
      <c r="AG9" s="106">
        <f t="shared" si="0"/>
        <v>24791.399999999998</v>
      </c>
      <c r="AH9" s="106">
        <f t="shared" si="0"/>
        <v>0</v>
      </c>
      <c r="AI9" s="106" t="e">
        <f t="shared" si="0"/>
        <v>#REF!</v>
      </c>
      <c r="AJ9" s="106">
        <f t="shared" si="0"/>
        <v>21830.899999999998</v>
      </c>
      <c r="AK9" s="106">
        <f t="shared" si="0"/>
        <v>0</v>
      </c>
      <c r="AL9" s="106" t="e">
        <f t="shared" si="0"/>
        <v>#REF!</v>
      </c>
      <c r="AM9" s="106">
        <f t="shared" si="0"/>
        <v>21887.199999999997</v>
      </c>
      <c r="AN9" s="106">
        <f t="shared" si="0"/>
        <v>0</v>
      </c>
      <c r="AO9" s="106" t="e">
        <f t="shared" si="0"/>
        <v>#REF!</v>
      </c>
      <c r="AP9" s="106">
        <f t="shared" si="0"/>
        <v>43500.899999999994</v>
      </c>
      <c r="AQ9" s="106" t="e">
        <f>#REF!+#REF!</f>
        <v>#REF!</v>
      </c>
      <c r="AR9" s="106" t="e">
        <f>#REF!+#REF!</f>
        <v>#REF!</v>
      </c>
      <c r="AS9" s="313"/>
      <c r="AT9" s="391"/>
      <c r="AU9" s="127"/>
    </row>
    <row r="10" spans="1:49" s="100" customFormat="1" ht="36">
      <c r="A10" s="385"/>
      <c r="B10" s="386"/>
      <c r="C10" s="386"/>
      <c r="D10" s="387"/>
      <c r="E10" s="111" t="s">
        <v>3</v>
      </c>
      <c r="F10" s="106">
        <f>F14+F18+F23+F26+F30</f>
        <v>94533.999999999971</v>
      </c>
      <c r="G10" s="106">
        <f>G14+G18+G23+G26+G30</f>
        <v>13891.1</v>
      </c>
      <c r="H10" s="106">
        <f t="shared" si="1"/>
        <v>14.694289885120702</v>
      </c>
      <c r="I10" s="106">
        <f>I14+I18+I23+I26+I30</f>
        <v>849.99999999999989</v>
      </c>
      <c r="J10" s="106">
        <f>J14+J18+J23+J26+J30</f>
        <v>826.6</v>
      </c>
      <c r="K10" s="106">
        <f t="shared" ref="K10:K12" si="2">J10/I10*100</f>
        <v>97.247058823529429</v>
      </c>
      <c r="L10" s="106">
        <f>L14+L18+L23+L26+L30</f>
        <v>6698.4</v>
      </c>
      <c r="M10" s="106">
        <f>M14+M18+M23+M26+M30</f>
        <v>6531.9000000000005</v>
      </c>
      <c r="N10" s="106">
        <f t="shared" ref="N10:N12" si="3">M10/L10*100</f>
        <v>97.514331780723779</v>
      </c>
      <c r="O10" s="106">
        <f>O14+O18+O23+O26+O30</f>
        <v>7010.7999999999993</v>
      </c>
      <c r="P10" s="106">
        <f>P14+P18+P23+P26+P30</f>
        <v>6532.6</v>
      </c>
      <c r="Q10" s="106">
        <f t="shared" ref="Q10:Q12" si="4">P10/O10*100</f>
        <v>93.179095110401107</v>
      </c>
      <c r="R10" s="106">
        <f>R14+R18+R23+R26+R30</f>
        <v>7150.7999999999993</v>
      </c>
      <c r="S10" s="106">
        <f>S14+S18+S23+S26+S30</f>
        <v>0</v>
      </c>
      <c r="T10" s="106">
        <f t="shared" ref="T10:T12" si="5">S10/R10*100</f>
        <v>0</v>
      </c>
      <c r="U10" s="106">
        <f>U14+U18+U23+U26+U30</f>
        <v>6616.3999999999987</v>
      </c>
      <c r="V10" s="106">
        <f>V14+V18+V23+V26+V30</f>
        <v>0</v>
      </c>
      <c r="W10" s="106">
        <f t="shared" ref="W10:W12" si="6">V10/U10*100</f>
        <v>0</v>
      </c>
      <c r="X10" s="106">
        <f>X14+X18+X23+X26+X30</f>
        <v>7788.7999999999993</v>
      </c>
      <c r="Y10" s="106">
        <f>Y14+Y18+Y23+Y26+Y30</f>
        <v>0</v>
      </c>
      <c r="Z10" s="106" t="e">
        <f>Z14+Z18+Z23+Z26+#REF!+#REF!+#REF!+#REF!+#REF!+#REF!+#REF!+#REF!+#REF!+#REF!</f>
        <v>#REF!</v>
      </c>
      <c r="AA10" s="106">
        <f>AA14+AA18+AA23+AA26+AA30</f>
        <v>8153.3</v>
      </c>
      <c r="AB10" s="106">
        <f>AB14+AB18+AB23+AB26+AB30</f>
        <v>0</v>
      </c>
      <c r="AC10" s="106" t="e">
        <f>AC14+AC18+AC23+AC26+#REF!+#REF!+#REF!+#REF!+#REF!+#REF!+#REF!+#REF!+#REF!+#REF!</f>
        <v>#REF!</v>
      </c>
      <c r="AD10" s="106">
        <f>AD14+AD18+AD23+AD26+AD30</f>
        <v>9168.0999999999985</v>
      </c>
      <c r="AE10" s="106">
        <f>AE14+AE18+AE23+AE26+AE30</f>
        <v>0</v>
      </c>
      <c r="AF10" s="106">
        <f t="shared" ref="AF10:AF25" si="7">AE10/AD10*100</f>
        <v>0</v>
      </c>
      <c r="AG10" s="106">
        <f>AG14+AG18+AG23+AG26+AG30</f>
        <v>6977.7</v>
      </c>
      <c r="AH10" s="106">
        <f>AH14+AH18+AH23+AH26+AH30</f>
        <v>0</v>
      </c>
      <c r="AI10" s="106" t="e">
        <f>AI14+AI18+AI23+AI26+#REF!+#REF!+#REF!+#REF!+#REF!+#REF!+#REF!+#REF!+#REF!+#REF!</f>
        <v>#REF!</v>
      </c>
      <c r="AJ10" s="106">
        <f>AJ14+AJ18+AJ23+AJ26+AJ30</f>
        <v>7065.1999999999989</v>
      </c>
      <c r="AK10" s="106">
        <f>AK14+AK18+AK23+AK26+AK30</f>
        <v>0</v>
      </c>
      <c r="AL10" s="106" t="e">
        <f>AL14+AL18+AL23+AL26+#REF!+#REF!+#REF!+#REF!+#REF!+#REF!+#REF!+#REF!+#REF!+#REF!</f>
        <v>#REF!</v>
      </c>
      <c r="AM10" s="106">
        <f>AM14+AM18+AM23+AM26+AM30</f>
        <v>7081.0999999999995</v>
      </c>
      <c r="AN10" s="106">
        <f>AN14+AN18+AN23+AN26+AN30</f>
        <v>0</v>
      </c>
      <c r="AO10" s="106" t="e">
        <f>AO14+AO18+AO23+AO26+#REF!+#REF!+#REF!+#REF!+#REF!+#REF!+#REF!+#REF!+#REF!+#REF!</f>
        <v>#REF!</v>
      </c>
      <c r="AP10" s="106">
        <f>AP14+AP18+AP23+AP26+AP30</f>
        <v>19973.399999999998</v>
      </c>
      <c r="AQ10" s="106">
        <f>AQ14+AQ18+AQ23+AQ26+AQ30</f>
        <v>0</v>
      </c>
      <c r="AR10" s="106" t="e">
        <f>AR14+AR18+AR23+AR26+#REF!+#REF!+#REF!+#REF!+#REF!+#REF!+#REF!+#REF!+#REF!+#REF!</f>
        <v>#REF!</v>
      </c>
      <c r="AS10" s="314"/>
      <c r="AT10" s="392"/>
      <c r="AU10" s="127"/>
    </row>
    <row r="11" spans="1:49" s="100" customFormat="1" ht="24">
      <c r="A11" s="385"/>
      <c r="B11" s="386"/>
      <c r="C11" s="386"/>
      <c r="D11" s="387"/>
      <c r="E11" s="111" t="s">
        <v>44</v>
      </c>
      <c r="F11" s="106">
        <f>F15+F19+F24+F27+F31</f>
        <v>288073.19999999995</v>
      </c>
      <c r="G11" s="106">
        <f>G15+G19+G24+G27+G31</f>
        <v>67488.999999999985</v>
      </c>
      <c r="H11" s="106">
        <f t="shared" si="1"/>
        <v>23.427726008528388</v>
      </c>
      <c r="I11" s="106">
        <f>I15+I19+I24+I27+I31</f>
        <v>12074.599999999999</v>
      </c>
      <c r="J11" s="106">
        <f>J15+J19+J24+J27+J31</f>
        <v>23884.400000000001</v>
      </c>
      <c r="K11" s="106">
        <f t="shared" si="2"/>
        <v>197.80696669040799</v>
      </c>
      <c r="L11" s="106">
        <f>L15+L19+L24+L27+L31</f>
        <v>33068.300000000003</v>
      </c>
      <c r="M11" s="106">
        <f>M15+M19+M24+M27+M31</f>
        <v>24395.100000000002</v>
      </c>
      <c r="N11" s="106">
        <f t="shared" si="3"/>
        <v>73.771860059331757</v>
      </c>
      <c r="O11" s="106">
        <f>O15+O19+O24+O27+O31</f>
        <v>26703.1</v>
      </c>
      <c r="P11" s="106">
        <f>P15+P19+P24+P27+P31</f>
        <v>19209.5</v>
      </c>
      <c r="Q11" s="106">
        <f t="shared" si="4"/>
        <v>71.937340608393782</v>
      </c>
      <c r="R11" s="106">
        <f>R15+R19+R24+R27+R31</f>
        <v>31696.600000000002</v>
      </c>
      <c r="S11" s="106">
        <f>S15+S19+S24+S27+S31</f>
        <v>0</v>
      </c>
      <c r="T11" s="106">
        <f t="shared" si="5"/>
        <v>0</v>
      </c>
      <c r="U11" s="106">
        <f>U15+U19+U24+U27+U31</f>
        <v>24696.699999999997</v>
      </c>
      <c r="V11" s="106">
        <f>V15+V19+V24+V27+V31</f>
        <v>0</v>
      </c>
      <c r="W11" s="106">
        <f t="shared" si="6"/>
        <v>0</v>
      </c>
      <c r="X11" s="106">
        <f>X15+X19+X24+X27+X31</f>
        <v>29200.899999999994</v>
      </c>
      <c r="Y11" s="106">
        <f>Y15+Y19+Y24+Y27+Y31</f>
        <v>0</v>
      </c>
      <c r="Z11" s="106" t="e">
        <f>Z15+Z19+Z24+Z27+#REF!+#REF!+#REF!+#REF!+#REF!+#REF!+#REF!+#REF!+#REF!+#REF!</f>
        <v>#REF!</v>
      </c>
      <c r="AA11" s="106">
        <f>AA15+AA19+AA24+AA27+AA31</f>
        <v>37184.1</v>
      </c>
      <c r="AB11" s="106">
        <f>AB15+AB19+AB24+AB27+AB31</f>
        <v>0</v>
      </c>
      <c r="AC11" s="106" t="e">
        <f>AC15+AC19+AC24+AC27+#REF!+#REF!+#REF!+#REF!+#REF!+#REF!+#REF!+#REF!+#REF!+#REF!</f>
        <v>#REF!</v>
      </c>
      <c r="AD11" s="106">
        <f>AD15+AD19+AD24+AD27+AD31</f>
        <v>24183.3</v>
      </c>
      <c r="AE11" s="106">
        <f>AE15+AE19+AE24+AE27+AE31</f>
        <v>0</v>
      </c>
      <c r="AF11" s="106">
        <f t="shared" si="7"/>
        <v>0</v>
      </c>
      <c r="AG11" s="106">
        <f>AG15+AG19+AG24+AG27+AG31</f>
        <v>17512.099999999999</v>
      </c>
      <c r="AH11" s="106">
        <f>AH15+AH19+AH24+AH27+AH31</f>
        <v>0</v>
      </c>
      <c r="AI11" s="106" t="e">
        <f>AI15+AI19+AI24+AI27+#REF!+#REF!+#REF!+#REF!+#REF!+#REF!+#REF!+#REF!+#REF!+#REF!</f>
        <v>#REF!</v>
      </c>
      <c r="AJ11" s="106">
        <f>AJ15+AJ19+AJ24+AJ27+AJ31</f>
        <v>14201.1</v>
      </c>
      <c r="AK11" s="106">
        <f>AK15+AK19+AK24+AK27+AK31</f>
        <v>0</v>
      </c>
      <c r="AL11" s="106" t="e">
        <f>AL15+AL19+AL24+AL27+#REF!+#REF!+#REF!+#REF!+#REF!+#REF!+#REF!+#REF!+#REF!+#REF!</f>
        <v>#REF!</v>
      </c>
      <c r="AM11" s="106">
        <f>AM15+AM19+AM24+AM27+AM31</f>
        <v>14279.699999999997</v>
      </c>
      <c r="AN11" s="106">
        <f>AN15+AN19+AN24+AN27+AN31</f>
        <v>0</v>
      </c>
      <c r="AO11" s="106" t="e">
        <f>AO15+AO19+AO24+AO27+#REF!+#REF!+#REF!+#REF!+#REF!+#REF!+#REF!+#REF!+#REF!+#REF!</f>
        <v>#REF!</v>
      </c>
      <c r="AP11" s="106">
        <f>AP15+AP19+AP24+AP27+AP31</f>
        <v>23272.699999999997</v>
      </c>
      <c r="AQ11" s="106">
        <f>AQ15+AQ19+AQ24+AQ27+AQ31</f>
        <v>0</v>
      </c>
      <c r="AR11" s="106" t="e">
        <f>AR15+AR19+AR24+AR27+#REF!+#REF!+#REF!+#REF!+#REF!+#REF!+#REF!+#REF!+#REF!+#REF!</f>
        <v>#REF!</v>
      </c>
      <c r="AS11" s="314"/>
      <c r="AT11" s="392"/>
      <c r="AU11" s="127"/>
    </row>
    <row r="12" spans="1:49" s="100" customFormat="1" ht="24">
      <c r="A12" s="388"/>
      <c r="B12" s="389"/>
      <c r="C12" s="389"/>
      <c r="D12" s="390"/>
      <c r="E12" s="110" t="s">
        <v>257</v>
      </c>
      <c r="F12" s="106">
        <f>F16+F20+F28</f>
        <v>5832.0999999999995</v>
      </c>
      <c r="G12" s="106">
        <f>G16+G20+G28</f>
        <v>805.9</v>
      </c>
      <c r="H12" s="106">
        <f t="shared" si="1"/>
        <v>13.818350165463556</v>
      </c>
      <c r="I12" s="106">
        <f>I16+I20+I28</f>
        <v>261.8</v>
      </c>
      <c r="J12" s="106">
        <f>J16+J20+J28</f>
        <v>0</v>
      </c>
      <c r="K12" s="106">
        <f t="shared" si="2"/>
        <v>0</v>
      </c>
      <c r="L12" s="106">
        <f>L16+L20+L28</f>
        <v>336.5</v>
      </c>
      <c r="M12" s="106">
        <f>M16+M20+M28</f>
        <v>221.6</v>
      </c>
      <c r="N12" s="106">
        <f t="shared" si="3"/>
        <v>65.854383358098062</v>
      </c>
      <c r="O12" s="106">
        <f>O16+O20+O28</f>
        <v>726.3</v>
      </c>
      <c r="P12" s="106">
        <f>P16+P20+P28</f>
        <v>584.29999999999995</v>
      </c>
      <c r="Q12" s="106">
        <f t="shared" si="4"/>
        <v>80.448850337326178</v>
      </c>
      <c r="R12" s="106">
        <f>R16+R20+R28</f>
        <v>740.6</v>
      </c>
      <c r="S12" s="106">
        <f>S16+S20+S28</f>
        <v>0</v>
      </c>
      <c r="T12" s="106">
        <f t="shared" si="5"/>
        <v>0</v>
      </c>
      <c r="U12" s="106">
        <f>U16+U20+U28</f>
        <v>479.7</v>
      </c>
      <c r="V12" s="106">
        <f>V16+V20+V28</f>
        <v>0</v>
      </c>
      <c r="W12" s="106">
        <f t="shared" si="6"/>
        <v>0</v>
      </c>
      <c r="X12" s="106">
        <f>X16+X20+X28</f>
        <v>451.70000000000005</v>
      </c>
      <c r="Y12" s="106">
        <f>Y16+Y20+Y28</f>
        <v>0</v>
      </c>
      <c r="Z12" s="106" t="e">
        <f>Z16+Z20+#REF!+Z28+#REF!+#REF!+#REF!+#REF!+#REF!+#REF!+#REF!+#REF!+#REF!+#REF!</f>
        <v>#REF!</v>
      </c>
      <c r="AA12" s="106">
        <f>AA16+AA20+AA28</f>
        <v>669.1</v>
      </c>
      <c r="AB12" s="106">
        <f>AB16+AB20+AB28</f>
        <v>0</v>
      </c>
      <c r="AC12" s="106" t="e">
        <f>AC16+AC20+#REF!+AC28+#REF!+#REF!+#REF!+#REF!+#REF!+#REF!+#REF!+#REF!+#REF!+#REF!</f>
        <v>#REF!</v>
      </c>
      <c r="AD12" s="106">
        <f>AD16+AD20+AD28</f>
        <v>519</v>
      </c>
      <c r="AE12" s="106">
        <f>AE16+AE20+AE28</f>
        <v>0</v>
      </c>
      <c r="AF12" s="106">
        <f t="shared" si="7"/>
        <v>0</v>
      </c>
      <c r="AG12" s="106">
        <f>AG16+AG20+AG28</f>
        <v>301.60000000000002</v>
      </c>
      <c r="AH12" s="106">
        <f>AH16+AH20+AH28</f>
        <v>0</v>
      </c>
      <c r="AI12" s="106" t="e">
        <f>AI16+AI20+#REF!+AI28+#REF!+#REF!+#REF!+#REF!+#REF!+#REF!+#REF!+#REF!+#REF!+#REF!+#REF!</f>
        <v>#REF!</v>
      </c>
      <c r="AJ12" s="106">
        <f>AJ16+AJ20+AJ28</f>
        <v>564.6</v>
      </c>
      <c r="AK12" s="106">
        <f>AK16+AK20+AK28</f>
        <v>0</v>
      </c>
      <c r="AL12" s="106" t="e">
        <f>AL16+AL20+#REF!+AL28+#REF!+#REF!+#REF!+#REF!+#REF!+#REF!+#REF!+#REF!+#REF!+#REF!+#REF!</f>
        <v>#REF!</v>
      </c>
      <c r="AM12" s="106">
        <f>AM16+AM20+AM28</f>
        <v>526.4</v>
      </c>
      <c r="AN12" s="106">
        <f>AN16+AN20+AN28</f>
        <v>0</v>
      </c>
      <c r="AO12" s="106" t="e">
        <f>AO16+AO20+#REF!+AO28+#REF!+#REF!+#REF!+#REF!+#REF!+#REF!+#REF!+#REF!+#REF!+#REF!+#REF!</f>
        <v>#REF!</v>
      </c>
      <c r="AP12" s="106">
        <f>AP16+AP20+AP28</f>
        <v>254.8</v>
      </c>
      <c r="AQ12" s="106">
        <f>AQ16+AQ20+AQ28</f>
        <v>0</v>
      </c>
      <c r="AR12" s="106" t="e">
        <f>AR16+AR20+#REF!+AR28+#REF!+#REF!+#REF!+#REF!+#REF!+#REF!+#REF!+#REF!+#REF!+#REF!</f>
        <v>#REF!</v>
      </c>
      <c r="AS12" s="315"/>
      <c r="AT12" s="393"/>
      <c r="AU12" s="127"/>
    </row>
    <row r="13" spans="1:49" s="31" customFormat="1" ht="12.75">
      <c r="A13" s="361" t="s">
        <v>323</v>
      </c>
      <c r="B13" s="325" t="s">
        <v>324</v>
      </c>
      <c r="C13" s="328" t="s">
        <v>325</v>
      </c>
      <c r="D13" s="328" t="s">
        <v>326</v>
      </c>
      <c r="E13" s="107" t="s">
        <v>42</v>
      </c>
      <c r="F13" s="104">
        <f>SUM(F14:F16)</f>
        <v>301286.39999999991</v>
      </c>
      <c r="G13" s="123">
        <f t="shared" ref="G13:P13" si="8">SUM(G14:G16)</f>
        <v>61490.299999999996</v>
      </c>
      <c r="H13" s="123">
        <f t="shared" si="1"/>
        <v>20.40925179496984</v>
      </c>
      <c r="I13" s="123">
        <f t="shared" si="8"/>
        <v>6660</v>
      </c>
      <c r="J13" s="123">
        <f t="shared" si="8"/>
        <v>18204.3</v>
      </c>
      <c r="K13" s="123">
        <f>J13/I13*100</f>
        <v>273.33783783783781</v>
      </c>
      <c r="L13" s="123">
        <f t="shared" si="8"/>
        <v>32305.4</v>
      </c>
      <c r="M13" s="123">
        <f t="shared" si="8"/>
        <v>23626.699999999997</v>
      </c>
      <c r="N13" s="123">
        <f>M13/L13*100</f>
        <v>73.135451039145153</v>
      </c>
      <c r="O13" s="123">
        <f t="shared" si="8"/>
        <v>27055.399999999998</v>
      </c>
      <c r="P13" s="123">
        <f t="shared" si="8"/>
        <v>19659.3</v>
      </c>
      <c r="Q13" s="123">
        <f>P13/O13*100</f>
        <v>72.66312824796529</v>
      </c>
      <c r="R13" s="123">
        <f t="shared" ref="R13:AR13" si="9">SUM(R14:R16)</f>
        <v>31994.9</v>
      </c>
      <c r="S13" s="123">
        <f t="shared" si="9"/>
        <v>0</v>
      </c>
      <c r="T13" s="123">
        <f>S13/R13*100</f>
        <v>0</v>
      </c>
      <c r="U13" s="123">
        <f t="shared" si="9"/>
        <v>24241.5</v>
      </c>
      <c r="V13" s="123">
        <f t="shared" si="9"/>
        <v>0</v>
      </c>
      <c r="W13" s="123">
        <f>V13/U13*100</f>
        <v>0</v>
      </c>
      <c r="X13" s="123">
        <f t="shared" si="9"/>
        <v>27456.999999999996</v>
      </c>
      <c r="Y13" s="123">
        <f t="shared" si="9"/>
        <v>0</v>
      </c>
      <c r="Z13" s="123">
        <f t="shared" si="9"/>
        <v>0</v>
      </c>
      <c r="AA13" s="104">
        <f t="shared" si="9"/>
        <v>37585.5</v>
      </c>
      <c r="AB13" s="123">
        <f t="shared" si="9"/>
        <v>0</v>
      </c>
      <c r="AC13" s="123">
        <f t="shared" si="9"/>
        <v>0</v>
      </c>
      <c r="AD13" s="104">
        <f t="shared" si="9"/>
        <v>26895.1</v>
      </c>
      <c r="AE13" s="104">
        <f t="shared" si="9"/>
        <v>0</v>
      </c>
      <c r="AF13" s="104">
        <f t="shared" si="7"/>
        <v>0</v>
      </c>
      <c r="AG13" s="104">
        <f t="shared" si="9"/>
        <v>18474.699999999997</v>
      </c>
      <c r="AH13" s="123">
        <f t="shared" si="9"/>
        <v>0</v>
      </c>
      <c r="AI13" s="123">
        <v>0</v>
      </c>
      <c r="AJ13" s="123">
        <f t="shared" si="9"/>
        <v>15428.3</v>
      </c>
      <c r="AK13" s="123">
        <f t="shared" si="9"/>
        <v>0</v>
      </c>
      <c r="AL13" s="123">
        <f t="shared" si="9"/>
        <v>0</v>
      </c>
      <c r="AM13" s="104">
        <f t="shared" si="9"/>
        <v>16324.299999999997</v>
      </c>
      <c r="AN13" s="123">
        <f t="shared" si="9"/>
        <v>0</v>
      </c>
      <c r="AO13" s="123">
        <f t="shared" si="9"/>
        <v>0</v>
      </c>
      <c r="AP13" s="104">
        <f t="shared" si="9"/>
        <v>36864.300000000003</v>
      </c>
      <c r="AQ13" s="123">
        <f t="shared" si="9"/>
        <v>0</v>
      </c>
      <c r="AR13" s="123">
        <f t="shared" si="9"/>
        <v>0</v>
      </c>
      <c r="AS13" s="334" t="s">
        <v>430</v>
      </c>
      <c r="AT13" s="440" t="s">
        <v>428</v>
      </c>
      <c r="AU13" s="121"/>
      <c r="AV13" s="121"/>
      <c r="AW13" s="155"/>
    </row>
    <row r="14" spans="1:49" s="31" customFormat="1" ht="36">
      <c r="A14" s="362"/>
      <c r="B14" s="326"/>
      <c r="C14" s="329"/>
      <c r="D14" s="329"/>
      <c r="E14" s="108" t="s">
        <v>3</v>
      </c>
      <c r="F14" s="123">
        <f>I14+L14+O14+R14+U14+X14+AA14+AD14+AG14+AJ14+AM14+AP14</f>
        <v>91986.599999999977</v>
      </c>
      <c r="G14" s="123">
        <f>J14+M14+P14+S14+V14+Y14+AB14+AE14+AH14+AK14+AN14+AQ14</f>
        <v>13734.2</v>
      </c>
      <c r="H14" s="123">
        <f t="shared" si="1"/>
        <v>14.930652942928649</v>
      </c>
      <c r="I14" s="123">
        <f>47.4+15+887.2+85-184.6</f>
        <v>849.99999999999989</v>
      </c>
      <c r="J14" s="123">
        <v>826.6</v>
      </c>
      <c r="K14" s="123">
        <f>J14/I14*100</f>
        <v>97.247058823529429</v>
      </c>
      <c r="L14" s="123">
        <f>5300+92.5+1181.4</f>
        <v>6573.9</v>
      </c>
      <c r="M14" s="123">
        <v>6488.1</v>
      </c>
      <c r="N14" s="123">
        <f>M14/L14*100</f>
        <v>98.694838680235492</v>
      </c>
      <c r="O14" s="123">
        <f>5300+79.4+1165.4-6.3+184.6-147.7+295.4</f>
        <v>6870.7999999999993</v>
      </c>
      <c r="P14" s="123">
        <v>6419.5</v>
      </c>
      <c r="Q14" s="123">
        <f>P14/O14*100</f>
        <v>93.431623682831699</v>
      </c>
      <c r="R14" s="123">
        <f>5300+226+5+1479.9</f>
        <v>7010.9</v>
      </c>
      <c r="S14" s="123">
        <v>0</v>
      </c>
      <c r="T14" s="123">
        <v>0</v>
      </c>
      <c r="U14" s="117">
        <f>5300+19.7+79.4+21+897.9+136</f>
        <v>6453.9999999999991</v>
      </c>
      <c r="V14" s="117">
        <v>0</v>
      </c>
      <c r="W14" s="117">
        <v>0</v>
      </c>
      <c r="X14" s="117">
        <f>6259+53.9+5+1168.2-27.8+0.1</f>
        <v>7458.4</v>
      </c>
      <c r="Y14" s="117">
        <v>0</v>
      </c>
      <c r="Z14" s="117">
        <v>0</v>
      </c>
      <c r="AA14" s="123">
        <f>5350+60+305.7+5+2083.4</f>
        <v>7804.1</v>
      </c>
      <c r="AB14" s="123">
        <v>0</v>
      </c>
      <c r="AC14" s="123">
        <v>0</v>
      </c>
      <c r="AD14" s="117">
        <f>7486+216.1+5+1166.4-53.2</f>
        <v>8820.2999999999993</v>
      </c>
      <c r="AE14" s="117">
        <v>0</v>
      </c>
      <c r="AF14" s="117">
        <v>0</v>
      </c>
      <c r="AG14" s="117">
        <f>108.1+5300+71+123+136.5+561.4+365.7-0.1</f>
        <v>6665.5999999999995</v>
      </c>
      <c r="AH14" s="117">
        <v>0</v>
      </c>
      <c r="AI14" s="123">
        <v>0</v>
      </c>
      <c r="AJ14" s="123">
        <f>5250+113.9+5+1439.4</f>
        <v>6808.2999999999993</v>
      </c>
      <c r="AK14" s="123">
        <v>0</v>
      </c>
      <c r="AL14" s="123">
        <v>0</v>
      </c>
      <c r="AM14" s="117">
        <f>5250+100.2+79.5+325.1+1162.1</f>
        <v>6916.9</v>
      </c>
      <c r="AN14" s="117">
        <v>0</v>
      </c>
      <c r="AO14" s="117">
        <v>0</v>
      </c>
      <c r="AP14" s="117">
        <f>11.1+17482.4+151.9+226.6+1870.8-217.2-85+395.6-82.8</f>
        <v>19753.399999999998</v>
      </c>
      <c r="AQ14" s="123"/>
      <c r="AR14" s="123"/>
      <c r="AS14" s="335"/>
      <c r="AT14" s="441"/>
      <c r="AU14" s="121"/>
      <c r="AV14" s="121"/>
      <c r="AW14" s="155"/>
    </row>
    <row r="15" spans="1:49" s="31" customFormat="1" ht="12.75">
      <c r="A15" s="362"/>
      <c r="B15" s="326"/>
      <c r="C15" s="329"/>
      <c r="D15" s="329"/>
      <c r="E15" s="108" t="s">
        <v>44</v>
      </c>
      <c r="F15" s="123">
        <f t="shared" ref="F15:G16" si="10">I15+L15+O15+R15+U15+X15+AA15+AD15+AG15+AJ15+AM15+AP15</f>
        <v>203467.69999999998</v>
      </c>
      <c r="G15" s="123">
        <f t="shared" si="10"/>
        <v>46950.2</v>
      </c>
      <c r="H15" s="123">
        <f t="shared" si="1"/>
        <v>23.075013871980662</v>
      </c>
      <c r="I15" s="123">
        <v>5548.2</v>
      </c>
      <c r="J15" s="123">
        <v>17377.7</v>
      </c>
      <c r="K15" s="123">
        <f>J15/I15*100</f>
        <v>313.213294401788</v>
      </c>
      <c r="L15" s="123">
        <f>517.2+2195.7+21252+496.8+361.9+645.7-74+0.3-0.6</f>
        <v>25395.000000000004</v>
      </c>
      <c r="M15" s="123">
        <v>16917</v>
      </c>
      <c r="N15" s="123">
        <f t="shared" ref="N15:N22" si="11">M15/L15*100</f>
        <v>66.615475487300628</v>
      </c>
      <c r="O15" s="123">
        <f>938.9+1669.1+15140.2+361.8+251.7+81+61.3-1+41.1+913.8+0.4</f>
        <v>19458.3</v>
      </c>
      <c r="P15" s="123">
        <v>12655.5</v>
      </c>
      <c r="Q15" s="123">
        <f t="shared" ref="Q15:Q22" si="12">P15/O15*100</f>
        <v>65.039083578729901</v>
      </c>
      <c r="R15" s="123">
        <f>662.3+2139.5+21249.9+500+398.9+68.6+40-815.8</f>
        <v>24243.4</v>
      </c>
      <c r="S15" s="123">
        <v>0</v>
      </c>
      <c r="T15" s="123">
        <f t="shared" ref="T15:T22" si="13">S15/R15*100</f>
        <v>0</v>
      </c>
      <c r="U15" s="117">
        <f>114.6+1286.2+14324.5+500+499.1+290.4+293</f>
        <v>17307.8</v>
      </c>
      <c r="V15" s="117">
        <v>0</v>
      </c>
      <c r="W15" s="123">
        <f t="shared" ref="W15" si="14">V15/U15*100</f>
        <v>0</v>
      </c>
      <c r="X15" s="117">
        <f>334.2+1608.2+15696.6+500+535.6+174.6-0.2-122.8+820.7</f>
        <v>19546.899999999998</v>
      </c>
      <c r="Y15" s="117">
        <v>0</v>
      </c>
      <c r="Z15" s="117">
        <f>Y15/X15*100</f>
        <v>0</v>
      </c>
      <c r="AA15" s="105">
        <f>456.7+2982.6+24667.5+500+461.9+43.6</f>
        <v>29112.3</v>
      </c>
      <c r="AB15" s="117">
        <v>0</v>
      </c>
      <c r="AC15" s="117">
        <f>AB15/AA15*100</f>
        <v>0</v>
      </c>
      <c r="AD15" s="105">
        <f>205.2+996.9+15105+500+466.9+281.8</f>
        <v>17555.8</v>
      </c>
      <c r="AE15" s="105">
        <v>0</v>
      </c>
      <c r="AF15" s="117">
        <f>AE15/AD15*100</f>
        <v>0</v>
      </c>
      <c r="AG15" s="105">
        <f>410.5+1275+9041.8+500+537.9+527.3-0.2-784.8</f>
        <v>11507.499999999998</v>
      </c>
      <c r="AH15" s="117">
        <v>0</v>
      </c>
      <c r="AI15" s="117">
        <v>0</v>
      </c>
      <c r="AJ15" s="123">
        <f>340.9+1654.3+2843.2+250+761.9+280.1+1925</f>
        <v>8055.4</v>
      </c>
      <c r="AK15" s="123">
        <v>0</v>
      </c>
      <c r="AL15" s="123">
        <v>0</v>
      </c>
      <c r="AM15" s="105">
        <f>165.1+1038+6305.7+250+841.9+280.3</f>
        <v>8880.9999999999982</v>
      </c>
      <c r="AN15" s="117">
        <v>0</v>
      </c>
      <c r="AO15" s="117">
        <v>0</v>
      </c>
      <c r="AP15" s="104">
        <f>257+1140.6+13806+958+795.4-41.1-98+74.1-0.3+0.6-36.2</f>
        <v>16856.099999999999</v>
      </c>
      <c r="AQ15" s="123"/>
      <c r="AR15" s="123"/>
      <c r="AS15" s="335"/>
      <c r="AT15" s="441"/>
      <c r="AU15" s="121"/>
      <c r="AV15" s="121"/>
      <c r="AW15" s="155"/>
    </row>
    <row r="16" spans="1:49" s="31" customFormat="1" ht="71.25" customHeight="1">
      <c r="A16" s="363"/>
      <c r="B16" s="327"/>
      <c r="C16" s="330"/>
      <c r="D16" s="330"/>
      <c r="E16" s="109" t="s">
        <v>257</v>
      </c>
      <c r="F16" s="123">
        <f t="shared" si="10"/>
        <v>5832.0999999999995</v>
      </c>
      <c r="G16" s="123">
        <f t="shared" si="10"/>
        <v>805.9</v>
      </c>
      <c r="H16" s="123">
        <f t="shared" si="1"/>
        <v>13.818350165463556</v>
      </c>
      <c r="I16" s="123">
        <v>261.8</v>
      </c>
      <c r="J16" s="123">
        <v>0</v>
      </c>
      <c r="K16" s="123">
        <f>J16/I16*100</f>
        <v>0</v>
      </c>
      <c r="L16" s="123">
        <v>336.5</v>
      </c>
      <c r="M16" s="123">
        <v>221.6</v>
      </c>
      <c r="N16" s="123">
        <f t="shared" si="11"/>
        <v>65.854383358098062</v>
      </c>
      <c r="O16" s="123">
        <f>811.3-84.7-0.3</f>
        <v>726.3</v>
      </c>
      <c r="P16" s="123">
        <v>584.29999999999995</v>
      </c>
      <c r="Q16" s="123">
        <f t="shared" si="12"/>
        <v>80.448850337326178</v>
      </c>
      <c r="R16" s="123">
        <v>740.6</v>
      </c>
      <c r="S16" s="123">
        <v>0</v>
      </c>
      <c r="T16" s="123">
        <v>0</v>
      </c>
      <c r="U16" s="117">
        <v>479.7</v>
      </c>
      <c r="V16" s="117">
        <v>0</v>
      </c>
      <c r="W16" s="117">
        <v>0</v>
      </c>
      <c r="X16" s="117">
        <f>352.8+98.9</f>
        <v>451.70000000000005</v>
      </c>
      <c r="Y16" s="117">
        <v>0</v>
      </c>
      <c r="Z16" s="117">
        <v>0</v>
      </c>
      <c r="AA16" s="123">
        <f>825.5-156.4</f>
        <v>669.1</v>
      </c>
      <c r="AB16" s="123">
        <v>0</v>
      </c>
      <c r="AC16" s="123">
        <v>0</v>
      </c>
      <c r="AD16" s="117">
        <f>457.7+61.3</f>
        <v>519</v>
      </c>
      <c r="AE16" s="117">
        <v>0</v>
      </c>
      <c r="AF16" s="117">
        <v>0</v>
      </c>
      <c r="AG16" s="117">
        <v>301.60000000000002</v>
      </c>
      <c r="AH16" s="117"/>
      <c r="AI16" s="117"/>
      <c r="AJ16" s="123">
        <v>564.6</v>
      </c>
      <c r="AK16" s="123">
        <v>0</v>
      </c>
      <c r="AL16" s="123">
        <v>0</v>
      </c>
      <c r="AM16" s="117">
        <f>441.7+84.7</f>
        <v>526.4</v>
      </c>
      <c r="AN16" s="117">
        <v>0</v>
      </c>
      <c r="AO16" s="117">
        <v>0</v>
      </c>
      <c r="AP16" s="117">
        <f>197+57.8</f>
        <v>254.8</v>
      </c>
      <c r="AQ16" s="123"/>
      <c r="AR16" s="123"/>
      <c r="AS16" s="336"/>
      <c r="AT16" s="442"/>
      <c r="AU16" s="121"/>
      <c r="AV16" s="121"/>
      <c r="AW16" s="155"/>
    </row>
    <row r="17" spans="1:49" s="31" customFormat="1" ht="12.75">
      <c r="A17" s="361" t="s">
        <v>327</v>
      </c>
      <c r="B17" s="325" t="s">
        <v>328</v>
      </c>
      <c r="C17" s="328" t="s">
        <v>329</v>
      </c>
      <c r="D17" s="331" t="s">
        <v>330</v>
      </c>
      <c r="E17" s="107" t="s">
        <v>42</v>
      </c>
      <c r="F17" s="123">
        <f>SUM(F18:F20)</f>
        <v>77800</v>
      </c>
      <c r="G17" s="123">
        <f t="shared" ref="G17:P17" si="15">SUM(G18:G20)</f>
        <v>18872.599999999999</v>
      </c>
      <c r="H17" s="123">
        <f t="shared" si="1"/>
        <v>24.257840616966579</v>
      </c>
      <c r="I17" s="123">
        <f t="shared" si="15"/>
        <v>6091.6</v>
      </c>
      <c r="J17" s="123">
        <f t="shared" si="15"/>
        <v>6082.4</v>
      </c>
      <c r="K17" s="123">
        <f>J17/I17*100</f>
        <v>99.848972355374599</v>
      </c>
      <c r="L17" s="123">
        <f t="shared" si="15"/>
        <v>6886.9</v>
      </c>
      <c r="M17" s="123">
        <f t="shared" si="15"/>
        <v>6744.5</v>
      </c>
      <c r="N17" s="123">
        <f t="shared" si="11"/>
        <v>97.932306262614532</v>
      </c>
      <c r="O17" s="123">
        <f t="shared" si="15"/>
        <v>6537.7</v>
      </c>
      <c r="P17" s="123">
        <f t="shared" si="15"/>
        <v>6045.7</v>
      </c>
      <c r="Q17" s="123">
        <f t="shared" si="12"/>
        <v>92.474417608639129</v>
      </c>
      <c r="R17" s="123">
        <f t="shared" ref="R17:AB17" si="16">SUM(R18:R20)</f>
        <v>6898.7</v>
      </c>
      <c r="S17" s="123">
        <f t="shared" si="16"/>
        <v>0</v>
      </c>
      <c r="T17" s="123">
        <f t="shared" si="13"/>
        <v>0</v>
      </c>
      <c r="U17" s="123">
        <f t="shared" si="16"/>
        <v>6826.3</v>
      </c>
      <c r="V17" s="123">
        <f t="shared" si="16"/>
        <v>0</v>
      </c>
      <c r="W17" s="123">
        <f t="shared" ref="W17" si="17">V17/U17*100</f>
        <v>0</v>
      </c>
      <c r="X17" s="123">
        <f t="shared" si="16"/>
        <v>9052.9</v>
      </c>
      <c r="Y17" s="123">
        <f t="shared" si="16"/>
        <v>0</v>
      </c>
      <c r="Z17" s="123">
        <f>Y17/X17*100</f>
        <v>0</v>
      </c>
      <c r="AA17" s="104">
        <f t="shared" si="16"/>
        <v>7429.2</v>
      </c>
      <c r="AB17" s="123">
        <f t="shared" si="16"/>
        <v>0</v>
      </c>
      <c r="AC17" s="123">
        <f>SUM(AC18:AC20)</f>
        <v>0</v>
      </c>
      <c r="AD17" s="104">
        <f t="shared" ref="AD17:AR17" si="18">SUM(AD18:AD20)</f>
        <v>6016.2</v>
      </c>
      <c r="AE17" s="104">
        <f t="shared" si="18"/>
        <v>0</v>
      </c>
      <c r="AF17" s="104">
        <f t="shared" si="7"/>
        <v>0</v>
      </c>
      <c r="AG17" s="104">
        <f t="shared" si="18"/>
        <v>5470</v>
      </c>
      <c r="AH17" s="123">
        <f t="shared" si="18"/>
        <v>0</v>
      </c>
      <c r="AI17" s="123">
        <f t="shared" si="18"/>
        <v>0</v>
      </c>
      <c r="AJ17" s="123">
        <f t="shared" si="18"/>
        <v>5538.5</v>
      </c>
      <c r="AK17" s="123">
        <f t="shared" si="18"/>
        <v>0</v>
      </c>
      <c r="AL17" s="123">
        <f t="shared" si="18"/>
        <v>0</v>
      </c>
      <c r="AM17" s="104">
        <f t="shared" si="18"/>
        <v>5036.7</v>
      </c>
      <c r="AN17" s="123">
        <f t="shared" si="18"/>
        <v>0</v>
      </c>
      <c r="AO17" s="123">
        <f t="shared" si="18"/>
        <v>0</v>
      </c>
      <c r="AP17" s="104">
        <f t="shared" si="18"/>
        <v>6015.3</v>
      </c>
      <c r="AQ17" s="123">
        <f t="shared" si="18"/>
        <v>0</v>
      </c>
      <c r="AR17" s="123">
        <f t="shared" si="18"/>
        <v>0</v>
      </c>
      <c r="AS17" s="334" t="s">
        <v>408</v>
      </c>
      <c r="AT17" s="440" t="s">
        <v>406</v>
      </c>
      <c r="AU17" s="121"/>
      <c r="AV17" s="121"/>
      <c r="AW17" s="155"/>
    </row>
    <row r="18" spans="1:49" s="31" customFormat="1" ht="36">
      <c r="A18" s="362"/>
      <c r="B18" s="326"/>
      <c r="C18" s="329"/>
      <c r="D18" s="332"/>
      <c r="E18" s="108" t="s">
        <v>3</v>
      </c>
      <c r="F18" s="123">
        <f>I18+L18+O18+R18+U18+X18+AA18+AD18+AG18+AJ18+AM18+AP18</f>
        <v>0</v>
      </c>
      <c r="G18" s="123">
        <f>J18+M18+P18+S18+V18+Y18+AB18+AE18+AH18+AK18+AN18+AQ18</f>
        <v>0</v>
      </c>
      <c r="H18" s="123">
        <v>0</v>
      </c>
      <c r="I18" s="104">
        <v>0</v>
      </c>
      <c r="J18" s="104">
        <v>0</v>
      </c>
      <c r="K18" s="123">
        <v>0</v>
      </c>
      <c r="L18" s="126">
        <v>0</v>
      </c>
      <c r="M18" s="104">
        <v>0</v>
      </c>
      <c r="N18" s="123">
        <v>0</v>
      </c>
      <c r="O18" s="104">
        <v>0</v>
      </c>
      <c r="P18" s="104">
        <v>0</v>
      </c>
      <c r="Q18" s="123">
        <v>0</v>
      </c>
      <c r="R18" s="104">
        <v>0</v>
      </c>
      <c r="S18" s="104">
        <v>0</v>
      </c>
      <c r="T18" s="123">
        <v>0</v>
      </c>
      <c r="U18" s="105">
        <v>0</v>
      </c>
      <c r="V18" s="105">
        <v>0</v>
      </c>
      <c r="W18" s="123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17">
        <v>0</v>
      </c>
      <c r="AD18" s="105">
        <v>0</v>
      </c>
      <c r="AE18" s="105">
        <v>0</v>
      </c>
      <c r="AF18" s="117">
        <v>0</v>
      </c>
      <c r="AG18" s="105">
        <v>0</v>
      </c>
      <c r="AH18" s="105">
        <v>0</v>
      </c>
      <c r="AI18" s="117">
        <v>0</v>
      </c>
      <c r="AJ18" s="104">
        <v>0</v>
      </c>
      <c r="AK18" s="104">
        <v>0</v>
      </c>
      <c r="AL18" s="104">
        <v>0</v>
      </c>
      <c r="AM18" s="105">
        <v>0</v>
      </c>
      <c r="AN18" s="105">
        <v>0</v>
      </c>
      <c r="AO18" s="105">
        <v>0</v>
      </c>
      <c r="AP18" s="104">
        <v>0</v>
      </c>
      <c r="AQ18" s="104"/>
      <c r="AR18" s="104"/>
      <c r="AS18" s="335"/>
      <c r="AT18" s="441"/>
      <c r="AU18" s="121"/>
      <c r="AV18" s="121"/>
      <c r="AW18" s="155"/>
    </row>
    <row r="19" spans="1:49" s="31" customFormat="1" ht="12.75">
      <c r="A19" s="362"/>
      <c r="B19" s="326"/>
      <c r="C19" s="329"/>
      <c r="D19" s="332"/>
      <c r="E19" s="108" t="s">
        <v>44</v>
      </c>
      <c r="F19" s="123">
        <f t="shared" ref="F19:G20" si="19">I19+L19+O19+R19+U19+X19+AA19+AD19+AG19+AJ19+AM19+AP19</f>
        <v>77800</v>
      </c>
      <c r="G19" s="123">
        <f t="shared" si="19"/>
        <v>18872.599999999999</v>
      </c>
      <c r="H19" s="123">
        <f>G19/F19*100</f>
        <v>24.257840616966579</v>
      </c>
      <c r="I19" s="123">
        <v>6091.6</v>
      </c>
      <c r="J19" s="123">
        <v>6082.4</v>
      </c>
      <c r="K19" s="123">
        <f t="shared" ref="K19" si="20">J19/I19*100</f>
        <v>99.848972355374599</v>
      </c>
      <c r="L19" s="123">
        <v>6886.9</v>
      </c>
      <c r="M19" s="123">
        <v>6744.5</v>
      </c>
      <c r="N19" s="123">
        <v>0</v>
      </c>
      <c r="O19" s="123">
        <v>6537.7</v>
      </c>
      <c r="P19" s="123">
        <v>6045.7</v>
      </c>
      <c r="Q19" s="123">
        <v>0</v>
      </c>
      <c r="R19" s="123">
        <v>6898.7</v>
      </c>
      <c r="S19" s="123">
        <v>0</v>
      </c>
      <c r="T19" s="123">
        <v>0</v>
      </c>
      <c r="U19" s="117">
        <v>6826.3</v>
      </c>
      <c r="V19" s="117">
        <v>0</v>
      </c>
      <c r="W19" s="117">
        <v>0</v>
      </c>
      <c r="X19" s="117">
        <v>9052.9</v>
      </c>
      <c r="Y19" s="117">
        <v>0</v>
      </c>
      <c r="Z19" s="117">
        <v>0</v>
      </c>
      <c r="AA19" s="123">
        <v>7429.2</v>
      </c>
      <c r="AB19" s="123">
        <v>0</v>
      </c>
      <c r="AC19" s="123">
        <v>0</v>
      </c>
      <c r="AD19" s="117">
        <v>6016.2</v>
      </c>
      <c r="AE19" s="117">
        <v>0</v>
      </c>
      <c r="AF19" s="117">
        <v>0</v>
      </c>
      <c r="AG19" s="117">
        <v>5470</v>
      </c>
      <c r="AH19" s="117">
        <v>0</v>
      </c>
      <c r="AI19" s="117">
        <v>0</v>
      </c>
      <c r="AJ19" s="123">
        <v>5538.5</v>
      </c>
      <c r="AK19" s="123">
        <v>0</v>
      </c>
      <c r="AL19" s="123">
        <v>0</v>
      </c>
      <c r="AM19" s="117">
        <v>5036.7</v>
      </c>
      <c r="AN19" s="117">
        <v>0</v>
      </c>
      <c r="AO19" s="117">
        <v>0</v>
      </c>
      <c r="AP19" s="117">
        <v>6015.3</v>
      </c>
      <c r="AQ19" s="123"/>
      <c r="AR19" s="123"/>
      <c r="AS19" s="335"/>
      <c r="AT19" s="441"/>
      <c r="AU19" s="121"/>
      <c r="AV19" s="121"/>
      <c r="AW19" s="155"/>
    </row>
    <row r="20" spans="1:49" s="31" customFormat="1" ht="73.5" customHeight="1">
      <c r="A20" s="363"/>
      <c r="B20" s="327"/>
      <c r="C20" s="330"/>
      <c r="D20" s="333"/>
      <c r="E20" s="109" t="s">
        <v>257</v>
      </c>
      <c r="F20" s="123">
        <f t="shared" si="19"/>
        <v>0</v>
      </c>
      <c r="G20" s="123">
        <f t="shared" si="19"/>
        <v>0</v>
      </c>
      <c r="H20" s="123">
        <v>0</v>
      </c>
      <c r="I20" s="104">
        <v>0</v>
      </c>
      <c r="J20" s="104">
        <v>0</v>
      </c>
      <c r="K20" s="123">
        <v>0</v>
      </c>
      <c r="L20" s="126">
        <v>0</v>
      </c>
      <c r="M20" s="104">
        <v>0</v>
      </c>
      <c r="N20" s="123">
        <v>0</v>
      </c>
      <c r="O20" s="104">
        <v>0</v>
      </c>
      <c r="P20" s="104">
        <v>0</v>
      </c>
      <c r="Q20" s="123">
        <v>0</v>
      </c>
      <c r="R20" s="104">
        <v>0</v>
      </c>
      <c r="S20" s="104">
        <v>0</v>
      </c>
      <c r="T20" s="123">
        <v>0</v>
      </c>
      <c r="U20" s="105">
        <v>0</v>
      </c>
      <c r="V20" s="105">
        <v>0</v>
      </c>
      <c r="W20" s="123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17">
        <v>0</v>
      </c>
      <c r="AD20" s="105">
        <v>0</v>
      </c>
      <c r="AE20" s="105">
        <v>0</v>
      </c>
      <c r="AF20" s="117">
        <v>0</v>
      </c>
      <c r="AG20" s="105">
        <v>0</v>
      </c>
      <c r="AH20" s="105">
        <v>0</v>
      </c>
      <c r="AI20" s="117">
        <v>0</v>
      </c>
      <c r="AJ20" s="104">
        <v>0</v>
      </c>
      <c r="AK20" s="104">
        <v>0</v>
      </c>
      <c r="AL20" s="104">
        <v>0</v>
      </c>
      <c r="AM20" s="105">
        <v>0</v>
      </c>
      <c r="AN20" s="105">
        <v>0</v>
      </c>
      <c r="AO20" s="105">
        <v>0</v>
      </c>
      <c r="AP20" s="104">
        <v>0</v>
      </c>
      <c r="AQ20" s="104">
        <v>0</v>
      </c>
      <c r="AR20" s="104">
        <v>0</v>
      </c>
      <c r="AS20" s="336"/>
      <c r="AT20" s="442"/>
      <c r="AU20" s="121"/>
      <c r="AV20" s="121"/>
      <c r="AW20" s="155"/>
    </row>
    <row r="21" spans="1:49" s="31" customFormat="1" ht="59.25" customHeight="1">
      <c r="A21" s="190" t="s">
        <v>331</v>
      </c>
      <c r="B21" s="210" t="s">
        <v>332</v>
      </c>
      <c r="C21" s="186" t="s">
        <v>333</v>
      </c>
      <c r="D21" s="187" t="s">
        <v>346</v>
      </c>
      <c r="E21" s="143" t="s">
        <v>275</v>
      </c>
      <c r="F21" s="149" t="s">
        <v>279</v>
      </c>
      <c r="G21" s="149" t="s">
        <v>279</v>
      </c>
      <c r="H21" s="149" t="s">
        <v>279</v>
      </c>
      <c r="I21" s="149" t="s">
        <v>279</v>
      </c>
      <c r="J21" s="149" t="s">
        <v>279</v>
      </c>
      <c r="K21" s="149" t="s">
        <v>279</v>
      </c>
      <c r="L21" s="149" t="s">
        <v>279</v>
      </c>
      <c r="M21" s="149" t="s">
        <v>279</v>
      </c>
      <c r="N21" s="149" t="s">
        <v>279</v>
      </c>
      <c r="O21" s="149" t="s">
        <v>279</v>
      </c>
      <c r="P21" s="149" t="s">
        <v>279</v>
      </c>
      <c r="Q21" s="149" t="s">
        <v>279</v>
      </c>
      <c r="R21" s="149" t="s">
        <v>279</v>
      </c>
      <c r="S21" s="149" t="s">
        <v>279</v>
      </c>
      <c r="T21" s="149" t="s">
        <v>279</v>
      </c>
      <c r="U21" s="149" t="s">
        <v>279</v>
      </c>
      <c r="V21" s="149" t="s">
        <v>279</v>
      </c>
      <c r="W21" s="149" t="s">
        <v>279</v>
      </c>
      <c r="X21" s="149" t="s">
        <v>279</v>
      </c>
      <c r="Y21" s="149" t="s">
        <v>279</v>
      </c>
      <c r="Z21" s="149" t="s">
        <v>279</v>
      </c>
      <c r="AA21" s="149" t="s">
        <v>279</v>
      </c>
      <c r="AB21" s="149" t="s">
        <v>279</v>
      </c>
      <c r="AC21" s="149" t="s">
        <v>279</v>
      </c>
      <c r="AD21" s="149" t="s">
        <v>279</v>
      </c>
      <c r="AE21" s="149" t="s">
        <v>279</v>
      </c>
      <c r="AF21" s="149" t="s">
        <v>279</v>
      </c>
      <c r="AG21" s="149" t="s">
        <v>279</v>
      </c>
      <c r="AH21" s="149" t="s">
        <v>279</v>
      </c>
      <c r="AI21" s="149" t="s">
        <v>279</v>
      </c>
      <c r="AJ21" s="149" t="s">
        <v>279</v>
      </c>
      <c r="AK21" s="149" t="s">
        <v>279</v>
      </c>
      <c r="AL21" s="149" t="s">
        <v>279</v>
      </c>
      <c r="AM21" s="149" t="s">
        <v>279</v>
      </c>
      <c r="AN21" s="149" t="s">
        <v>279</v>
      </c>
      <c r="AO21" s="149" t="s">
        <v>279</v>
      </c>
      <c r="AP21" s="149" t="s">
        <v>279</v>
      </c>
      <c r="AQ21" s="149" t="s">
        <v>279</v>
      </c>
      <c r="AR21" s="149" t="s">
        <v>279</v>
      </c>
      <c r="AS21" s="188"/>
      <c r="AT21" s="189"/>
      <c r="AU21" s="121"/>
      <c r="AV21" s="121"/>
      <c r="AW21" s="155"/>
    </row>
    <row r="22" spans="1:49" s="31" customFormat="1" ht="12.75">
      <c r="A22" s="361" t="s">
        <v>334</v>
      </c>
      <c r="B22" s="325" t="s">
        <v>335</v>
      </c>
      <c r="C22" s="328" t="s">
        <v>268</v>
      </c>
      <c r="D22" s="331" t="s">
        <v>336</v>
      </c>
      <c r="E22" s="107" t="s">
        <v>42</v>
      </c>
      <c r="F22" s="123">
        <f>SUM(F23:F24)</f>
        <v>3987.3</v>
      </c>
      <c r="G22" s="123">
        <f>SUM(G23:G24)</f>
        <v>954.4</v>
      </c>
      <c r="H22" s="123">
        <f>G22/F22*100</f>
        <v>23.935996789807636</v>
      </c>
      <c r="I22" s="123">
        <f>SUM(I23:I24)</f>
        <v>326</v>
      </c>
      <c r="J22" s="123">
        <f>SUM(J23:J24)</f>
        <v>326.39999999999998</v>
      </c>
      <c r="K22" s="123">
        <f t="shared" ref="K22:K26" si="21">J22/I22*100</f>
        <v>100.12269938650307</v>
      </c>
      <c r="L22" s="123">
        <f>SUM(L23:L24)</f>
        <v>326</v>
      </c>
      <c r="M22" s="123">
        <f>SUM(M23:M24)</f>
        <v>313.89999999999998</v>
      </c>
      <c r="N22" s="123">
        <f t="shared" si="11"/>
        <v>96.288343558282193</v>
      </c>
      <c r="O22" s="123">
        <f>SUM(O23:O24)</f>
        <v>326</v>
      </c>
      <c r="P22" s="123">
        <f>SUM(P23:P24)</f>
        <v>314.10000000000002</v>
      </c>
      <c r="Q22" s="123">
        <f t="shared" si="12"/>
        <v>96.349693251533751</v>
      </c>
      <c r="R22" s="123">
        <f>SUM(R23:R24)</f>
        <v>326</v>
      </c>
      <c r="S22" s="123">
        <f>SUM(S23:S24)</f>
        <v>0</v>
      </c>
      <c r="T22" s="123">
        <f t="shared" si="13"/>
        <v>0</v>
      </c>
      <c r="U22" s="123">
        <f>SUM(U23:U24)</f>
        <v>326</v>
      </c>
      <c r="V22" s="123">
        <f>SUM(V23:V24)</f>
        <v>0</v>
      </c>
      <c r="W22" s="123">
        <f t="shared" ref="W22" si="22">V22/U22*100</f>
        <v>0</v>
      </c>
      <c r="X22" s="123">
        <f t="shared" ref="X22:AE22" si="23">SUM(X23:X24)</f>
        <v>326</v>
      </c>
      <c r="Y22" s="123">
        <f t="shared" si="23"/>
        <v>0</v>
      </c>
      <c r="Z22" s="123">
        <f t="shared" si="23"/>
        <v>0</v>
      </c>
      <c r="AA22" s="104">
        <f t="shared" si="23"/>
        <v>326</v>
      </c>
      <c r="AB22" s="123">
        <f t="shared" si="23"/>
        <v>0</v>
      </c>
      <c r="AC22" s="123">
        <f t="shared" si="23"/>
        <v>0</v>
      </c>
      <c r="AD22" s="104">
        <f t="shared" si="23"/>
        <v>326</v>
      </c>
      <c r="AE22" s="104">
        <f t="shared" si="23"/>
        <v>0</v>
      </c>
      <c r="AF22" s="104">
        <f t="shared" si="7"/>
        <v>0</v>
      </c>
      <c r="AG22" s="104">
        <f t="shared" ref="AG22:AR22" si="24">SUM(AG23:AG24)</f>
        <v>326</v>
      </c>
      <c r="AH22" s="123">
        <f t="shared" si="24"/>
        <v>0</v>
      </c>
      <c r="AI22" s="123">
        <f t="shared" si="24"/>
        <v>0</v>
      </c>
      <c r="AJ22" s="123">
        <f t="shared" si="24"/>
        <v>326</v>
      </c>
      <c r="AK22" s="123">
        <f t="shared" si="24"/>
        <v>0</v>
      </c>
      <c r="AL22" s="123">
        <f t="shared" si="24"/>
        <v>0</v>
      </c>
      <c r="AM22" s="104">
        <f t="shared" si="24"/>
        <v>326</v>
      </c>
      <c r="AN22" s="123">
        <f t="shared" si="24"/>
        <v>0</v>
      </c>
      <c r="AO22" s="123">
        <f t="shared" si="24"/>
        <v>0</v>
      </c>
      <c r="AP22" s="104">
        <f t="shared" si="24"/>
        <v>401.3</v>
      </c>
      <c r="AQ22" s="123">
        <f t="shared" si="24"/>
        <v>0</v>
      </c>
      <c r="AR22" s="123">
        <f t="shared" si="24"/>
        <v>0</v>
      </c>
      <c r="AS22" s="334" t="s">
        <v>410</v>
      </c>
      <c r="AT22" s="337"/>
      <c r="AU22" s="121"/>
      <c r="AV22" s="121"/>
      <c r="AW22" s="155"/>
    </row>
    <row r="23" spans="1:49" s="31" customFormat="1" ht="36">
      <c r="A23" s="362"/>
      <c r="B23" s="326"/>
      <c r="C23" s="329"/>
      <c r="D23" s="332"/>
      <c r="E23" s="108" t="s">
        <v>3</v>
      </c>
      <c r="F23" s="123">
        <f>I23+L23+O23+R23+U23+X23+AA23+AD23+AG23+AJ23+AM23+AP23</f>
        <v>0</v>
      </c>
      <c r="G23" s="123">
        <f>J23+M23+P23+S23+V23+Y23+AB23+AE23+AH23+AK23+AN23+AQ23</f>
        <v>0</v>
      </c>
      <c r="H23" s="123">
        <v>0</v>
      </c>
      <c r="I23" s="104">
        <v>0</v>
      </c>
      <c r="J23" s="104">
        <v>0</v>
      </c>
      <c r="K23" s="123">
        <v>0</v>
      </c>
      <c r="L23" s="126">
        <v>0</v>
      </c>
      <c r="M23" s="104">
        <v>0</v>
      </c>
      <c r="N23" s="123">
        <v>0</v>
      </c>
      <c r="O23" s="104">
        <v>0</v>
      </c>
      <c r="P23" s="104">
        <v>0</v>
      </c>
      <c r="Q23" s="123">
        <v>0</v>
      </c>
      <c r="R23" s="104">
        <v>0</v>
      </c>
      <c r="S23" s="104">
        <v>0</v>
      </c>
      <c r="T23" s="123">
        <v>0</v>
      </c>
      <c r="U23" s="105">
        <v>0</v>
      </c>
      <c r="V23" s="105">
        <v>0</v>
      </c>
      <c r="W23" s="123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17">
        <v>0</v>
      </c>
      <c r="AD23" s="105">
        <v>0</v>
      </c>
      <c r="AE23" s="105">
        <v>0</v>
      </c>
      <c r="AF23" s="117">
        <v>0</v>
      </c>
      <c r="AG23" s="105">
        <v>0</v>
      </c>
      <c r="AH23" s="105">
        <v>0</v>
      </c>
      <c r="AI23" s="117">
        <v>0</v>
      </c>
      <c r="AJ23" s="104">
        <v>0</v>
      </c>
      <c r="AK23" s="104">
        <v>0</v>
      </c>
      <c r="AL23" s="104">
        <v>0</v>
      </c>
      <c r="AM23" s="105">
        <v>0</v>
      </c>
      <c r="AN23" s="105">
        <v>0</v>
      </c>
      <c r="AO23" s="105">
        <v>0</v>
      </c>
      <c r="AP23" s="104">
        <v>0</v>
      </c>
      <c r="AQ23" s="104"/>
      <c r="AR23" s="104"/>
      <c r="AS23" s="335"/>
      <c r="AT23" s="338"/>
      <c r="AU23" s="121"/>
      <c r="AV23" s="121"/>
      <c r="AW23" s="155"/>
    </row>
    <row r="24" spans="1:49" s="31" customFormat="1" ht="23.25" customHeight="1">
      <c r="A24" s="362"/>
      <c r="B24" s="326"/>
      <c r="C24" s="329"/>
      <c r="D24" s="332"/>
      <c r="E24" s="108" t="s">
        <v>44</v>
      </c>
      <c r="F24" s="123">
        <f t="shared" ref="F24:G24" si="25">I24+L24+O24+R24+U24+X24+AA24+AD24+AG24+AJ24+AM24+AP24</f>
        <v>3987.3</v>
      </c>
      <c r="G24" s="123">
        <f t="shared" si="25"/>
        <v>954.4</v>
      </c>
      <c r="H24" s="123">
        <v>0</v>
      </c>
      <c r="I24" s="123">
        <v>326</v>
      </c>
      <c r="J24" s="123">
        <v>326.39999999999998</v>
      </c>
      <c r="K24" s="123">
        <f t="shared" si="21"/>
        <v>100.12269938650307</v>
      </c>
      <c r="L24" s="123">
        <v>326</v>
      </c>
      <c r="M24" s="123">
        <v>313.89999999999998</v>
      </c>
      <c r="N24" s="123">
        <f t="shared" ref="N24" si="26">M24/L24*100</f>
        <v>96.288343558282193</v>
      </c>
      <c r="O24" s="123">
        <v>326</v>
      </c>
      <c r="P24" s="123">
        <v>314.10000000000002</v>
      </c>
      <c r="Q24" s="123">
        <f t="shared" ref="Q24" si="27">P24/O24*100</f>
        <v>96.349693251533751</v>
      </c>
      <c r="R24" s="123">
        <v>326</v>
      </c>
      <c r="S24" s="123">
        <v>0</v>
      </c>
      <c r="T24" s="123">
        <v>0</v>
      </c>
      <c r="U24" s="117">
        <v>326</v>
      </c>
      <c r="V24" s="117">
        <v>0</v>
      </c>
      <c r="W24" s="117">
        <v>0</v>
      </c>
      <c r="X24" s="117">
        <v>326</v>
      </c>
      <c r="Y24" s="117">
        <v>0</v>
      </c>
      <c r="Z24" s="117">
        <v>0</v>
      </c>
      <c r="AA24" s="123">
        <v>326</v>
      </c>
      <c r="AB24" s="123">
        <v>0</v>
      </c>
      <c r="AC24" s="123">
        <v>0</v>
      </c>
      <c r="AD24" s="117">
        <v>326</v>
      </c>
      <c r="AE24" s="117">
        <v>0</v>
      </c>
      <c r="AF24" s="117">
        <v>0</v>
      </c>
      <c r="AG24" s="117">
        <v>326</v>
      </c>
      <c r="AH24" s="117">
        <v>0</v>
      </c>
      <c r="AI24" s="117"/>
      <c r="AJ24" s="123">
        <v>326</v>
      </c>
      <c r="AK24" s="123">
        <v>0</v>
      </c>
      <c r="AL24" s="123">
        <v>0</v>
      </c>
      <c r="AM24" s="117">
        <v>326</v>
      </c>
      <c r="AN24" s="117">
        <v>0</v>
      </c>
      <c r="AO24" s="117">
        <v>0</v>
      </c>
      <c r="AP24" s="117">
        <v>401.3</v>
      </c>
      <c r="AQ24" s="123"/>
      <c r="AR24" s="123"/>
      <c r="AS24" s="335"/>
      <c r="AT24" s="338"/>
      <c r="AU24" s="121"/>
      <c r="AV24" s="121"/>
      <c r="AW24" s="155"/>
    </row>
    <row r="25" spans="1:49" s="31" customFormat="1" ht="12.75">
      <c r="A25" s="361" t="s">
        <v>337</v>
      </c>
      <c r="B25" s="370" t="s">
        <v>338</v>
      </c>
      <c r="C25" s="328" t="s">
        <v>339</v>
      </c>
      <c r="D25" s="331" t="s">
        <v>340</v>
      </c>
      <c r="E25" s="107" t="s">
        <v>42</v>
      </c>
      <c r="F25" s="123">
        <f>SUM(F26:F28)</f>
        <v>5215.6000000000004</v>
      </c>
      <c r="G25" s="123">
        <f t="shared" ref="G25:P25" si="28">SUM(G26:G28)</f>
        <v>868.69999999999993</v>
      </c>
      <c r="H25" s="123">
        <f>G25/F25*100</f>
        <v>16.655801825293349</v>
      </c>
      <c r="I25" s="123">
        <f t="shared" si="28"/>
        <v>108.8</v>
      </c>
      <c r="J25" s="123">
        <f t="shared" si="28"/>
        <v>97.9</v>
      </c>
      <c r="K25" s="123">
        <f t="shared" si="21"/>
        <v>89.981617647058826</v>
      </c>
      <c r="L25" s="123">
        <f t="shared" si="28"/>
        <v>584.9</v>
      </c>
      <c r="M25" s="123">
        <f t="shared" si="28"/>
        <v>463.5</v>
      </c>
      <c r="N25" s="123">
        <f t="shared" ref="N25:N26" si="29">M25/L25*100</f>
        <v>79.244315267567117</v>
      </c>
      <c r="O25" s="123">
        <f t="shared" si="28"/>
        <v>371.1</v>
      </c>
      <c r="P25" s="123">
        <f t="shared" si="28"/>
        <v>307.29999999999995</v>
      </c>
      <c r="Q25" s="123">
        <f t="shared" ref="Q25:Q26" si="30">P25/O25*100</f>
        <v>82.807868499056838</v>
      </c>
      <c r="R25" s="123">
        <f t="shared" ref="R25:Z25" si="31">SUM(R26:R28)</f>
        <v>368.4</v>
      </c>
      <c r="S25" s="123">
        <f t="shared" si="31"/>
        <v>0</v>
      </c>
      <c r="T25" s="123">
        <v>0</v>
      </c>
      <c r="U25" s="123">
        <f t="shared" si="31"/>
        <v>399</v>
      </c>
      <c r="V25" s="123">
        <f t="shared" si="31"/>
        <v>0</v>
      </c>
      <c r="W25" s="123">
        <f t="shared" si="31"/>
        <v>0</v>
      </c>
      <c r="X25" s="123">
        <f t="shared" si="31"/>
        <v>605.5</v>
      </c>
      <c r="Y25" s="123">
        <f t="shared" si="31"/>
        <v>0</v>
      </c>
      <c r="Z25" s="123">
        <f t="shared" si="31"/>
        <v>0</v>
      </c>
      <c r="AA25" s="104">
        <f t="shared" ref="AA25:AB25" si="32">SUM(AA26:AA28)</f>
        <v>665.80000000000007</v>
      </c>
      <c r="AB25" s="123">
        <f t="shared" si="32"/>
        <v>0</v>
      </c>
      <c r="AC25" s="123">
        <f>SUM(AC26:AC28)</f>
        <v>0</v>
      </c>
      <c r="AD25" s="104">
        <f t="shared" ref="AD25:AR25" si="33">SUM(AD26:AD28)</f>
        <v>633.1</v>
      </c>
      <c r="AE25" s="104">
        <f t="shared" si="33"/>
        <v>0</v>
      </c>
      <c r="AF25" s="104">
        <f t="shared" si="7"/>
        <v>0</v>
      </c>
      <c r="AG25" s="104">
        <f t="shared" si="33"/>
        <v>520.70000000000005</v>
      </c>
      <c r="AH25" s="123">
        <f t="shared" si="33"/>
        <v>0</v>
      </c>
      <c r="AI25" s="104">
        <f t="shared" ref="AI25" si="34">AH25/AG25*100</f>
        <v>0</v>
      </c>
      <c r="AJ25" s="123">
        <f t="shared" si="33"/>
        <v>538.09999999999991</v>
      </c>
      <c r="AK25" s="123">
        <f t="shared" si="33"/>
        <v>0</v>
      </c>
      <c r="AL25" s="123">
        <f t="shared" si="33"/>
        <v>0</v>
      </c>
      <c r="AM25" s="104">
        <f t="shared" si="33"/>
        <v>200.2</v>
      </c>
      <c r="AN25" s="123">
        <f t="shared" si="33"/>
        <v>0</v>
      </c>
      <c r="AO25" s="123">
        <f t="shared" si="33"/>
        <v>0</v>
      </c>
      <c r="AP25" s="104">
        <f t="shared" si="33"/>
        <v>220</v>
      </c>
      <c r="AQ25" s="123">
        <f t="shared" si="33"/>
        <v>0</v>
      </c>
      <c r="AR25" s="123">
        <f t="shared" si="33"/>
        <v>0</v>
      </c>
      <c r="AS25" s="334" t="s">
        <v>407</v>
      </c>
      <c r="AT25" s="422" t="s">
        <v>409</v>
      </c>
      <c r="AU25" s="121"/>
      <c r="AV25" s="121"/>
      <c r="AW25" s="155"/>
    </row>
    <row r="26" spans="1:49" s="31" customFormat="1" ht="36">
      <c r="A26" s="362"/>
      <c r="B26" s="371"/>
      <c r="C26" s="329"/>
      <c r="D26" s="332"/>
      <c r="E26" s="108" t="s">
        <v>3</v>
      </c>
      <c r="F26" s="123">
        <f>I26+L26+O26+R26+U26+X26+AA26+AD26+AG26+AJ26+AM26+AP26</f>
        <v>2547.4</v>
      </c>
      <c r="G26" s="123">
        <f>J26+M26+P26+S26+V26+Y26+AB26+AE26+AH26+AK26+AN26+AQ26</f>
        <v>156.89999999999998</v>
      </c>
      <c r="H26" s="123">
        <f>G26/F26*100</f>
        <v>6.1592211666797505</v>
      </c>
      <c r="I26" s="104">
        <v>0</v>
      </c>
      <c r="J26" s="104">
        <v>0</v>
      </c>
      <c r="K26" s="123" t="e">
        <f t="shared" si="21"/>
        <v>#DIV/0!</v>
      </c>
      <c r="L26" s="126">
        <v>124.5</v>
      </c>
      <c r="M26" s="104">
        <v>43.8</v>
      </c>
      <c r="N26" s="123">
        <f t="shared" si="29"/>
        <v>35.180722891566262</v>
      </c>
      <c r="O26" s="104">
        <f>124.6+15.4</f>
        <v>140</v>
      </c>
      <c r="P26" s="104">
        <v>113.1</v>
      </c>
      <c r="Q26" s="123">
        <f t="shared" si="30"/>
        <v>80.785714285714278</v>
      </c>
      <c r="R26" s="104">
        <f>124.5+15.4</f>
        <v>139.9</v>
      </c>
      <c r="S26" s="104">
        <v>0</v>
      </c>
      <c r="T26" s="123">
        <v>0</v>
      </c>
      <c r="U26" s="105">
        <f>141.4+21</f>
        <v>162.4</v>
      </c>
      <c r="V26" s="105">
        <v>0</v>
      </c>
      <c r="W26" s="105">
        <v>0</v>
      </c>
      <c r="X26" s="105">
        <f>141.4+189</f>
        <v>330.4</v>
      </c>
      <c r="Y26" s="105">
        <v>0</v>
      </c>
      <c r="Z26" s="105">
        <f>Y26/X26*100</f>
        <v>0</v>
      </c>
      <c r="AA26" s="105">
        <f>165.8+183.4</f>
        <v>349.20000000000005</v>
      </c>
      <c r="AB26" s="105">
        <v>0</v>
      </c>
      <c r="AC26" s="105">
        <f>AB26/AA26*100</f>
        <v>0</v>
      </c>
      <c r="AD26" s="105">
        <f>165.8+182</f>
        <v>347.8</v>
      </c>
      <c r="AE26" s="105">
        <v>0</v>
      </c>
      <c r="AF26" s="105">
        <f>AE26/AD26*100</f>
        <v>0</v>
      </c>
      <c r="AG26" s="105">
        <f>140.4+122.7+49</f>
        <v>312.10000000000002</v>
      </c>
      <c r="AH26" s="105">
        <v>0</v>
      </c>
      <c r="AI26" s="105">
        <f>AH26/AG26*100</f>
        <v>0</v>
      </c>
      <c r="AJ26" s="104">
        <f>235.9+21</f>
        <v>256.89999999999998</v>
      </c>
      <c r="AK26" s="104">
        <v>0</v>
      </c>
      <c r="AL26" s="104">
        <v>0</v>
      </c>
      <c r="AM26" s="105">
        <f>143.2+21</f>
        <v>164.2</v>
      </c>
      <c r="AN26" s="105">
        <v>0</v>
      </c>
      <c r="AO26" s="105">
        <v>0</v>
      </c>
      <c r="AP26" s="104">
        <v>220</v>
      </c>
      <c r="AQ26" s="104"/>
      <c r="AR26" s="104"/>
      <c r="AS26" s="335"/>
      <c r="AT26" s="423"/>
      <c r="AU26" s="121"/>
      <c r="AV26" s="121"/>
      <c r="AW26" s="155"/>
    </row>
    <row r="27" spans="1:49" s="31" customFormat="1" ht="12.75">
      <c r="A27" s="362"/>
      <c r="B27" s="371"/>
      <c r="C27" s="329"/>
      <c r="D27" s="332"/>
      <c r="E27" s="108" t="s">
        <v>44</v>
      </c>
      <c r="F27" s="123">
        <f t="shared" ref="F27:G28" si="35">I27+L27+O27+R27+U27+X27+AA27+AD27+AG27+AJ27+AM27+AP27</f>
        <v>2668.2</v>
      </c>
      <c r="G27" s="123">
        <f t="shared" si="35"/>
        <v>711.8</v>
      </c>
      <c r="H27" s="123">
        <v>0</v>
      </c>
      <c r="I27" s="123">
        <v>108.8</v>
      </c>
      <c r="J27" s="123">
        <v>97.9</v>
      </c>
      <c r="K27" s="123">
        <v>0</v>
      </c>
      <c r="L27" s="123">
        <v>460.4</v>
      </c>
      <c r="M27" s="123">
        <v>419.7</v>
      </c>
      <c r="N27" s="123">
        <v>0</v>
      </c>
      <c r="O27" s="123">
        <v>231.1</v>
      </c>
      <c r="P27" s="123">
        <v>194.2</v>
      </c>
      <c r="Q27" s="123">
        <v>0</v>
      </c>
      <c r="R27" s="123">
        <v>228.5</v>
      </c>
      <c r="S27" s="123">
        <v>0</v>
      </c>
      <c r="T27" s="123">
        <v>0</v>
      </c>
      <c r="U27" s="117">
        <v>236.6</v>
      </c>
      <c r="V27" s="117">
        <v>0</v>
      </c>
      <c r="W27" s="117">
        <v>0</v>
      </c>
      <c r="X27" s="117">
        <v>275.10000000000002</v>
      </c>
      <c r="Y27" s="117">
        <v>0</v>
      </c>
      <c r="Z27" s="117">
        <v>0</v>
      </c>
      <c r="AA27" s="123">
        <v>316.60000000000002</v>
      </c>
      <c r="AB27" s="123">
        <v>0</v>
      </c>
      <c r="AC27" s="123">
        <v>0</v>
      </c>
      <c r="AD27" s="117">
        <v>285.3</v>
      </c>
      <c r="AE27" s="117">
        <v>0</v>
      </c>
      <c r="AF27" s="117">
        <v>0</v>
      </c>
      <c r="AG27" s="117">
        <v>208.6</v>
      </c>
      <c r="AH27" s="117">
        <v>0</v>
      </c>
      <c r="AI27" s="117">
        <v>0</v>
      </c>
      <c r="AJ27" s="123">
        <v>281.2</v>
      </c>
      <c r="AK27" s="123">
        <v>0</v>
      </c>
      <c r="AL27" s="123">
        <v>0</v>
      </c>
      <c r="AM27" s="117">
        <v>36</v>
      </c>
      <c r="AN27" s="117">
        <v>0</v>
      </c>
      <c r="AO27" s="117">
        <v>0</v>
      </c>
      <c r="AP27" s="117">
        <v>0</v>
      </c>
      <c r="AQ27" s="123"/>
      <c r="AR27" s="123"/>
      <c r="AS27" s="335"/>
      <c r="AT27" s="423"/>
      <c r="AU27" s="121"/>
      <c r="AV27" s="121"/>
      <c r="AW27" s="155"/>
    </row>
    <row r="28" spans="1:49" s="31" customFormat="1" ht="87" customHeight="1">
      <c r="A28" s="363"/>
      <c r="B28" s="372"/>
      <c r="C28" s="330"/>
      <c r="D28" s="333"/>
      <c r="E28" s="109" t="s">
        <v>257</v>
      </c>
      <c r="F28" s="123">
        <f t="shared" si="35"/>
        <v>0</v>
      </c>
      <c r="G28" s="123">
        <f t="shared" si="35"/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23">
        <v>0</v>
      </c>
      <c r="AB28" s="123">
        <v>0</v>
      </c>
      <c r="AC28" s="123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23">
        <v>0</v>
      </c>
      <c r="AK28" s="123">
        <v>0</v>
      </c>
      <c r="AL28" s="123">
        <v>0</v>
      </c>
      <c r="AM28" s="117">
        <v>0</v>
      </c>
      <c r="AN28" s="117">
        <v>0</v>
      </c>
      <c r="AO28" s="117">
        <v>0</v>
      </c>
      <c r="AP28" s="117">
        <v>0</v>
      </c>
      <c r="AQ28" s="123"/>
      <c r="AR28" s="123"/>
      <c r="AS28" s="336"/>
      <c r="AT28" s="424"/>
      <c r="AU28" s="121"/>
      <c r="AV28" s="121"/>
      <c r="AW28" s="155"/>
    </row>
    <row r="29" spans="1:49" s="31" customFormat="1" ht="12.75">
      <c r="A29" s="361" t="s">
        <v>341</v>
      </c>
      <c r="B29" s="325" t="s">
        <v>342</v>
      </c>
      <c r="C29" s="328" t="s">
        <v>268</v>
      </c>
      <c r="D29" s="331" t="s">
        <v>343</v>
      </c>
      <c r="E29" s="107" t="s">
        <v>42</v>
      </c>
      <c r="F29" s="123">
        <f>SUM(F30:F31)</f>
        <v>150</v>
      </c>
      <c r="G29" s="123">
        <f>SUM(G30:G31)</f>
        <v>0</v>
      </c>
      <c r="H29" s="123">
        <f>G29/F29*100</f>
        <v>0</v>
      </c>
      <c r="I29" s="123">
        <f>SUM(I30:I31)</f>
        <v>0</v>
      </c>
      <c r="J29" s="123">
        <f>SUM(J30:J31)</f>
        <v>0</v>
      </c>
      <c r="K29" s="123">
        <f>SUM(K30:K31)</f>
        <v>0</v>
      </c>
      <c r="L29" s="123">
        <f>SUM(L30:L31)</f>
        <v>0</v>
      </c>
      <c r="M29" s="123">
        <f>SUM(M30:M31)</f>
        <v>0</v>
      </c>
      <c r="N29" s="123">
        <v>0</v>
      </c>
      <c r="O29" s="123">
        <f>SUM(O30:O31)</f>
        <v>150</v>
      </c>
      <c r="P29" s="123">
        <f>SUM(P30:P31)</f>
        <v>0</v>
      </c>
      <c r="Q29" s="123">
        <v>0</v>
      </c>
      <c r="R29" s="123">
        <f>SUM(R30:R31)</f>
        <v>0</v>
      </c>
      <c r="S29" s="123">
        <f>SUM(S30:S31)</f>
        <v>0</v>
      </c>
      <c r="T29" s="123">
        <v>0</v>
      </c>
      <c r="U29" s="123">
        <f t="shared" ref="U29:AH29" si="36">SUM(U30:U31)</f>
        <v>0</v>
      </c>
      <c r="V29" s="123">
        <f t="shared" si="36"/>
        <v>0</v>
      </c>
      <c r="W29" s="123">
        <f t="shared" si="36"/>
        <v>0</v>
      </c>
      <c r="X29" s="123">
        <f t="shared" si="36"/>
        <v>0</v>
      </c>
      <c r="Y29" s="123">
        <f t="shared" si="36"/>
        <v>0</v>
      </c>
      <c r="Z29" s="123">
        <f t="shared" si="36"/>
        <v>0</v>
      </c>
      <c r="AA29" s="104">
        <f t="shared" si="36"/>
        <v>0</v>
      </c>
      <c r="AB29" s="123">
        <f t="shared" si="36"/>
        <v>0</v>
      </c>
      <c r="AC29" s="123">
        <f t="shared" si="36"/>
        <v>0</v>
      </c>
      <c r="AD29" s="104">
        <f t="shared" si="36"/>
        <v>0</v>
      </c>
      <c r="AE29" s="104">
        <f t="shared" si="36"/>
        <v>0</v>
      </c>
      <c r="AF29" s="104">
        <f t="shared" si="36"/>
        <v>0</v>
      </c>
      <c r="AG29" s="104">
        <f t="shared" si="36"/>
        <v>0</v>
      </c>
      <c r="AH29" s="123">
        <f t="shared" si="36"/>
        <v>0</v>
      </c>
      <c r="AI29" s="117">
        <v>0</v>
      </c>
      <c r="AJ29" s="123">
        <f t="shared" ref="AJ29:AR29" si="37">SUM(AJ30:AJ31)</f>
        <v>0</v>
      </c>
      <c r="AK29" s="123">
        <f t="shared" si="37"/>
        <v>0</v>
      </c>
      <c r="AL29" s="123">
        <f t="shared" si="37"/>
        <v>0</v>
      </c>
      <c r="AM29" s="104">
        <f t="shared" si="37"/>
        <v>0</v>
      </c>
      <c r="AN29" s="123">
        <f t="shared" si="37"/>
        <v>0</v>
      </c>
      <c r="AO29" s="123">
        <f t="shared" si="37"/>
        <v>0</v>
      </c>
      <c r="AP29" s="104">
        <f t="shared" si="37"/>
        <v>0</v>
      </c>
      <c r="AQ29" s="123">
        <f t="shared" si="37"/>
        <v>0</v>
      </c>
      <c r="AR29" s="123">
        <f t="shared" si="37"/>
        <v>0</v>
      </c>
      <c r="AS29" s="334"/>
      <c r="AT29" s="437" t="s">
        <v>411</v>
      </c>
      <c r="AU29" s="121"/>
      <c r="AV29" s="121"/>
      <c r="AW29" s="155"/>
    </row>
    <row r="30" spans="1:49" s="31" customFormat="1" ht="36">
      <c r="A30" s="362"/>
      <c r="B30" s="326"/>
      <c r="C30" s="329"/>
      <c r="D30" s="332"/>
      <c r="E30" s="108" t="s">
        <v>3</v>
      </c>
      <c r="F30" s="123">
        <f>I30+L30+O30+R30+U30+X30+AA30+AD30+AG30+AJ30+AM30+AP30</f>
        <v>0</v>
      </c>
      <c r="G30" s="123">
        <f>J30+M30+P30+S30+V30+Y30+AB30+AE30+AH30+AK30+AN30+AQ30</f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23">
        <v>0</v>
      </c>
      <c r="AB30" s="123">
        <v>0</v>
      </c>
      <c r="AC30" s="123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23">
        <v>0</v>
      </c>
      <c r="AK30" s="123">
        <v>0</v>
      </c>
      <c r="AL30" s="123">
        <v>0</v>
      </c>
      <c r="AM30" s="117">
        <v>0</v>
      </c>
      <c r="AN30" s="117">
        <v>0</v>
      </c>
      <c r="AO30" s="117">
        <v>0</v>
      </c>
      <c r="AP30" s="117">
        <v>0</v>
      </c>
      <c r="AQ30" s="123"/>
      <c r="AR30" s="123"/>
      <c r="AS30" s="335"/>
      <c r="AT30" s="438"/>
      <c r="AU30" s="121"/>
      <c r="AV30" s="121"/>
      <c r="AW30" s="155"/>
    </row>
    <row r="31" spans="1:49" s="31" customFormat="1" ht="49.5" customHeight="1">
      <c r="A31" s="362"/>
      <c r="B31" s="326"/>
      <c r="C31" s="329"/>
      <c r="D31" s="332"/>
      <c r="E31" s="108" t="s">
        <v>44</v>
      </c>
      <c r="F31" s="123">
        <f t="shared" ref="F31:G31" si="38">I31+L31+O31+R31+U31+X31+AA31+AD31+AG31+AJ31+AM31+AP31</f>
        <v>150</v>
      </c>
      <c r="G31" s="123">
        <f t="shared" si="38"/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150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23">
        <v>0</v>
      </c>
      <c r="AB31" s="123">
        <v>0</v>
      </c>
      <c r="AC31" s="123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23">
        <v>0</v>
      </c>
      <c r="AK31" s="123">
        <v>0</v>
      </c>
      <c r="AL31" s="123">
        <v>0</v>
      </c>
      <c r="AM31" s="117">
        <v>0</v>
      </c>
      <c r="AN31" s="117">
        <v>0</v>
      </c>
      <c r="AO31" s="117">
        <v>0</v>
      </c>
      <c r="AP31" s="117">
        <v>0</v>
      </c>
      <c r="AQ31" s="123"/>
      <c r="AR31" s="123"/>
      <c r="AS31" s="335"/>
      <c r="AT31" s="439"/>
      <c r="AU31" s="121"/>
      <c r="AV31" s="121"/>
      <c r="AW31" s="155"/>
    </row>
    <row r="32" spans="1:49" s="31" customFormat="1" ht="15.75">
      <c r="A32" s="346" t="s">
        <v>344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8"/>
    </row>
    <row r="33" spans="1:49" s="100" customFormat="1" ht="12.75">
      <c r="A33" s="349" t="s">
        <v>345</v>
      </c>
      <c r="B33" s="350"/>
      <c r="C33" s="350"/>
      <c r="D33" s="351"/>
      <c r="E33" s="129" t="s">
        <v>42</v>
      </c>
      <c r="F33" s="106">
        <f>F34+F35+F36</f>
        <v>33940.800000000003</v>
      </c>
      <c r="G33" s="106">
        <f t="shared" ref="G33:AR33" si="39">G34+G35+G36</f>
        <v>5142.1000000000004</v>
      </c>
      <c r="H33" s="106">
        <f>G33/F33*100</f>
        <v>15.150202705887899</v>
      </c>
      <c r="I33" s="106">
        <f t="shared" si="39"/>
        <v>556</v>
      </c>
      <c r="J33" s="106">
        <f t="shared" si="39"/>
        <v>556</v>
      </c>
      <c r="K33" s="106">
        <f>J33/I33*100</f>
        <v>100</v>
      </c>
      <c r="L33" s="106">
        <f t="shared" si="39"/>
        <v>2428</v>
      </c>
      <c r="M33" s="106">
        <f t="shared" si="39"/>
        <v>2369.3000000000002</v>
      </c>
      <c r="N33" s="106">
        <f>M33/L33*100</f>
        <v>97.582372322899516</v>
      </c>
      <c r="O33" s="106">
        <f t="shared" si="39"/>
        <v>2242</v>
      </c>
      <c r="P33" s="106">
        <f t="shared" si="39"/>
        <v>2216.8000000000002</v>
      </c>
      <c r="Q33" s="106">
        <f>P33/O33*100</f>
        <v>98.876003568242652</v>
      </c>
      <c r="R33" s="106">
        <f t="shared" si="39"/>
        <v>3060</v>
      </c>
      <c r="S33" s="106">
        <f t="shared" si="39"/>
        <v>0</v>
      </c>
      <c r="T33" s="106">
        <f>S33/R33*100</f>
        <v>0</v>
      </c>
      <c r="U33" s="106">
        <f t="shared" si="39"/>
        <v>2489</v>
      </c>
      <c r="V33" s="106">
        <f t="shared" si="39"/>
        <v>0</v>
      </c>
      <c r="W33" s="106">
        <f t="shared" si="39"/>
        <v>0</v>
      </c>
      <c r="X33" s="106">
        <f t="shared" si="39"/>
        <v>2628</v>
      </c>
      <c r="Y33" s="106">
        <f t="shared" si="39"/>
        <v>0</v>
      </c>
      <c r="Z33" s="106">
        <f t="shared" si="39"/>
        <v>0</v>
      </c>
      <c r="AA33" s="106">
        <f t="shared" si="39"/>
        <v>3576</v>
      </c>
      <c r="AB33" s="106">
        <f t="shared" si="39"/>
        <v>0</v>
      </c>
      <c r="AC33" s="106">
        <f t="shared" si="39"/>
        <v>0</v>
      </c>
      <c r="AD33" s="106">
        <f t="shared" si="39"/>
        <v>2569</v>
      </c>
      <c r="AE33" s="106">
        <f t="shared" si="39"/>
        <v>0</v>
      </c>
      <c r="AF33" s="106">
        <f t="shared" ref="AF33:AF35" si="40">AE33/AD33*100</f>
        <v>0</v>
      </c>
      <c r="AG33" s="106">
        <f t="shared" si="39"/>
        <v>2544</v>
      </c>
      <c r="AH33" s="106">
        <f t="shared" si="39"/>
        <v>0</v>
      </c>
      <c r="AI33" s="106">
        <f t="shared" si="39"/>
        <v>0</v>
      </c>
      <c r="AJ33" s="106">
        <f t="shared" si="39"/>
        <v>2984</v>
      </c>
      <c r="AK33" s="106">
        <f t="shared" si="39"/>
        <v>0</v>
      </c>
      <c r="AL33" s="106">
        <f t="shared" si="39"/>
        <v>0</v>
      </c>
      <c r="AM33" s="106">
        <f t="shared" si="39"/>
        <v>2265.6</v>
      </c>
      <c r="AN33" s="106">
        <f t="shared" si="39"/>
        <v>0</v>
      </c>
      <c r="AO33" s="106">
        <f t="shared" si="39"/>
        <v>0</v>
      </c>
      <c r="AP33" s="106">
        <f t="shared" si="39"/>
        <v>6599.2</v>
      </c>
      <c r="AQ33" s="106">
        <f t="shared" si="39"/>
        <v>0</v>
      </c>
      <c r="AR33" s="106">
        <f t="shared" si="39"/>
        <v>0</v>
      </c>
      <c r="AS33" s="364"/>
      <c r="AT33" s="358"/>
      <c r="AU33" s="121"/>
      <c r="AV33" s="121"/>
      <c r="AW33" s="155"/>
    </row>
    <row r="34" spans="1:49" s="100" customFormat="1" ht="36">
      <c r="A34" s="352"/>
      <c r="B34" s="353"/>
      <c r="C34" s="353"/>
      <c r="D34" s="354"/>
      <c r="E34" s="111" t="s">
        <v>3</v>
      </c>
      <c r="F34" s="106">
        <f>F43</f>
        <v>30600.9</v>
      </c>
      <c r="G34" s="106">
        <f t="shared" ref="G34:AR36" si="41">G43</f>
        <v>4083.1000000000004</v>
      </c>
      <c r="H34" s="106">
        <f>G34/F34*100</f>
        <v>13.343071609004964</v>
      </c>
      <c r="I34" s="106">
        <f t="shared" si="41"/>
        <v>0</v>
      </c>
      <c r="J34" s="106">
        <f t="shared" si="41"/>
        <v>0</v>
      </c>
      <c r="K34" s="106" t="e">
        <f t="shared" ref="K34:K35" si="42">J34/I34*100</f>
        <v>#DIV/0!</v>
      </c>
      <c r="L34" s="106">
        <f t="shared" si="41"/>
        <v>2178</v>
      </c>
      <c r="M34" s="106">
        <f t="shared" si="41"/>
        <v>2119.3000000000002</v>
      </c>
      <c r="N34" s="106">
        <f t="shared" ref="N34:N35" si="43">M34/L34*100</f>
        <v>97.304866850321403</v>
      </c>
      <c r="O34" s="106">
        <f t="shared" si="41"/>
        <v>1989</v>
      </c>
      <c r="P34" s="106">
        <f t="shared" si="41"/>
        <v>1963.8</v>
      </c>
      <c r="Q34" s="106">
        <f t="shared" ref="Q34:Q35" si="44">P34/O34*100</f>
        <v>98.733031674208135</v>
      </c>
      <c r="R34" s="106">
        <f t="shared" si="41"/>
        <v>3010</v>
      </c>
      <c r="S34" s="106">
        <f t="shared" si="41"/>
        <v>0</v>
      </c>
      <c r="T34" s="106">
        <f t="shared" ref="T34:T35" si="45">S34/R34*100</f>
        <v>0</v>
      </c>
      <c r="U34" s="106">
        <f t="shared" si="41"/>
        <v>2037</v>
      </c>
      <c r="V34" s="106">
        <f t="shared" si="41"/>
        <v>0</v>
      </c>
      <c r="W34" s="106">
        <f t="shared" si="41"/>
        <v>0</v>
      </c>
      <c r="X34" s="106">
        <f t="shared" si="41"/>
        <v>2578</v>
      </c>
      <c r="Y34" s="106">
        <f t="shared" si="41"/>
        <v>0</v>
      </c>
      <c r="Z34" s="106">
        <f t="shared" si="41"/>
        <v>0</v>
      </c>
      <c r="AA34" s="106">
        <f t="shared" si="41"/>
        <v>3526</v>
      </c>
      <c r="AB34" s="106">
        <f t="shared" si="41"/>
        <v>0</v>
      </c>
      <c r="AC34" s="106">
        <f t="shared" si="41"/>
        <v>0</v>
      </c>
      <c r="AD34" s="106">
        <f t="shared" si="41"/>
        <v>2117</v>
      </c>
      <c r="AE34" s="106">
        <f t="shared" si="41"/>
        <v>0</v>
      </c>
      <c r="AF34" s="106">
        <f t="shared" si="40"/>
        <v>0</v>
      </c>
      <c r="AG34" s="106">
        <f t="shared" si="41"/>
        <v>2494</v>
      </c>
      <c r="AH34" s="106">
        <f t="shared" si="41"/>
        <v>0</v>
      </c>
      <c r="AI34" s="106">
        <f t="shared" si="41"/>
        <v>0</v>
      </c>
      <c r="AJ34" s="106">
        <f t="shared" si="41"/>
        <v>2934</v>
      </c>
      <c r="AK34" s="106">
        <f t="shared" si="41"/>
        <v>0</v>
      </c>
      <c r="AL34" s="106">
        <f t="shared" si="41"/>
        <v>0</v>
      </c>
      <c r="AM34" s="106">
        <f t="shared" si="41"/>
        <v>1812</v>
      </c>
      <c r="AN34" s="106">
        <f t="shared" si="41"/>
        <v>0</v>
      </c>
      <c r="AO34" s="106">
        <f t="shared" si="41"/>
        <v>0</v>
      </c>
      <c r="AP34" s="106">
        <f t="shared" si="41"/>
        <v>5925.9</v>
      </c>
      <c r="AQ34" s="106">
        <f t="shared" si="41"/>
        <v>0</v>
      </c>
      <c r="AR34" s="106">
        <f t="shared" si="41"/>
        <v>0</v>
      </c>
      <c r="AS34" s="365"/>
      <c r="AT34" s="359"/>
      <c r="AU34" s="121"/>
      <c r="AV34" s="121"/>
      <c r="AW34" s="155"/>
    </row>
    <row r="35" spans="1:49" s="100" customFormat="1" ht="24">
      <c r="A35" s="352"/>
      <c r="B35" s="353"/>
      <c r="C35" s="353"/>
      <c r="D35" s="354"/>
      <c r="E35" s="111" t="s">
        <v>44</v>
      </c>
      <c r="F35" s="106">
        <f>F44</f>
        <v>3339.8999999999996</v>
      </c>
      <c r="G35" s="106">
        <f t="shared" si="41"/>
        <v>1059</v>
      </c>
      <c r="H35" s="106">
        <f>G35/F35*100</f>
        <v>31.70753615377706</v>
      </c>
      <c r="I35" s="106">
        <f t="shared" si="41"/>
        <v>556</v>
      </c>
      <c r="J35" s="106">
        <f t="shared" si="41"/>
        <v>556</v>
      </c>
      <c r="K35" s="106">
        <f t="shared" si="42"/>
        <v>100</v>
      </c>
      <c r="L35" s="106">
        <f t="shared" si="41"/>
        <v>250</v>
      </c>
      <c r="M35" s="106">
        <f t="shared" si="41"/>
        <v>250</v>
      </c>
      <c r="N35" s="106">
        <f t="shared" si="43"/>
        <v>100</v>
      </c>
      <c r="O35" s="106">
        <f t="shared" si="41"/>
        <v>253</v>
      </c>
      <c r="P35" s="106">
        <f t="shared" si="41"/>
        <v>253</v>
      </c>
      <c r="Q35" s="106">
        <f t="shared" si="44"/>
        <v>100</v>
      </c>
      <c r="R35" s="106">
        <f t="shared" si="41"/>
        <v>50</v>
      </c>
      <c r="S35" s="106">
        <f t="shared" si="41"/>
        <v>0</v>
      </c>
      <c r="T35" s="106">
        <f t="shared" si="45"/>
        <v>0</v>
      </c>
      <c r="U35" s="106">
        <f t="shared" si="41"/>
        <v>452</v>
      </c>
      <c r="V35" s="106">
        <f t="shared" si="41"/>
        <v>0</v>
      </c>
      <c r="W35" s="106">
        <f t="shared" si="41"/>
        <v>0</v>
      </c>
      <c r="X35" s="106">
        <f t="shared" si="41"/>
        <v>50</v>
      </c>
      <c r="Y35" s="106">
        <f t="shared" si="41"/>
        <v>0</v>
      </c>
      <c r="Z35" s="106">
        <f t="shared" si="41"/>
        <v>0</v>
      </c>
      <c r="AA35" s="106">
        <f t="shared" si="41"/>
        <v>50</v>
      </c>
      <c r="AB35" s="106">
        <f t="shared" si="41"/>
        <v>0</v>
      </c>
      <c r="AC35" s="106">
        <f t="shared" si="41"/>
        <v>0</v>
      </c>
      <c r="AD35" s="106">
        <f t="shared" si="41"/>
        <v>452</v>
      </c>
      <c r="AE35" s="106">
        <f t="shared" si="41"/>
        <v>0</v>
      </c>
      <c r="AF35" s="106">
        <f t="shared" si="40"/>
        <v>0</v>
      </c>
      <c r="AG35" s="106">
        <f t="shared" si="41"/>
        <v>50</v>
      </c>
      <c r="AH35" s="106">
        <f t="shared" si="41"/>
        <v>0</v>
      </c>
      <c r="AI35" s="106">
        <f t="shared" si="41"/>
        <v>0</v>
      </c>
      <c r="AJ35" s="106">
        <f t="shared" si="41"/>
        <v>50</v>
      </c>
      <c r="AK35" s="106">
        <f t="shared" si="41"/>
        <v>0</v>
      </c>
      <c r="AL35" s="106">
        <f t="shared" si="41"/>
        <v>0</v>
      </c>
      <c r="AM35" s="106">
        <f t="shared" si="41"/>
        <v>453.6</v>
      </c>
      <c r="AN35" s="106">
        <f t="shared" si="41"/>
        <v>0</v>
      </c>
      <c r="AO35" s="106">
        <f t="shared" si="41"/>
        <v>0</v>
      </c>
      <c r="AP35" s="106">
        <f t="shared" si="41"/>
        <v>673.3</v>
      </c>
      <c r="AQ35" s="106">
        <f t="shared" si="41"/>
        <v>0</v>
      </c>
      <c r="AR35" s="106">
        <f t="shared" si="41"/>
        <v>0</v>
      </c>
      <c r="AS35" s="365"/>
      <c r="AT35" s="359"/>
      <c r="AU35" s="121"/>
      <c r="AV35" s="121"/>
      <c r="AW35" s="155"/>
    </row>
    <row r="36" spans="1:49" s="100" customFormat="1" ht="24">
      <c r="A36" s="355"/>
      <c r="B36" s="356"/>
      <c r="C36" s="356"/>
      <c r="D36" s="357"/>
      <c r="E36" s="110" t="s">
        <v>257</v>
      </c>
      <c r="F36" s="106">
        <f>F45</f>
        <v>0</v>
      </c>
      <c r="G36" s="106">
        <f t="shared" si="41"/>
        <v>0</v>
      </c>
      <c r="H36" s="106">
        <v>0</v>
      </c>
      <c r="I36" s="106">
        <f t="shared" si="41"/>
        <v>0</v>
      </c>
      <c r="J36" s="106">
        <f t="shared" si="41"/>
        <v>0</v>
      </c>
      <c r="K36" s="106">
        <v>0</v>
      </c>
      <c r="L36" s="106">
        <f t="shared" si="41"/>
        <v>0</v>
      </c>
      <c r="M36" s="106">
        <f t="shared" si="41"/>
        <v>0</v>
      </c>
      <c r="N36" s="106">
        <v>0</v>
      </c>
      <c r="O36" s="106">
        <f t="shared" si="41"/>
        <v>0</v>
      </c>
      <c r="P36" s="106">
        <f t="shared" si="41"/>
        <v>0</v>
      </c>
      <c r="Q36" s="106">
        <f t="shared" si="41"/>
        <v>0</v>
      </c>
      <c r="R36" s="106">
        <f t="shared" si="41"/>
        <v>0</v>
      </c>
      <c r="S36" s="106">
        <f t="shared" si="41"/>
        <v>0</v>
      </c>
      <c r="T36" s="106">
        <v>0</v>
      </c>
      <c r="U36" s="106">
        <f t="shared" si="41"/>
        <v>0</v>
      </c>
      <c r="V36" s="106">
        <f t="shared" si="41"/>
        <v>0</v>
      </c>
      <c r="W36" s="106">
        <f t="shared" si="41"/>
        <v>0</v>
      </c>
      <c r="X36" s="106">
        <f t="shared" si="41"/>
        <v>0</v>
      </c>
      <c r="Y36" s="106">
        <f t="shared" si="41"/>
        <v>0</v>
      </c>
      <c r="Z36" s="106">
        <f t="shared" si="41"/>
        <v>0</v>
      </c>
      <c r="AA36" s="106">
        <f t="shared" si="41"/>
        <v>0</v>
      </c>
      <c r="AB36" s="106">
        <f t="shared" si="41"/>
        <v>0</v>
      </c>
      <c r="AC36" s="106">
        <f t="shared" si="41"/>
        <v>0</v>
      </c>
      <c r="AD36" s="106">
        <f t="shared" si="41"/>
        <v>0</v>
      </c>
      <c r="AE36" s="106">
        <f t="shared" si="41"/>
        <v>0</v>
      </c>
      <c r="AF36" s="106">
        <f t="shared" si="41"/>
        <v>0</v>
      </c>
      <c r="AG36" s="106">
        <f t="shared" si="41"/>
        <v>0</v>
      </c>
      <c r="AH36" s="106">
        <f t="shared" si="41"/>
        <v>0</v>
      </c>
      <c r="AI36" s="106">
        <f t="shared" si="41"/>
        <v>0</v>
      </c>
      <c r="AJ36" s="106">
        <f t="shared" si="41"/>
        <v>0</v>
      </c>
      <c r="AK36" s="106">
        <f t="shared" si="41"/>
        <v>0</v>
      </c>
      <c r="AL36" s="106">
        <f t="shared" si="41"/>
        <v>0</v>
      </c>
      <c r="AM36" s="106">
        <f t="shared" si="41"/>
        <v>0</v>
      </c>
      <c r="AN36" s="106">
        <f t="shared" si="41"/>
        <v>0</v>
      </c>
      <c r="AO36" s="106">
        <f t="shared" si="41"/>
        <v>0</v>
      </c>
      <c r="AP36" s="106">
        <f t="shared" si="41"/>
        <v>0</v>
      </c>
      <c r="AQ36" s="106">
        <f t="shared" si="41"/>
        <v>0</v>
      </c>
      <c r="AR36" s="106">
        <f t="shared" si="41"/>
        <v>0</v>
      </c>
      <c r="AS36" s="366"/>
      <c r="AT36" s="360"/>
      <c r="AU36" s="121"/>
      <c r="AV36" s="121"/>
      <c r="AW36" s="155"/>
    </row>
    <row r="37" spans="1:49" s="100" customFormat="1" ht="190.5" customHeight="1">
      <c r="A37" s="191" t="s">
        <v>347</v>
      </c>
      <c r="B37" s="161" t="s">
        <v>348</v>
      </c>
      <c r="C37" s="162" t="s">
        <v>349</v>
      </c>
      <c r="D37" s="170" t="s">
        <v>350</v>
      </c>
      <c r="E37" s="143" t="s">
        <v>275</v>
      </c>
      <c r="F37" s="149" t="s">
        <v>279</v>
      </c>
      <c r="G37" s="149" t="s">
        <v>279</v>
      </c>
      <c r="H37" s="149" t="s">
        <v>279</v>
      </c>
      <c r="I37" s="149" t="s">
        <v>279</v>
      </c>
      <c r="J37" s="149" t="s">
        <v>279</v>
      </c>
      <c r="K37" s="149" t="s">
        <v>279</v>
      </c>
      <c r="L37" s="149" t="s">
        <v>279</v>
      </c>
      <c r="M37" s="149" t="s">
        <v>279</v>
      </c>
      <c r="N37" s="149" t="s">
        <v>279</v>
      </c>
      <c r="O37" s="149" t="s">
        <v>279</v>
      </c>
      <c r="P37" s="149" t="s">
        <v>279</v>
      </c>
      <c r="Q37" s="149" t="s">
        <v>279</v>
      </c>
      <c r="R37" s="149" t="s">
        <v>279</v>
      </c>
      <c r="S37" s="149" t="s">
        <v>279</v>
      </c>
      <c r="T37" s="149" t="s">
        <v>279</v>
      </c>
      <c r="U37" s="149" t="s">
        <v>279</v>
      </c>
      <c r="V37" s="149" t="s">
        <v>279</v>
      </c>
      <c r="W37" s="149" t="s">
        <v>279</v>
      </c>
      <c r="X37" s="149" t="s">
        <v>279</v>
      </c>
      <c r="Y37" s="149" t="s">
        <v>279</v>
      </c>
      <c r="Z37" s="149" t="s">
        <v>279</v>
      </c>
      <c r="AA37" s="149" t="s">
        <v>279</v>
      </c>
      <c r="AB37" s="149" t="s">
        <v>279</v>
      </c>
      <c r="AC37" s="149" t="s">
        <v>279</v>
      </c>
      <c r="AD37" s="149" t="s">
        <v>279</v>
      </c>
      <c r="AE37" s="149" t="s">
        <v>279</v>
      </c>
      <c r="AF37" s="149" t="s">
        <v>279</v>
      </c>
      <c r="AG37" s="149" t="s">
        <v>279</v>
      </c>
      <c r="AH37" s="149" t="s">
        <v>279</v>
      </c>
      <c r="AI37" s="149" t="s">
        <v>279</v>
      </c>
      <c r="AJ37" s="149" t="s">
        <v>279</v>
      </c>
      <c r="AK37" s="149" t="s">
        <v>279</v>
      </c>
      <c r="AL37" s="149" t="s">
        <v>279</v>
      </c>
      <c r="AM37" s="149" t="s">
        <v>279</v>
      </c>
      <c r="AN37" s="149" t="s">
        <v>279</v>
      </c>
      <c r="AO37" s="149" t="s">
        <v>279</v>
      </c>
      <c r="AP37" s="149" t="s">
        <v>279</v>
      </c>
      <c r="AQ37" s="149"/>
      <c r="AR37" s="149"/>
      <c r="AS37" s="141" t="s">
        <v>413</v>
      </c>
      <c r="AT37" s="134"/>
      <c r="AU37" s="121"/>
      <c r="AV37" s="121"/>
      <c r="AW37" s="155"/>
    </row>
    <row r="38" spans="1:49" s="100" customFormat="1" ht="108">
      <c r="A38" s="185" t="s">
        <v>351</v>
      </c>
      <c r="B38" s="193" t="s">
        <v>352</v>
      </c>
      <c r="C38" s="160" t="s">
        <v>353</v>
      </c>
      <c r="D38" s="170" t="s">
        <v>354</v>
      </c>
      <c r="E38" s="143" t="s">
        <v>275</v>
      </c>
      <c r="F38" s="149" t="s">
        <v>279</v>
      </c>
      <c r="G38" s="149" t="s">
        <v>279</v>
      </c>
      <c r="H38" s="149" t="s">
        <v>279</v>
      </c>
      <c r="I38" s="149" t="s">
        <v>279</v>
      </c>
      <c r="J38" s="149" t="s">
        <v>279</v>
      </c>
      <c r="K38" s="149" t="s">
        <v>279</v>
      </c>
      <c r="L38" s="149" t="s">
        <v>279</v>
      </c>
      <c r="M38" s="149" t="s">
        <v>279</v>
      </c>
      <c r="N38" s="149" t="s">
        <v>279</v>
      </c>
      <c r="O38" s="149" t="s">
        <v>279</v>
      </c>
      <c r="P38" s="149" t="s">
        <v>279</v>
      </c>
      <c r="Q38" s="149" t="s">
        <v>279</v>
      </c>
      <c r="R38" s="149" t="s">
        <v>279</v>
      </c>
      <c r="S38" s="149" t="s">
        <v>279</v>
      </c>
      <c r="T38" s="149" t="s">
        <v>279</v>
      </c>
      <c r="U38" s="149" t="s">
        <v>279</v>
      </c>
      <c r="V38" s="149" t="s">
        <v>279</v>
      </c>
      <c r="W38" s="149" t="s">
        <v>279</v>
      </c>
      <c r="X38" s="149" t="s">
        <v>279</v>
      </c>
      <c r="Y38" s="149" t="s">
        <v>279</v>
      </c>
      <c r="Z38" s="149" t="s">
        <v>279</v>
      </c>
      <c r="AA38" s="149" t="s">
        <v>279</v>
      </c>
      <c r="AB38" s="149" t="s">
        <v>279</v>
      </c>
      <c r="AC38" s="149" t="s">
        <v>279</v>
      </c>
      <c r="AD38" s="149" t="s">
        <v>279</v>
      </c>
      <c r="AE38" s="149" t="s">
        <v>279</v>
      </c>
      <c r="AF38" s="149" t="s">
        <v>279</v>
      </c>
      <c r="AG38" s="149" t="s">
        <v>279</v>
      </c>
      <c r="AH38" s="149" t="s">
        <v>279</v>
      </c>
      <c r="AI38" s="149" t="s">
        <v>279</v>
      </c>
      <c r="AJ38" s="149" t="s">
        <v>279</v>
      </c>
      <c r="AK38" s="149" t="s">
        <v>279</v>
      </c>
      <c r="AL38" s="149" t="s">
        <v>279</v>
      </c>
      <c r="AM38" s="149" t="s">
        <v>279</v>
      </c>
      <c r="AN38" s="149" t="s">
        <v>279</v>
      </c>
      <c r="AO38" s="149" t="s">
        <v>279</v>
      </c>
      <c r="AP38" s="149" t="s">
        <v>279</v>
      </c>
      <c r="AQ38" s="149"/>
      <c r="AR38" s="149"/>
      <c r="AS38" s="141" t="s">
        <v>414</v>
      </c>
      <c r="AT38" s="134"/>
      <c r="AU38" s="121"/>
      <c r="AV38" s="121"/>
      <c r="AW38" s="155"/>
    </row>
    <row r="39" spans="1:49" s="100" customFormat="1" ht="129.75" customHeight="1">
      <c r="A39" s="191" t="s">
        <v>355</v>
      </c>
      <c r="B39" s="193" t="s">
        <v>356</v>
      </c>
      <c r="C39" s="160" t="s">
        <v>357</v>
      </c>
      <c r="D39" s="170" t="s">
        <v>358</v>
      </c>
      <c r="E39" s="143" t="s">
        <v>275</v>
      </c>
      <c r="F39" s="149" t="s">
        <v>279</v>
      </c>
      <c r="G39" s="149" t="s">
        <v>279</v>
      </c>
      <c r="H39" s="149" t="s">
        <v>279</v>
      </c>
      <c r="I39" s="149" t="s">
        <v>279</v>
      </c>
      <c r="J39" s="149" t="s">
        <v>279</v>
      </c>
      <c r="K39" s="149" t="s">
        <v>279</v>
      </c>
      <c r="L39" s="149" t="s">
        <v>279</v>
      </c>
      <c r="M39" s="149" t="s">
        <v>279</v>
      </c>
      <c r="N39" s="149" t="s">
        <v>279</v>
      </c>
      <c r="O39" s="149" t="s">
        <v>279</v>
      </c>
      <c r="P39" s="149" t="s">
        <v>279</v>
      </c>
      <c r="Q39" s="149" t="s">
        <v>279</v>
      </c>
      <c r="R39" s="149" t="s">
        <v>279</v>
      </c>
      <c r="S39" s="149" t="s">
        <v>279</v>
      </c>
      <c r="T39" s="149" t="s">
        <v>279</v>
      </c>
      <c r="U39" s="149" t="s">
        <v>279</v>
      </c>
      <c r="V39" s="149" t="s">
        <v>279</v>
      </c>
      <c r="W39" s="149" t="s">
        <v>279</v>
      </c>
      <c r="X39" s="149" t="s">
        <v>279</v>
      </c>
      <c r="Y39" s="149" t="s">
        <v>279</v>
      </c>
      <c r="Z39" s="149" t="s">
        <v>279</v>
      </c>
      <c r="AA39" s="149" t="s">
        <v>279</v>
      </c>
      <c r="AB39" s="149" t="s">
        <v>279</v>
      </c>
      <c r="AC39" s="149" t="s">
        <v>279</v>
      </c>
      <c r="AD39" s="149" t="s">
        <v>279</v>
      </c>
      <c r="AE39" s="149" t="s">
        <v>279</v>
      </c>
      <c r="AF39" s="149" t="s">
        <v>279</v>
      </c>
      <c r="AG39" s="149" t="s">
        <v>279</v>
      </c>
      <c r="AH39" s="149" t="s">
        <v>279</v>
      </c>
      <c r="AI39" s="149" t="s">
        <v>279</v>
      </c>
      <c r="AJ39" s="149" t="s">
        <v>279</v>
      </c>
      <c r="AK39" s="149" t="s">
        <v>279</v>
      </c>
      <c r="AL39" s="149" t="s">
        <v>279</v>
      </c>
      <c r="AM39" s="149" t="s">
        <v>279</v>
      </c>
      <c r="AN39" s="149" t="s">
        <v>279</v>
      </c>
      <c r="AO39" s="149" t="s">
        <v>279</v>
      </c>
      <c r="AP39" s="149" t="s">
        <v>279</v>
      </c>
      <c r="AQ39" s="149"/>
      <c r="AR39" s="149"/>
      <c r="AS39" s="209" t="s">
        <v>415</v>
      </c>
      <c r="AT39" s="134"/>
      <c r="AU39" s="121"/>
      <c r="AV39" s="121"/>
      <c r="AW39" s="155"/>
    </row>
    <row r="40" spans="1:49" s="100" customFormat="1" ht="217.5" customHeight="1">
      <c r="A40" s="191" t="s">
        <v>359</v>
      </c>
      <c r="B40" s="193" t="s">
        <v>360</v>
      </c>
      <c r="C40" s="160" t="s">
        <v>357</v>
      </c>
      <c r="D40" s="170" t="s">
        <v>358</v>
      </c>
      <c r="E40" s="143" t="s">
        <v>275</v>
      </c>
      <c r="F40" s="149" t="s">
        <v>279</v>
      </c>
      <c r="G40" s="149" t="s">
        <v>279</v>
      </c>
      <c r="H40" s="149" t="s">
        <v>279</v>
      </c>
      <c r="I40" s="149" t="s">
        <v>279</v>
      </c>
      <c r="J40" s="149" t="s">
        <v>279</v>
      </c>
      <c r="K40" s="149" t="s">
        <v>279</v>
      </c>
      <c r="L40" s="149" t="s">
        <v>279</v>
      </c>
      <c r="M40" s="149" t="s">
        <v>279</v>
      </c>
      <c r="N40" s="149" t="s">
        <v>279</v>
      </c>
      <c r="O40" s="149" t="s">
        <v>279</v>
      </c>
      <c r="P40" s="149" t="s">
        <v>279</v>
      </c>
      <c r="Q40" s="149" t="s">
        <v>279</v>
      </c>
      <c r="R40" s="149" t="s">
        <v>279</v>
      </c>
      <c r="S40" s="149" t="s">
        <v>279</v>
      </c>
      <c r="T40" s="149" t="s">
        <v>279</v>
      </c>
      <c r="U40" s="149" t="s">
        <v>279</v>
      </c>
      <c r="V40" s="149" t="s">
        <v>279</v>
      </c>
      <c r="W40" s="149" t="s">
        <v>279</v>
      </c>
      <c r="X40" s="149" t="s">
        <v>279</v>
      </c>
      <c r="Y40" s="149" t="s">
        <v>279</v>
      </c>
      <c r="Z40" s="149" t="s">
        <v>279</v>
      </c>
      <c r="AA40" s="149" t="s">
        <v>279</v>
      </c>
      <c r="AB40" s="149" t="s">
        <v>279</v>
      </c>
      <c r="AC40" s="149" t="s">
        <v>279</v>
      </c>
      <c r="AD40" s="149" t="s">
        <v>279</v>
      </c>
      <c r="AE40" s="149" t="s">
        <v>279</v>
      </c>
      <c r="AF40" s="149" t="s">
        <v>279</v>
      </c>
      <c r="AG40" s="149" t="s">
        <v>279</v>
      </c>
      <c r="AH40" s="149" t="s">
        <v>279</v>
      </c>
      <c r="AI40" s="149" t="s">
        <v>279</v>
      </c>
      <c r="AJ40" s="149" t="s">
        <v>279</v>
      </c>
      <c r="AK40" s="149" t="s">
        <v>279</v>
      </c>
      <c r="AL40" s="149" t="s">
        <v>279</v>
      </c>
      <c r="AM40" s="149" t="s">
        <v>279</v>
      </c>
      <c r="AN40" s="149" t="s">
        <v>279</v>
      </c>
      <c r="AO40" s="149" t="s">
        <v>279</v>
      </c>
      <c r="AP40" s="149" t="s">
        <v>279</v>
      </c>
      <c r="AQ40" s="149"/>
      <c r="AR40" s="149"/>
      <c r="AS40" s="141" t="s">
        <v>416</v>
      </c>
      <c r="AT40" s="134"/>
      <c r="AU40" s="121"/>
      <c r="AV40" s="121"/>
      <c r="AW40" s="155"/>
    </row>
    <row r="41" spans="1:49" s="100" customFormat="1" ht="54" customHeight="1">
      <c r="A41" s="191" t="s">
        <v>361</v>
      </c>
      <c r="B41" s="193" t="s">
        <v>362</v>
      </c>
      <c r="C41" s="160" t="s">
        <v>363</v>
      </c>
      <c r="D41" s="170" t="s">
        <v>364</v>
      </c>
      <c r="E41" s="143" t="s">
        <v>275</v>
      </c>
      <c r="F41" s="149" t="s">
        <v>279</v>
      </c>
      <c r="G41" s="149" t="s">
        <v>279</v>
      </c>
      <c r="H41" s="149" t="s">
        <v>279</v>
      </c>
      <c r="I41" s="149" t="s">
        <v>279</v>
      </c>
      <c r="J41" s="149" t="s">
        <v>279</v>
      </c>
      <c r="K41" s="149" t="s">
        <v>279</v>
      </c>
      <c r="L41" s="149" t="s">
        <v>279</v>
      </c>
      <c r="M41" s="149" t="s">
        <v>279</v>
      </c>
      <c r="N41" s="149" t="s">
        <v>279</v>
      </c>
      <c r="O41" s="149" t="s">
        <v>279</v>
      </c>
      <c r="P41" s="149" t="s">
        <v>279</v>
      </c>
      <c r="Q41" s="149" t="s">
        <v>279</v>
      </c>
      <c r="R41" s="149" t="s">
        <v>279</v>
      </c>
      <c r="S41" s="149" t="s">
        <v>279</v>
      </c>
      <c r="T41" s="149" t="s">
        <v>279</v>
      </c>
      <c r="U41" s="149" t="s">
        <v>279</v>
      </c>
      <c r="V41" s="149" t="s">
        <v>279</v>
      </c>
      <c r="W41" s="149" t="s">
        <v>279</v>
      </c>
      <c r="X41" s="149" t="s">
        <v>279</v>
      </c>
      <c r="Y41" s="149" t="s">
        <v>279</v>
      </c>
      <c r="Z41" s="149" t="s">
        <v>279</v>
      </c>
      <c r="AA41" s="149" t="s">
        <v>279</v>
      </c>
      <c r="AB41" s="149" t="s">
        <v>279</v>
      </c>
      <c r="AC41" s="149" t="s">
        <v>279</v>
      </c>
      <c r="AD41" s="149" t="s">
        <v>279</v>
      </c>
      <c r="AE41" s="149" t="s">
        <v>279</v>
      </c>
      <c r="AF41" s="149" t="s">
        <v>279</v>
      </c>
      <c r="AG41" s="149" t="s">
        <v>279</v>
      </c>
      <c r="AH41" s="149" t="s">
        <v>279</v>
      </c>
      <c r="AI41" s="149" t="s">
        <v>279</v>
      </c>
      <c r="AJ41" s="149" t="s">
        <v>279</v>
      </c>
      <c r="AK41" s="149" t="s">
        <v>279</v>
      </c>
      <c r="AL41" s="149" t="s">
        <v>279</v>
      </c>
      <c r="AM41" s="149" t="s">
        <v>279</v>
      </c>
      <c r="AN41" s="149" t="s">
        <v>279</v>
      </c>
      <c r="AO41" s="149" t="s">
        <v>279</v>
      </c>
      <c r="AP41" s="149" t="s">
        <v>279</v>
      </c>
      <c r="AQ41" s="149"/>
      <c r="AR41" s="149"/>
      <c r="AS41" s="141" t="s">
        <v>417</v>
      </c>
      <c r="AT41" s="134"/>
      <c r="AU41" s="121"/>
      <c r="AV41" s="121"/>
      <c r="AW41" s="155"/>
    </row>
    <row r="42" spans="1:49" s="31" customFormat="1" ht="12.75">
      <c r="A42" s="367" t="s">
        <v>365</v>
      </c>
      <c r="B42" s="370" t="s">
        <v>366</v>
      </c>
      <c r="C42" s="373" t="s">
        <v>269</v>
      </c>
      <c r="D42" s="331" t="s">
        <v>367</v>
      </c>
      <c r="E42" s="107" t="s">
        <v>42</v>
      </c>
      <c r="F42" s="123">
        <f>SUM(F43:F45)</f>
        <v>33940.800000000003</v>
      </c>
      <c r="G42" s="123">
        <f t="shared" ref="G42" si="46">SUM(G43:G45)</f>
        <v>5142.1000000000004</v>
      </c>
      <c r="H42" s="123">
        <f>G42/F42*100</f>
        <v>15.150202705887899</v>
      </c>
      <c r="I42" s="132">
        <f>I43+I44+I45</f>
        <v>556</v>
      </c>
      <c r="J42" s="132">
        <f>J43+J44+J45</f>
        <v>556</v>
      </c>
      <c r="K42" s="123">
        <f t="shared" ref="K42:K44" si="47">J42/I42*100</f>
        <v>100</v>
      </c>
      <c r="L42" s="132">
        <f>L43+L44+L45</f>
        <v>2428</v>
      </c>
      <c r="M42" s="132">
        <f>M43+M44+M45</f>
        <v>2369.3000000000002</v>
      </c>
      <c r="N42" s="132">
        <f>M42/L42*100</f>
        <v>97.582372322899516</v>
      </c>
      <c r="O42" s="132">
        <f>O43+O44+O45</f>
        <v>2242</v>
      </c>
      <c r="P42" s="132">
        <f>P43+P44+P45</f>
        <v>2216.8000000000002</v>
      </c>
      <c r="Q42" s="123">
        <f t="shared" ref="Q42:Q44" si="48">P42/O42*100</f>
        <v>98.876003568242652</v>
      </c>
      <c r="R42" s="132">
        <f>R43+R44+R45</f>
        <v>3060</v>
      </c>
      <c r="S42" s="132">
        <f>S43+S44+S45</f>
        <v>0</v>
      </c>
      <c r="T42" s="132">
        <f>S42/R42*100</f>
        <v>0</v>
      </c>
      <c r="U42" s="132">
        <f t="shared" ref="U42:AP42" si="49">U43+U44+U45</f>
        <v>2489</v>
      </c>
      <c r="V42" s="132">
        <f t="shared" si="49"/>
        <v>0</v>
      </c>
      <c r="W42" s="132">
        <f>V42/U42*100</f>
        <v>0</v>
      </c>
      <c r="X42" s="132">
        <f t="shared" si="49"/>
        <v>2628</v>
      </c>
      <c r="Y42" s="132">
        <f t="shared" si="49"/>
        <v>0</v>
      </c>
      <c r="Z42" s="132">
        <f>Y42/X42*100</f>
        <v>0</v>
      </c>
      <c r="AA42" s="132">
        <f t="shared" si="49"/>
        <v>3576</v>
      </c>
      <c r="AB42" s="132">
        <f t="shared" si="49"/>
        <v>0</v>
      </c>
      <c r="AC42" s="132">
        <f>AB42/AA42*100</f>
        <v>0</v>
      </c>
      <c r="AD42" s="132">
        <f t="shared" si="49"/>
        <v>2569</v>
      </c>
      <c r="AE42" s="132">
        <f t="shared" si="49"/>
        <v>0</v>
      </c>
      <c r="AF42" s="132">
        <f>AE42/AD42*100</f>
        <v>0</v>
      </c>
      <c r="AG42" s="132">
        <f t="shared" si="49"/>
        <v>2544</v>
      </c>
      <c r="AH42" s="132">
        <f t="shared" si="49"/>
        <v>0</v>
      </c>
      <c r="AI42" s="117">
        <f>AH42/AG42*100</f>
        <v>0</v>
      </c>
      <c r="AJ42" s="132">
        <f t="shared" si="49"/>
        <v>2984</v>
      </c>
      <c r="AK42" s="132">
        <f t="shared" si="49"/>
        <v>0</v>
      </c>
      <c r="AL42" s="132">
        <f t="shared" si="49"/>
        <v>0</v>
      </c>
      <c r="AM42" s="132">
        <f t="shared" si="49"/>
        <v>2265.6</v>
      </c>
      <c r="AN42" s="132">
        <f t="shared" si="49"/>
        <v>0</v>
      </c>
      <c r="AO42" s="132">
        <f t="shared" si="49"/>
        <v>0</v>
      </c>
      <c r="AP42" s="132">
        <f t="shared" si="49"/>
        <v>6599.2</v>
      </c>
      <c r="AQ42" s="104"/>
      <c r="AR42" s="104"/>
      <c r="AS42" s="334" t="s">
        <v>418</v>
      </c>
      <c r="AT42" s="434" t="s">
        <v>412</v>
      </c>
      <c r="AU42" s="121"/>
      <c r="AV42" s="121"/>
      <c r="AW42" s="155"/>
    </row>
    <row r="43" spans="1:49" s="31" customFormat="1" ht="36">
      <c r="A43" s="368"/>
      <c r="B43" s="371"/>
      <c r="C43" s="374"/>
      <c r="D43" s="332"/>
      <c r="E43" s="108" t="s">
        <v>3</v>
      </c>
      <c r="F43" s="123">
        <f>I43+L43+O43+R43+U43+X43+AA43+AD43+AG43+AJ43+AM43+AP43</f>
        <v>30600.9</v>
      </c>
      <c r="G43" s="123">
        <f>J43+M43+P43+S43+V43+Y43+AB43+AE43+AH43+AK43+AN43+AQ43</f>
        <v>4083.1000000000004</v>
      </c>
      <c r="H43" s="123">
        <f>G43/F43*100</f>
        <v>13.343071609004964</v>
      </c>
      <c r="I43" s="123">
        <v>0</v>
      </c>
      <c r="J43" s="123">
        <v>0</v>
      </c>
      <c r="K43" s="123">
        <v>0</v>
      </c>
      <c r="L43" s="150">
        <v>2178</v>
      </c>
      <c r="M43" s="123">
        <v>2119.3000000000002</v>
      </c>
      <c r="N43" s="138">
        <f t="shared" ref="N43:N44" si="50">M43/L43*100</f>
        <v>97.304866850321403</v>
      </c>
      <c r="O43" s="123">
        <v>1989</v>
      </c>
      <c r="P43" s="123">
        <v>1963.8</v>
      </c>
      <c r="Q43" s="123">
        <f t="shared" si="48"/>
        <v>98.733031674208135</v>
      </c>
      <c r="R43" s="123">
        <v>3010</v>
      </c>
      <c r="S43" s="123">
        <v>0</v>
      </c>
      <c r="T43" s="132">
        <f t="shared" ref="T43:T44" si="51">S43/R43*100</f>
        <v>0</v>
      </c>
      <c r="U43" s="117">
        <v>2037</v>
      </c>
      <c r="V43" s="117">
        <v>0</v>
      </c>
      <c r="W43" s="132">
        <f t="shared" ref="W43:W44" si="52">V43/U43*100</f>
        <v>0</v>
      </c>
      <c r="X43" s="117">
        <v>2578</v>
      </c>
      <c r="Y43" s="117">
        <v>0</v>
      </c>
      <c r="Z43" s="117">
        <f>Y43/X43*100</f>
        <v>0</v>
      </c>
      <c r="AA43" s="117">
        <v>3526</v>
      </c>
      <c r="AB43" s="117">
        <v>0</v>
      </c>
      <c r="AC43" s="117">
        <f>AB43/AA43*100</f>
        <v>0</v>
      </c>
      <c r="AD43" s="117">
        <v>2117</v>
      </c>
      <c r="AE43" s="117">
        <v>0</v>
      </c>
      <c r="AF43" s="117">
        <f>AE43/AD43*100</f>
        <v>0</v>
      </c>
      <c r="AG43" s="117">
        <v>2494</v>
      </c>
      <c r="AH43" s="117">
        <v>0</v>
      </c>
      <c r="AI43" s="117">
        <f>AH43/AG43*100</f>
        <v>0</v>
      </c>
      <c r="AJ43" s="123">
        <v>2934</v>
      </c>
      <c r="AK43" s="123">
        <v>0</v>
      </c>
      <c r="AL43" s="123">
        <v>0</v>
      </c>
      <c r="AM43" s="117">
        <v>1812</v>
      </c>
      <c r="AN43" s="117">
        <v>0</v>
      </c>
      <c r="AO43" s="117">
        <v>0</v>
      </c>
      <c r="AP43" s="123">
        <v>5925.9</v>
      </c>
      <c r="AQ43" s="104"/>
      <c r="AR43" s="104"/>
      <c r="AS43" s="335"/>
      <c r="AT43" s="435"/>
      <c r="AU43" s="121"/>
      <c r="AV43" s="121"/>
      <c r="AW43" s="155"/>
    </row>
    <row r="44" spans="1:49" s="31" customFormat="1" ht="33.75" customHeight="1">
      <c r="A44" s="368"/>
      <c r="B44" s="371"/>
      <c r="C44" s="374"/>
      <c r="D44" s="332"/>
      <c r="E44" s="108" t="s">
        <v>44</v>
      </c>
      <c r="F44" s="123">
        <f t="shared" ref="F44:G45" si="53">I44+L44+O44+R44+U44+X44+AA44+AD44+AG44+AJ44+AM44+AP44</f>
        <v>3339.8999999999996</v>
      </c>
      <c r="G44" s="123">
        <f t="shared" si="53"/>
        <v>1059</v>
      </c>
      <c r="H44" s="123">
        <f>G44/F44*100</f>
        <v>31.70753615377706</v>
      </c>
      <c r="I44" s="123">
        <v>556</v>
      </c>
      <c r="J44" s="123">
        <v>556</v>
      </c>
      <c r="K44" s="123">
        <f t="shared" si="47"/>
        <v>100</v>
      </c>
      <c r="L44" s="150">
        <v>250</v>
      </c>
      <c r="M44" s="123">
        <v>250</v>
      </c>
      <c r="N44" s="138">
        <f t="shared" si="50"/>
        <v>100</v>
      </c>
      <c r="O44" s="123">
        <v>253</v>
      </c>
      <c r="P44" s="123">
        <v>253</v>
      </c>
      <c r="Q44" s="123">
        <f t="shared" si="48"/>
        <v>100</v>
      </c>
      <c r="R44" s="123">
        <v>50</v>
      </c>
      <c r="S44" s="123">
        <v>0</v>
      </c>
      <c r="T44" s="132">
        <f t="shared" si="51"/>
        <v>0</v>
      </c>
      <c r="U44" s="117">
        <v>452</v>
      </c>
      <c r="V44" s="117">
        <v>0</v>
      </c>
      <c r="W44" s="132">
        <f t="shared" si="52"/>
        <v>0</v>
      </c>
      <c r="X44" s="117">
        <v>50</v>
      </c>
      <c r="Y44" s="117">
        <v>0</v>
      </c>
      <c r="Z44" s="117">
        <f>Y44/X44*100</f>
        <v>0</v>
      </c>
      <c r="AA44" s="117">
        <v>50</v>
      </c>
      <c r="AB44" s="117">
        <v>0</v>
      </c>
      <c r="AC44" s="117">
        <f>AB44/AA44*100</f>
        <v>0</v>
      </c>
      <c r="AD44" s="117">
        <v>452</v>
      </c>
      <c r="AE44" s="117">
        <v>0</v>
      </c>
      <c r="AF44" s="117">
        <f>AE44/AD44*100</f>
        <v>0</v>
      </c>
      <c r="AG44" s="117">
        <v>50</v>
      </c>
      <c r="AH44" s="117">
        <v>0</v>
      </c>
      <c r="AI44" s="117">
        <f>AH44/AG44*100</f>
        <v>0</v>
      </c>
      <c r="AJ44" s="123">
        <v>50</v>
      </c>
      <c r="AK44" s="123">
        <v>0</v>
      </c>
      <c r="AL44" s="123">
        <v>0</v>
      </c>
      <c r="AM44" s="117">
        <v>453.6</v>
      </c>
      <c r="AN44" s="117">
        <v>0</v>
      </c>
      <c r="AO44" s="117">
        <v>0</v>
      </c>
      <c r="AP44" s="123">
        <v>673.3</v>
      </c>
      <c r="AQ44" s="104"/>
      <c r="AR44" s="104"/>
      <c r="AS44" s="335"/>
      <c r="AT44" s="435"/>
      <c r="AU44" s="121"/>
      <c r="AV44" s="121"/>
      <c r="AW44" s="155"/>
    </row>
    <row r="45" spans="1:49" s="31" customFormat="1" ht="63" customHeight="1">
      <c r="A45" s="369"/>
      <c r="B45" s="372"/>
      <c r="C45" s="375"/>
      <c r="D45" s="333"/>
      <c r="E45" s="109" t="s">
        <v>257</v>
      </c>
      <c r="F45" s="123">
        <f t="shared" si="53"/>
        <v>0</v>
      </c>
      <c r="G45" s="123">
        <f t="shared" si="53"/>
        <v>0</v>
      </c>
      <c r="H45" s="123">
        <v>0</v>
      </c>
      <c r="I45" s="123">
        <v>0</v>
      </c>
      <c r="J45" s="123">
        <v>0</v>
      </c>
      <c r="K45" s="123">
        <v>0</v>
      </c>
      <c r="L45" s="150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4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23">
        <v>0</v>
      </c>
      <c r="AK45" s="123">
        <v>0</v>
      </c>
      <c r="AL45" s="123">
        <v>0</v>
      </c>
      <c r="AM45" s="117">
        <v>0</v>
      </c>
      <c r="AN45" s="117">
        <v>0</v>
      </c>
      <c r="AO45" s="117">
        <v>0</v>
      </c>
      <c r="AP45" s="123">
        <v>0</v>
      </c>
      <c r="AQ45" s="104"/>
      <c r="AR45" s="104"/>
      <c r="AS45" s="336"/>
      <c r="AT45" s="436"/>
      <c r="AU45" s="121"/>
      <c r="AV45" s="121"/>
      <c r="AW45" s="155"/>
    </row>
    <row r="46" spans="1:49" s="31" customFormat="1" ht="15.75">
      <c r="A46" s="425" t="s">
        <v>368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7"/>
      <c r="AU46" s="121"/>
      <c r="AV46" s="121"/>
      <c r="AW46" s="155"/>
    </row>
    <row r="47" spans="1:49" s="31" customFormat="1" ht="15.75">
      <c r="A47" s="425" t="s">
        <v>369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7"/>
      <c r="AU47" s="121"/>
      <c r="AV47" s="121"/>
      <c r="AW47" s="155"/>
    </row>
    <row r="48" spans="1:49" s="100" customFormat="1" ht="12.75">
      <c r="A48" s="349" t="s">
        <v>270</v>
      </c>
      <c r="B48" s="350"/>
      <c r="C48" s="350"/>
      <c r="D48" s="351"/>
      <c r="E48" s="129" t="s">
        <v>42</v>
      </c>
      <c r="F48" s="106">
        <f>F49+F50+F51</f>
        <v>599.4</v>
      </c>
      <c r="G48" s="106">
        <f t="shared" ref="G48:AR48" si="54">G49+G50+G51</f>
        <v>0</v>
      </c>
      <c r="H48" s="106">
        <f>G48/F48*100</f>
        <v>0</v>
      </c>
      <c r="I48" s="106">
        <f t="shared" si="54"/>
        <v>0</v>
      </c>
      <c r="J48" s="106">
        <f t="shared" si="54"/>
        <v>0</v>
      </c>
      <c r="K48" s="106">
        <v>0</v>
      </c>
      <c r="L48" s="106">
        <f t="shared" si="54"/>
        <v>0</v>
      </c>
      <c r="M48" s="106">
        <f t="shared" si="54"/>
        <v>0</v>
      </c>
      <c r="N48" s="106">
        <v>0</v>
      </c>
      <c r="O48" s="106">
        <f t="shared" si="54"/>
        <v>0</v>
      </c>
      <c r="P48" s="106">
        <f t="shared" si="54"/>
        <v>0</v>
      </c>
      <c r="Q48" s="106" t="e">
        <f>P48/O48*100</f>
        <v>#DIV/0!</v>
      </c>
      <c r="R48" s="106">
        <f t="shared" si="54"/>
        <v>119.8</v>
      </c>
      <c r="S48" s="106">
        <f t="shared" si="54"/>
        <v>0</v>
      </c>
      <c r="T48" s="106">
        <v>0</v>
      </c>
      <c r="U48" s="106">
        <f t="shared" si="54"/>
        <v>0</v>
      </c>
      <c r="V48" s="106">
        <f t="shared" si="54"/>
        <v>0</v>
      </c>
      <c r="W48" s="106">
        <f t="shared" si="54"/>
        <v>0</v>
      </c>
      <c r="X48" s="106">
        <f t="shared" si="54"/>
        <v>179.7</v>
      </c>
      <c r="Y48" s="106">
        <f t="shared" si="54"/>
        <v>0</v>
      </c>
      <c r="Z48" s="106">
        <f t="shared" si="54"/>
        <v>0</v>
      </c>
      <c r="AA48" s="106">
        <f t="shared" si="54"/>
        <v>0</v>
      </c>
      <c r="AB48" s="106">
        <f t="shared" si="54"/>
        <v>0</v>
      </c>
      <c r="AC48" s="106">
        <f t="shared" si="54"/>
        <v>0</v>
      </c>
      <c r="AD48" s="106">
        <f t="shared" si="54"/>
        <v>0</v>
      </c>
      <c r="AE48" s="106">
        <f t="shared" si="54"/>
        <v>0</v>
      </c>
      <c r="AF48" s="106">
        <f t="shared" si="54"/>
        <v>0</v>
      </c>
      <c r="AG48" s="106">
        <f t="shared" si="54"/>
        <v>179.7</v>
      </c>
      <c r="AH48" s="106">
        <f t="shared" si="54"/>
        <v>0</v>
      </c>
      <c r="AI48" s="106">
        <f t="shared" si="54"/>
        <v>0</v>
      </c>
      <c r="AJ48" s="106">
        <f t="shared" si="54"/>
        <v>0</v>
      </c>
      <c r="AK48" s="106">
        <f t="shared" si="54"/>
        <v>0</v>
      </c>
      <c r="AL48" s="106">
        <f t="shared" si="54"/>
        <v>0</v>
      </c>
      <c r="AM48" s="106">
        <f t="shared" si="54"/>
        <v>120.2</v>
      </c>
      <c r="AN48" s="106">
        <f t="shared" si="54"/>
        <v>0</v>
      </c>
      <c r="AO48" s="106">
        <f t="shared" si="54"/>
        <v>0</v>
      </c>
      <c r="AP48" s="106">
        <f t="shared" si="54"/>
        <v>0</v>
      </c>
      <c r="AQ48" s="106">
        <f t="shared" si="54"/>
        <v>0</v>
      </c>
      <c r="AR48" s="106">
        <f t="shared" si="54"/>
        <v>0</v>
      </c>
      <c r="AS48" s="428"/>
      <c r="AT48" s="431"/>
      <c r="AU48" s="121"/>
      <c r="AV48" s="121"/>
      <c r="AW48" s="155"/>
    </row>
    <row r="49" spans="1:49" s="100" customFormat="1" ht="36">
      <c r="A49" s="352"/>
      <c r="B49" s="353"/>
      <c r="C49" s="353"/>
      <c r="D49" s="354"/>
      <c r="E49" s="111" t="s">
        <v>3</v>
      </c>
      <c r="F49" s="106">
        <f>F57</f>
        <v>0</v>
      </c>
      <c r="G49" s="106">
        <f t="shared" ref="G49:AR51" si="55">G57</f>
        <v>0</v>
      </c>
      <c r="H49" s="106">
        <v>0</v>
      </c>
      <c r="I49" s="106">
        <f t="shared" si="55"/>
        <v>0</v>
      </c>
      <c r="J49" s="106">
        <f t="shared" si="55"/>
        <v>0</v>
      </c>
      <c r="K49" s="106">
        <v>0</v>
      </c>
      <c r="L49" s="106">
        <f t="shared" si="55"/>
        <v>0</v>
      </c>
      <c r="M49" s="106">
        <f t="shared" si="55"/>
        <v>0</v>
      </c>
      <c r="N49" s="106">
        <v>0</v>
      </c>
      <c r="O49" s="106">
        <f t="shared" si="55"/>
        <v>0</v>
      </c>
      <c r="P49" s="106">
        <f t="shared" si="55"/>
        <v>0</v>
      </c>
      <c r="Q49" s="106">
        <v>0</v>
      </c>
      <c r="R49" s="106">
        <f t="shared" si="55"/>
        <v>0</v>
      </c>
      <c r="S49" s="106">
        <f t="shared" si="55"/>
        <v>0</v>
      </c>
      <c r="T49" s="106">
        <f t="shared" si="55"/>
        <v>0</v>
      </c>
      <c r="U49" s="106">
        <f t="shared" si="55"/>
        <v>0</v>
      </c>
      <c r="V49" s="106">
        <f t="shared" si="55"/>
        <v>0</v>
      </c>
      <c r="W49" s="106">
        <f t="shared" si="55"/>
        <v>0</v>
      </c>
      <c r="X49" s="106">
        <f t="shared" si="55"/>
        <v>0</v>
      </c>
      <c r="Y49" s="106">
        <f t="shared" si="55"/>
        <v>0</v>
      </c>
      <c r="Z49" s="106">
        <f t="shared" si="55"/>
        <v>0</v>
      </c>
      <c r="AA49" s="106">
        <f t="shared" si="55"/>
        <v>0</v>
      </c>
      <c r="AB49" s="106">
        <f t="shared" si="55"/>
        <v>0</v>
      </c>
      <c r="AC49" s="106">
        <f t="shared" si="55"/>
        <v>0</v>
      </c>
      <c r="AD49" s="106">
        <f t="shared" si="55"/>
        <v>0</v>
      </c>
      <c r="AE49" s="106">
        <f t="shared" si="55"/>
        <v>0</v>
      </c>
      <c r="AF49" s="106">
        <f t="shared" si="55"/>
        <v>0</v>
      </c>
      <c r="AG49" s="106">
        <f t="shared" si="55"/>
        <v>0</v>
      </c>
      <c r="AH49" s="106">
        <f t="shared" si="55"/>
        <v>0</v>
      </c>
      <c r="AI49" s="106">
        <f t="shared" si="55"/>
        <v>0</v>
      </c>
      <c r="AJ49" s="106">
        <f t="shared" si="55"/>
        <v>0</v>
      </c>
      <c r="AK49" s="106">
        <f t="shared" si="55"/>
        <v>0</v>
      </c>
      <c r="AL49" s="106">
        <f t="shared" si="55"/>
        <v>0</v>
      </c>
      <c r="AM49" s="106">
        <f t="shared" si="55"/>
        <v>0</v>
      </c>
      <c r="AN49" s="106">
        <f t="shared" si="55"/>
        <v>0</v>
      </c>
      <c r="AO49" s="106">
        <f t="shared" si="55"/>
        <v>0</v>
      </c>
      <c r="AP49" s="106">
        <f t="shared" si="55"/>
        <v>0</v>
      </c>
      <c r="AQ49" s="106">
        <f t="shared" si="55"/>
        <v>0</v>
      </c>
      <c r="AR49" s="106">
        <f t="shared" si="55"/>
        <v>0</v>
      </c>
      <c r="AS49" s="429"/>
      <c r="AT49" s="432"/>
      <c r="AU49" s="121"/>
      <c r="AV49" s="121"/>
      <c r="AW49" s="155"/>
    </row>
    <row r="50" spans="1:49" s="100" customFormat="1" ht="24">
      <c r="A50" s="352"/>
      <c r="B50" s="353"/>
      <c r="C50" s="353"/>
      <c r="D50" s="354"/>
      <c r="E50" s="111" t="s">
        <v>44</v>
      </c>
      <c r="F50" s="106">
        <f>F58</f>
        <v>599.4</v>
      </c>
      <c r="G50" s="106">
        <f t="shared" si="55"/>
        <v>0</v>
      </c>
      <c r="H50" s="106">
        <f>G50/F50*100</f>
        <v>0</v>
      </c>
      <c r="I50" s="106">
        <f t="shared" si="55"/>
        <v>0</v>
      </c>
      <c r="J50" s="106">
        <f t="shared" si="55"/>
        <v>0</v>
      </c>
      <c r="K50" s="106">
        <v>0</v>
      </c>
      <c r="L50" s="106">
        <f t="shared" si="55"/>
        <v>0</v>
      </c>
      <c r="M50" s="106">
        <f t="shared" si="55"/>
        <v>0</v>
      </c>
      <c r="N50" s="106">
        <v>0</v>
      </c>
      <c r="O50" s="106">
        <f t="shared" si="55"/>
        <v>0</v>
      </c>
      <c r="P50" s="106">
        <f t="shared" si="55"/>
        <v>0</v>
      </c>
      <c r="Q50" s="106" t="e">
        <f t="shared" ref="Q50" si="56">P50/O50*100</f>
        <v>#DIV/0!</v>
      </c>
      <c r="R50" s="106">
        <f t="shared" si="55"/>
        <v>119.8</v>
      </c>
      <c r="S50" s="106">
        <f t="shared" si="55"/>
        <v>0</v>
      </c>
      <c r="T50" s="106">
        <f t="shared" si="55"/>
        <v>0</v>
      </c>
      <c r="U50" s="106">
        <f t="shared" si="55"/>
        <v>0</v>
      </c>
      <c r="V50" s="106">
        <f t="shared" si="55"/>
        <v>0</v>
      </c>
      <c r="W50" s="106">
        <f t="shared" si="55"/>
        <v>0</v>
      </c>
      <c r="X50" s="106">
        <f t="shared" si="55"/>
        <v>179.7</v>
      </c>
      <c r="Y50" s="106">
        <f t="shared" si="55"/>
        <v>0</v>
      </c>
      <c r="Z50" s="106">
        <f t="shared" si="55"/>
        <v>0</v>
      </c>
      <c r="AA50" s="106">
        <f t="shared" si="55"/>
        <v>0</v>
      </c>
      <c r="AB50" s="106">
        <f t="shared" si="55"/>
        <v>0</v>
      </c>
      <c r="AC50" s="106">
        <f t="shared" si="55"/>
        <v>0</v>
      </c>
      <c r="AD50" s="106">
        <f t="shared" si="55"/>
        <v>0</v>
      </c>
      <c r="AE50" s="106">
        <f t="shared" si="55"/>
        <v>0</v>
      </c>
      <c r="AF50" s="106">
        <f t="shared" si="55"/>
        <v>0</v>
      </c>
      <c r="AG50" s="106">
        <f t="shared" si="55"/>
        <v>179.7</v>
      </c>
      <c r="AH50" s="106">
        <f t="shared" si="55"/>
        <v>0</v>
      </c>
      <c r="AI50" s="106">
        <f t="shared" si="55"/>
        <v>0</v>
      </c>
      <c r="AJ50" s="106">
        <f t="shared" si="55"/>
        <v>0</v>
      </c>
      <c r="AK50" s="106">
        <f t="shared" si="55"/>
        <v>0</v>
      </c>
      <c r="AL50" s="106">
        <f t="shared" si="55"/>
        <v>0</v>
      </c>
      <c r="AM50" s="106">
        <f t="shared" si="55"/>
        <v>120.2</v>
      </c>
      <c r="AN50" s="106">
        <f t="shared" si="55"/>
        <v>0</v>
      </c>
      <c r="AO50" s="106">
        <f t="shared" si="55"/>
        <v>0</v>
      </c>
      <c r="AP50" s="106">
        <f t="shared" si="55"/>
        <v>0</v>
      </c>
      <c r="AQ50" s="106">
        <f t="shared" si="55"/>
        <v>0</v>
      </c>
      <c r="AR50" s="106">
        <f t="shared" si="55"/>
        <v>0</v>
      </c>
      <c r="AS50" s="429"/>
      <c r="AT50" s="432"/>
      <c r="AU50" s="121"/>
      <c r="AV50" s="121"/>
      <c r="AW50" s="155"/>
    </row>
    <row r="51" spans="1:49" s="100" customFormat="1" ht="24">
      <c r="A51" s="355"/>
      <c r="B51" s="356"/>
      <c r="C51" s="356"/>
      <c r="D51" s="357"/>
      <c r="E51" s="110" t="s">
        <v>257</v>
      </c>
      <c r="F51" s="106">
        <f>F59</f>
        <v>0</v>
      </c>
      <c r="G51" s="106">
        <f t="shared" si="55"/>
        <v>0</v>
      </c>
      <c r="H51" s="106">
        <v>0</v>
      </c>
      <c r="I51" s="106">
        <f t="shared" si="55"/>
        <v>0</v>
      </c>
      <c r="J51" s="106">
        <f t="shared" si="55"/>
        <v>0</v>
      </c>
      <c r="K51" s="106">
        <f t="shared" si="55"/>
        <v>0</v>
      </c>
      <c r="L51" s="106">
        <f t="shared" si="55"/>
        <v>0</v>
      </c>
      <c r="M51" s="106">
        <f t="shared" si="55"/>
        <v>0</v>
      </c>
      <c r="N51" s="106">
        <v>0</v>
      </c>
      <c r="O51" s="106">
        <f t="shared" si="55"/>
        <v>0</v>
      </c>
      <c r="P51" s="106">
        <f t="shared" si="55"/>
        <v>0</v>
      </c>
      <c r="Q51" s="106">
        <f t="shared" si="55"/>
        <v>0</v>
      </c>
      <c r="R51" s="106">
        <f t="shared" si="55"/>
        <v>0</v>
      </c>
      <c r="S51" s="106">
        <f t="shared" si="55"/>
        <v>0</v>
      </c>
      <c r="T51" s="106">
        <f t="shared" si="55"/>
        <v>0</v>
      </c>
      <c r="U51" s="106">
        <f t="shared" si="55"/>
        <v>0</v>
      </c>
      <c r="V51" s="106">
        <f t="shared" si="55"/>
        <v>0</v>
      </c>
      <c r="W51" s="106">
        <f t="shared" si="55"/>
        <v>0</v>
      </c>
      <c r="X51" s="106">
        <f t="shared" si="55"/>
        <v>0</v>
      </c>
      <c r="Y51" s="106">
        <f t="shared" si="55"/>
        <v>0</v>
      </c>
      <c r="Z51" s="106">
        <f t="shared" si="55"/>
        <v>0</v>
      </c>
      <c r="AA51" s="106">
        <f t="shared" si="55"/>
        <v>0</v>
      </c>
      <c r="AB51" s="106">
        <f t="shared" si="55"/>
        <v>0</v>
      </c>
      <c r="AC51" s="106">
        <f t="shared" si="55"/>
        <v>0</v>
      </c>
      <c r="AD51" s="106">
        <f t="shared" si="55"/>
        <v>0</v>
      </c>
      <c r="AE51" s="106">
        <f t="shared" si="55"/>
        <v>0</v>
      </c>
      <c r="AF51" s="106">
        <f t="shared" si="55"/>
        <v>0</v>
      </c>
      <c r="AG51" s="106">
        <f t="shared" si="55"/>
        <v>0</v>
      </c>
      <c r="AH51" s="106">
        <f t="shared" si="55"/>
        <v>0</v>
      </c>
      <c r="AI51" s="106">
        <f t="shared" si="55"/>
        <v>0</v>
      </c>
      <c r="AJ51" s="106">
        <f t="shared" si="55"/>
        <v>0</v>
      </c>
      <c r="AK51" s="106">
        <f t="shared" si="55"/>
        <v>0</v>
      </c>
      <c r="AL51" s="106">
        <f t="shared" si="55"/>
        <v>0</v>
      </c>
      <c r="AM51" s="106">
        <f t="shared" si="55"/>
        <v>0</v>
      </c>
      <c r="AN51" s="106">
        <f t="shared" si="55"/>
        <v>0</v>
      </c>
      <c r="AO51" s="106">
        <f t="shared" si="55"/>
        <v>0</v>
      </c>
      <c r="AP51" s="106">
        <f t="shared" si="55"/>
        <v>0</v>
      </c>
      <c r="AQ51" s="106">
        <f t="shared" si="55"/>
        <v>0</v>
      </c>
      <c r="AR51" s="106">
        <f t="shared" si="55"/>
        <v>0</v>
      </c>
      <c r="AS51" s="430"/>
      <c r="AT51" s="433"/>
      <c r="AU51" s="121"/>
      <c r="AV51" s="121"/>
      <c r="AW51" s="155"/>
    </row>
    <row r="52" spans="1:49" s="100" customFormat="1" ht="84">
      <c r="A52" s="133" t="s">
        <v>370</v>
      </c>
      <c r="B52" s="161" t="s">
        <v>371</v>
      </c>
      <c r="C52" s="162" t="s">
        <v>276</v>
      </c>
      <c r="D52" s="172" t="s">
        <v>372</v>
      </c>
      <c r="E52" s="109" t="s">
        <v>275</v>
      </c>
      <c r="F52" s="203" t="s">
        <v>279</v>
      </c>
      <c r="G52" s="203" t="s">
        <v>279</v>
      </c>
      <c r="H52" s="203" t="s">
        <v>279</v>
      </c>
      <c r="I52" s="203" t="s">
        <v>279</v>
      </c>
      <c r="J52" s="203" t="s">
        <v>279</v>
      </c>
      <c r="K52" s="203" t="s">
        <v>279</v>
      </c>
      <c r="L52" s="203" t="s">
        <v>279</v>
      </c>
      <c r="M52" s="203" t="s">
        <v>279</v>
      </c>
      <c r="N52" s="203" t="s">
        <v>279</v>
      </c>
      <c r="O52" s="203" t="s">
        <v>279</v>
      </c>
      <c r="P52" s="203" t="s">
        <v>279</v>
      </c>
      <c r="Q52" s="203" t="s">
        <v>279</v>
      </c>
      <c r="R52" s="203" t="s">
        <v>279</v>
      </c>
      <c r="S52" s="203" t="s">
        <v>279</v>
      </c>
      <c r="T52" s="203" t="s">
        <v>279</v>
      </c>
      <c r="U52" s="203" t="s">
        <v>279</v>
      </c>
      <c r="V52" s="203" t="s">
        <v>279</v>
      </c>
      <c r="W52" s="203" t="s">
        <v>279</v>
      </c>
      <c r="X52" s="203" t="s">
        <v>279</v>
      </c>
      <c r="Y52" s="203" t="s">
        <v>279</v>
      </c>
      <c r="Z52" s="203" t="s">
        <v>279</v>
      </c>
      <c r="AA52" s="203" t="s">
        <v>279</v>
      </c>
      <c r="AB52" s="203" t="s">
        <v>279</v>
      </c>
      <c r="AC52" s="203" t="s">
        <v>279</v>
      </c>
      <c r="AD52" s="203" t="s">
        <v>279</v>
      </c>
      <c r="AE52" s="203" t="s">
        <v>279</v>
      </c>
      <c r="AF52" s="203" t="s">
        <v>279</v>
      </c>
      <c r="AG52" s="203" t="s">
        <v>279</v>
      </c>
      <c r="AH52" s="203" t="s">
        <v>279</v>
      </c>
      <c r="AI52" s="203" t="s">
        <v>279</v>
      </c>
      <c r="AJ52" s="203" t="s">
        <v>279</v>
      </c>
      <c r="AK52" s="203" t="s">
        <v>279</v>
      </c>
      <c r="AL52" s="203" t="s">
        <v>279</v>
      </c>
      <c r="AM52" s="203" t="s">
        <v>279</v>
      </c>
      <c r="AN52" s="203" t="s">
        <v>279</v>
      </c>
      <c r="AO52" s="203" t="s">
        <v>279</v>
      </c>
      <c r="AP52" s="203" t="s">
        <v>279</v>
      </c>
      <c r="AQ52" s="203" t="s">
        <v>279</v>
      </c>
      <c r="AR52" s="203" t="s">
        <v>279</v>
      </c>
      <c r="AS52" s="145" t="s">
        <v>431</v>
      </c>
      <c r="AT52" s="194"/>
      <c r="AU52" s="121"/>
      <c r="AV52" s="121"/>
      <c r="AW52" s="155"/>
    </row>
    <row r="53" spans="1:49" s="100" customFormat="1" ht="84">
      <c r="A53" s="191" t="s">
        <v>373</v>
      </c>
      <c r="B53" s="161" t="s">
        <v>374</v>
      </c>
      <c r="C53" s="162" t="s">
        <v>375</v>
      </c>
      <c r="D53" s="172" t="s">
        <v>376</v>
      </c>
      <c r="E53" s="109" t="s">
        <v>275</v>
      </c>
      <c r="F53" s="203" t="s">
        <v>279</v>
      </c>
      <c r="G53" s="203" t="s">
        <v>279</v>
      </c>
      <c r="H53" s="203" t="s">
        <v>279</v>
      </c>
      <c r="I53" s="203" t="s">
        <v>279</v>
      </c>
      <c r="J53" s="203" t="s">
        <v>279</v>
      </c>
      <c r="K53" s="203" t="s">
        <v>279</v>
      </c>
      <c r="L53" s="203" t="s">
        <v>279</v>
      </c>
      <c r="M53" s="203" t="s">
        <v>279</v>
      </c>
      <c r="N53" s="203" t="s">
        <v>279</v>
      </c>
      <c r="O53" s="203" t="s">
        <v>279</v>
      </c>
      <c r="P53" s="203" t="s">
        <v>279</v>
      </c>
      <c r="Q53" s="203" t="s">
        <v>279</v>
      </c>
      <c r="R53" s="203" t="s">
        <v>279</v>
      </c>
      <c r="S53" s="203" t="s">
        <v>279</v>
      </c>
      <c r="T53" s="203" t="s">
        <v>279</v>
      </c>
      <c r="U53" s="203" t="s">
        <v>279</v>
      </c>
      <c r="V53" s="203" t="s">
        <v>279</v>
      </c>
      <c r="W53" s="203" t="s">
        <v>279</v>
      </c>
      <c r="X53" s="203" t="s">
        <v>279</v>
      </c>
      <c r="Y53" s="203" t="s">
        <v>279</v>
      </c>
      <c r="Z53" s="203" t="s">
        <v>279</v>
      </c>
      <c r="AA53" s="203" t="s">
        <v>279</v>
      </c>
      <c r="AB53" s="203" t="s">
        <v>279</v>
      </c>
      <c r="AC53" s="203" t="s">
        <v>279</v>
      </c>
      <c r="AD53" s="203" t="s">
        <v>279</v>
      </c>
      <c r="AE53" s="203" t="s">
        <v>279</v>
      </c>
      <c r="AF53" s="203" t="s">
        <v>279</v>
      </c>
      <c r="AG53" s="203" t="s">
        <v>279</v>
      </c>
      <c r="AH53" s="203" t="s">
        <v>279</v>
      </c>
      <c r="AI53" s="203" t="s">
        <v>279</v>
      </c>
      <c r="AJ53" s="203" t="s">
        <v>279</v>
      </c>
      <c r="AK53" s="203" t="s">
        <v>279</v>
      </c>
      <c r="AL53" s="203" t="s">
        <v>279</v>
      </c>
      <c r="AM53" s="203" t="s">
        <v>279</v>
      </c>
      <c r="AN53" s="203" t="s">
        <v>279</v>
      </c>
      <c r="AO53" s="203" t="s">
        <v>279</v>
      </c>
      <c r="AP53" s="203" t="s">
        <v>279</v>
      </c>
      <c r="AQ53" s="203" t="s">
        <v>279</v>
      </c>
      <c r="AR53" s="203" t="s">
        <v>279</v>
      </c>
      <c r="AS53" s="211" t="s">
        <v>432</v>
      </c>
      <c r="AT53" s="134"/>
      <c r="AU53" s="121"/>
      <c r="AV53" s="121"/>
      <c r="AW53" s="155"/>
    </row>
    <row r="54" spans="1:49" s="100" customFormat="1" ht="72">
      <c r="A54" s="133" t="s">
        <v>377</v>
      </c>
      <c r="B54" s="192" t="s">
        <v>378</v>
      </c>
      <c r="C54" s="162" t="s">
        <v>276</v>
      </c>
      <c r="D54" s="172" t="s">
        <v>379</v>
      </c>
      <c r="E54" s="109" t="s">
        <v>275</v>
      </c>
      <c r="F54" s="203" t="s">
        <v>279</v>
      </c>
      <c r="G54" s="203" t="s">
        <v>279</v>
      </c>
      <c r="H54" s="203" t="s">
        <v>279</v>
      </c>
      <c r="I54" s="203" t="s">
        <v>279</v>
      </c>
      <c r="J54" s="203" t="s">
        <v>279</v>
      </c>
      <c r="K54" s="203" t="s">
        <v>279</v>
      </c>
      <c r="L54" s="203" t="s">
        <v>279</v>
      </c>
      <c r="M54" s="203" t="s">
        <v>279</v>
      </c>
      <c r="N54" s="203" t="s">
        <v>279</v>
      </c>
      <c r="O54" s="203" t="s">
        <v>279</v>
      </c>
      <c r="P54" s="203" t="s">
        <v>279</v>
      </c>
      <c r="Q54" s="203" t="s">
        <v>279</v>
      </c>
      <c r="R54" s="203" t="s">
        <v>279</v>
      </c>
      <c r="S54" s="203" t="s">
        <v>279</v>
      </c>
      <c r="T54" s="203" t="s">
        <v>279</v>
      </c>
      <c r="U54" s="203" t="s">
        <v>279</v>
      </c>
      <c r="V54" s="203" t="s">
        <v>279</v>
      </c>
      <c r="W54" s="203" t="s">
        <v>279</v>
      </c>
      <c r="X54" s="203" t="s">
        <v>279</v>
      </c>
      <c r="Y54" s="203" t="s">
        <v>279</v>
      </c>
      <c r="Z54" s="203" t="s">
        <v>279</v>
      </c>
      <c r="AA54" s="203" t="s">
        <v>279</v>
      </c>
      <c r="AB54" s="203" t="s">
        <v>279</v>
      </c>
      <c r="AC54" s="203" t="s">
        <v>279</v>
      </c>
      <c r="AD54" s="203" t="s">
        <v>279</v>
      </c>
      <c r="AE54" s="203" t="s">
        <v>279</v>
      </c>
      <c r="AF54" s="203" t="s">
        <v>279</v>
      </c>
      <c r="AG54" s="203" t="s">
        <v>279</v>
      </c>
      <c r="AH54" s="203" t="s">
        <v>279</v>
      </c>
      <c r="AI54" s="203" t="s">
        <v>279</v>
      </c>
      <c r="AJ54" s="203" t="s">
        <v>279</v>
      </c>
      <c r="AK54" s="203" t="s">
        <v>279</v>
      </c>
      <c r="AL54" s="203" t="s">
        <v>279</v>
      </c>
      <c r="AM54" s="203" t="s">
        <v>279</v>
      </c>
      <c r="AN54" s="203" t="s">
        <v>279</v>
      </c>
      <c r="AO54" s="203" t="s">
        <v>279</v>
      </c>
      <c r="AP54" s="203" t="s">
        <v>279</v>
      </c>
      <c r="AQ54" s="203"/>
      <c r="AR54" s="203"/>
      <c r="AS54" s="145" t="s">
        <v>433</v>
      </c>
      <c r="AT54" s="134"/>
      <c r="AU54" s="121"/>
      <c r="AV54" s="121"/>
      <c r="AW54" s="155"/>
    </row>
    <row r="55" spans="1:49" s="100" customFormat="1" ht="48">
      <c r="A55" s="136" t="s">
        <v>380</v>
      </c>
      <c r="B55" s="206" t="s">
        <v>278</v>
      </c>
      <c r="C55" s="135" t="s">
        <v>276</v>
      </c>
      <c r="D55" s="172" t="s">
        <v>381</v>
      </c>
      <c r="E55" s="109" t="s">
        <v>275</v>
      </c>
      <c r="F55" s="203" t="s">
        <v>279</v>
      </c>
      <c r="G55" s="203" t="s">
        <v>279</v>
      </c>
      <c r="H55" s="203" t="s">
        <v>279</v>
      </c>
      <c r="I55" s="203" t="s">
        <v>279</v>
      </c>
      <c r="J55" s="203" t="s">
        <v>279</v>
      </c>
      <c r="K55" s="203" t="s">
        <v>279</v>
      </c>
      <c r="L55" s="203" t="s">
        <v>279</v>
      </c>
      <c r="M55" s="203" t="s">
        <v>279</v>
      </c>
      <c r="N55" s="203" t="s">
        <v>279</v>
      </c>
      <c r="O55" s="203" t="s">
        <v>279</v>
      </c>
      <c r="P55" s="203" t="s">
        <v>279</v>
      </c>
      <c r="Q55" s="203" t="s">
        <v>279</v>
      </c>
      <c r="R55" s="203" t="s">
        <v>279</v>
      </c>
      <c r="S55" s="203" t="s">
        <v>279</v>
      </c>
      <c r="T55" s="203" t="s">
        <v>279</v>
      </c>
      <c r="U55" s="203" t="s">
        <v>279</v>
      </c>
      <c r="V55" s="203" t="s">
        <v>279</v>
      </c>
      <c r="W55" s="203" t="s">
        <v>279</v>
      </c>
      <c r="X55" s="203" t="s">
        <v>279</v>
      </c>
      <c r="Y55" s="203" t="s">
        <v>279</v>
      </c>
      <c r="Z55" s="203" t="s">
        <v>279</v>
      </c>
      <c r="AA55" s="203" t="s">
        <v>279</v>
      </c>
      <c r="AB55" s="203" t="s">
        <v>279</v>
      </c>
      <c r="AC55" s="203" t="s">
        <v>279</v>
      </c>
      <c r="AD55" s="203" t="s">
        <v>279</v>
      </c>
      <c r="AE55" s="203" t="s">
        <v>279</v>
      </c>
      <c r="AF55" s="203" t="s">
        <v>279</v>
      </c>
      <c r="AG55" s="203" t="s">
        <v>279</v>
      </c>
      <c r="AH55" s="203" t="s">
        <v>279</v>
      </c>
      <c r="AI55" s="203" t="s">
        <v>279</v>
      </c>
      <c r="AJ55" s="203" t="s">
        <v>279</v>
      </c>
      <c r="AK55" s="203" t="s">
        <v>279</v>
      </c>
      <c r="AL55" s="203" t="s">
        <v>279</v>
      </c>
      <c r="AM55" s="203" t="s">
        <v>279</v>
      </c>
      <c r="AN55" s="203" t="s">
        <v>279</v>
      </c>
      <c r="AO55" s="203" t="s">
        <v>279</v>
      </c>
      <c r="AP55" s="203" t="s">
        <v>279</v>
      </c>
      <c r="AQ55" s="203"/>
      <c r="AR55" s="203"/>
      <c r="AS55" s="145" t="s">
        <v>434</v>
      </c>
      <c r="AT55" s="134"/>
      <c r="AU55" s="121"/>
      <c r="AV55" s="121"/>
      <c r="AW55" s="155"/>
    </row>
    <row r="56" spans="1:49" s="31" customFormat="1" ht="12.75">
      <c r="A56" s="361" t="s">
        <v>382</v>
      </c>
      <c r="B56" s="370" t="s">
        <v>259</v>
      </c>
      <c r="C56" s="410" t="s">
        <v>271</v>
      </c>
      <c r="D56" s="413" t="s">
        <v>383</v>
      </c>
      <c r="E56" s="107" t="s">
        <v>42</v>
      </c>
      <c r="F56" s="104">
        <f>SUM(F57:F59)</f>
        <v>599.4</v>
      </c>
      <c r="G56" s="104">
        <f t="shared" ref="G56" si="57">SUM(G57:G59)</f>
        <v>0</v>
      </c>
      <c r="H56" s="104">
        <f>G56/F56*100</f>
        <v>0</v>
      </c>
      <c r="I56" s="207">
        <f t="shared" ref="I56:AP56" si="58">I57+I58+I59</f>
        <v>0</v>
      </c>
      <c r="J56" s="207">
        <f t="shared" si="58"/>
        <v>0</v>
      </c>
      <c r="K56" s="104">
        <v>0</v>
      </c>
      <c r="L56" s="207">
        <f t="shared" si="58"/>
        <v>0</v>
      </c>
      <c r="M56" s="207">
        <f t="shared" si="58"/>
        <v>0</v>
      </c>
      <c r="N56" s="207">
        <v>0</v>
      </c>
      <c r="O56" s="207">
        <f t="shared" si="58"/>
        <v>0</v>
      </c>
      <c r="P56" s="207">
        <f t="shared" si="58"/>
        <v>0</v>
      </c>
      <c r="Q56" s="104" t="e">
        <f t="shared" ref="Q56:Q58" si="59">P56/O56*100</f>
        <v>#DIV/0!</v>
      </c>
      <c r="R56" s="207">
        <f t="shared" si="58"/>
        <v>119.8</v>
      </c>
      <c r="S56" s="207">
        <f t="shared" si="58"/>
        <v>0</v>
      </c>
      <c r="T56" s="207">
        <f t="shared" si="58"/>
        <v>0</v>
      </c>
      <c r="U56" s="207">
        <f t="shared" si="58"/>
        <v>0</v>
      </c>
      <c r="V56" s="207">
        <f t="shared" si="58"/>
        <v>0</v>
      </c>
      <c r="W56" s="104">
        <v>0</v>
      </c>
      <c r="X56" s="207">
        <f t="shared" si="58"/>
        <v>179.7</v>
      </c>
      <c r="Y56" s="207">
        <f t="shared" si="58"/>
        <v>0</v>
      </c>
      <c r="Z56" s="207">
        <f t="shared" si="58"/>
        <v>0</v>
      </c>
      <c r="AA56" s="207">
        <f t="shared" si="58"/>
        <v>0</v>
      </c>
      <c r="AB56" s="207">
        <f t="shared" si="58"/>
        <v>0</v>
      </c>
      <c r="AC56" s="207">
        <f t="shared" si="58"/>
        <v>0</v>
      </c>
      <c r="AD56" s="207">
        <f t="shared" si="58"/>
        <v>0</v>
      </c>
      <c r="AE56" s="207">
        <f t="shared" si="58"/>
        <v>0</v>
      </c>
      <c r="AF56" s="207">
        <f t="shared" si="58"/>
        <v>0</v>
      </c>
      <c r="AG56" s="207">
        <f t="shared" si="58"/>
        <v>179.7</v>
      </c>
      <c r="AH56" s="207">
        <f t="shared" si="58"/>
        <v>0</v>
      </c>
      <c r="AI56" s="105">
        <f>AH56/AG56*100</f>
        <v>0</v>
      </c>
      <c r="AJ56" s="207">
        <f t="shared" si="58"/>
        <v>0</v>
      </c>
      <c r="AK56" s="207">
        <f t="shared" si="58"/>
        <v>0</v>
      </c>
      <c r="AL56" s="207">
        <f t="shared" si="58"/>
        <v>0</v>
      </c>
      <c r="AM56" s="207">
        <f t="shared" si="58"/>
        <v>120.2</v>
      </c>
      <c r="AN56" s="207">
        <f t="shared" si="58"/>
        <v>0</v>
      </c>
      <c r="AO56" s="207">
        <f t="shared" si="58"/>
        <v>0</v>
      </c>
      <c r="AP56" s="207">
        <f t="shared" si="58"/>
        <v>0</v>
      </c>
      <c r="AQ56" s="104"/>
      <c r="AR56" s="104"/>
      <c r="AS56" s="340" t="s">
        <v>435</v>
      </c>
      <c r="AT56" s="416" t="s">
        <v>429</v>
      </c>
      <c r="AU56" s="121"/>
      <c r="AV56" s="121"/>
      <c r="AW56" s="155"/>
    </row>
    <row r="57" spans="1:49" s="31" customFormat="1" ht="36">
      <c r="A57" s="362"/>
      <c r="B57" s="371"/>
      <c r="C57" s="411"/>
      <c r="D57" s="414"/>
      <c r="E57" s="108" t="s">
        <v>3</v>
      </c>
      <c r="F57" s="104">
        <f>I57+L57+O57+R57+U57+X57+AA57+AD57+AG57+AJ57+AM57+AP57</f>
        <v>0</v>
      </c>
      <c r="G57" s="104">
        <f>J57+M57+P57+S57+V57+Y57+AB57+AE57+AH57+AK57+AN57+AQ57</f>
        <v>0</v>
      </c>
      <c r="H57" s="104">
        <v>0</v>
      </c>
      <c r="I57" s="104">
        <v>0</v>
      </c>
      <c r="J57" s="104">
        <v>0</v>
      </c>
      <c r="K57" s="104">
        <v>0</v>
      </c>
      <c r="L57" s="126">
        <v>0</v>
      </c>
      <c r="M57" s="104">
        <v>0</v>
      </c>
      <c r="N57" s="208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4">
        <v>0</v>
      </c>
      <c r="AK57" s="104">
        <v>0</v>
      </c>
      <c r="AL57" s="104">
        <v>0</v>
      </c>
      <c r="AM57" s="105">
        <v>0</v>
      </c>
      <c r="AN57" s="105">
        <v>0</v>
      </c>
      <c r="AO57" s="105">
        <v>0</v>
      </c>
      <c r="AP57" s="104">
        <v>0</v>
      </c>
      <c r="AQ57" s="104"/>
      <c r="AR57" s="104"/>
      <c r="AS57" s="341"/>
      <c r="AT57" s="417"/>
      <c r="AU57" s="121"/>
      <c r="AV57" s="121"/>
      <c r="AW57" s="155"/>
    </row>
    <row r="58" spans="1:49" s="31" customFormat="1" ht="12.75">
      <c r="A58" s="362"/>
      <c r="B58" s="371"/>
      <c r="C58" s="411"/>
      <c r="D58" s="414"/>
      <c r="E58" s="108" t="s">
        <v>44</v>
      </c>
      <c r="F58" s="104">
        <f t="shared" ref="F58:G59" si="60">I58+L58+O58+R58+U58+X58+AA58+AD58+AG58+AJ58+AM58+AP58</f>
        <v>599.4</v>
      </c>
      <c r="G58" s="104">
        <f t="shared" si="60"/>
        <v>0</v>
      </c>
      <c r="H58" s="104">
        <f>G58/F58*100</f>
        <v>0</v>
      </c>
      <c r="I58" s="104">
        <v>0</v>
      </c>
      <c r="J58" s="104">
        <v>0</v>
      </c>
      <c r="K58" s="104">
        <v>0</v>
      </c>
      <c r="L58" s="126">
        <v>0</v>
      </c>
      <c r="M58" s="104">
        <v>0</v>
      </c>
      <c r="N58" s="208">
        <v>0</v>
      </c>
      <c r="O58" s="104">
        <f>119.8-119.8</f>
        <v>0</v>
      </c>
      <c r="P58" s="104">
        <v>0</v>
      </c>
      <c r="Q58" s="104" t="e">
        <f t="shared" si="59"/>
        <v>#DIV/0!</v>
      </c>
      <c r="R58" s="104">
        <v>119.8</v>
      </c>
      <c r="S58" s="104">
        <v>0</v>
      </c>
      <c r="T58" s="104">
        <v>0</v>
      </c>
      <c r="U58" s="105">
        <v>0</v>
      </c>
      <c r="V58" s="105">
        <v>0</v>
      </c>
      <c r="W58" s="104">
        <v>0</v>
      </c>
      <c r="X58" s="105">
        <v>179.7</v>
      </c>
      <c r="Y58" s="105">
        <v>0</v>
      </c>
      <c r="Z58" s="105">
        <f>Y58/X58*100</f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179.7</v>
      </c>
      <c r="AH58" s="105">
        <v>0</v>
      </c>
      <c r="AI58" s="105">
        <f>AH58/AG58*100</f>
        <v>0</v>
      </c>
      <c r="AJ58" s="104">
        <v>0</v>
      </c>
      <c r="AK58" s="104">
        <v>0</v>
      </c>
      <c r="AL58" s="104">
        <v>0</v>
      </c>
      <c r="AM58" s="105">
        <v>120.2</v>
      </c>
      <c r="AN58" s="105">
        <v>0</v>
      </c>
      <c r="AO58" s="105">
        <v>0</v>
      </c>
      <c r="AP58" s="104">
        <v>0</v>
      </c>
      <c r="AQ58" s="104"/>
      <c r="AR58" s="104"/>
      <c r="AS58" s="341"/>
      <c r="AT58" s="417"/>
      <c r="AU58" s="121"/>
      <c r="AV58" s="121"/>
      <c r="AW58" s="155"/>
    </row>
    <row r="59" spans="1:49" s="31" customFormat="1" ht="66" customHeight="1">
      <c r="A59" s="363"/>
      <c r="B59" s="372"/>
      <c r="C59" s="412"/>
      <c r="D59" s="415"/>
      <c r="E59" s="109" t="s">
        <v>257</v>
      </c>
      <c r="F59" s="104">
        <f t="shared" si="60"/>
        <v>0</v>
      </c>
      <c r="G59" s="104">
        <f t="shared" si="60"/>
        <v>0</v>
      </c>
      <c r="H59" s="104">
        <v>0</v>
      </c>
      <c r="I59" s="104">
        <v>0</v>
      </c>
      <c r="J59" s="104">
        <v>0</v>
      </c>
      <c r="K59" s="104">
        <v>0</v>
      </c>
      <c r="L59" s="126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4">
        <v>0</v>
      </c>
      <c r="AK59" s="104">
        <v>0</v>
      </c>
      <c r="AL59" s="104">
        <v>0</v>
      </c>
      <c r="AM59" s="105">
        <v>0</v>
      </c>
      <c r="AN59" s="105">
        <v>0</v>
      </c>
      <c r="AO59" s="105">
        <v>0</v>
      </c>
      <c r="AP59" s="104">
        <v>0</v>
      </c>
      <c r="AQ59" s="104"/>
      <c r="AR59" s="104"/>
      <c r="AS59" s="342"/>
      <c r="AT59" s="418"/>
      <c r="AU59" s="121"/>
      <c r="AV59" s="121"/>
      <c r="AW59" s="155"/>
    </row>
    <row r="60" spans="1:49" s="31" customFormat="1" ht="15.75">
      <c r="A60" s="346" t="s">
        <v>384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8"/>
      <c r="AU60" s="121"/>
      <c r="AV60" s="121"/>
      <c r="AW60" s="155"/>
    </row>
    <row r="61" spans="1:49" s="31" customFormat="1" ht="15.75">
      <c r="A61" s="346" t="s">
        <v>385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8"/>
      <c r="AU61" s="121"/>
      <c r="AV61" s="121"/>
      <c r="AW61" s="155"/>
    </row>
    <row r="62" spans="1:49" s="100" customFormat="1" ht="12.75">
      <c r="A62" s="349" t="s">
        <v>272</v>
      </c>
      <c r="B62" s="350"/>
      <c r="C62" s="350"/>
      <c r="D62" s="351"/>
      <c r="E62" s="129" t="s">
        <v>42</v>
      </c>
      <c r="F62" s="106">
        <f>F63+F64+F65</f>
        <v>10588.099999999999</v>
      </c>
      <c r="G62" s="106">
        <f t="shared" ref="G62:AP62" si="61">G63+G64+G65</f>
        <v>245</v>
      </c>
      <c r="H62" s="106">
        <f>G62/F62*100</f>
        <v>2.313918455624711</v>
      </c>
      <c r="I62" s="106">
        <f t="shared" si="61"/>
        <v>0</v>
      </c>
      <c r="J62" s="106">
        <f t="shared" si="61"/>
        <v>0</v>
      </c>
      <c r="K62" s="106">
        <v>0</v>
      </c>
      <c r="L62" s="106">
        <f t="shared" si="61"/>
        <v>193.39999999999998</v>
      </c>
      <c r="M62" s="106">
        <f t="shared" si="61"/>
        <v>173.7</v>
      </c>
      <c r="N62" s="106">
        <f t="shared" si="61"/>
        <v>186.62063134160093</v>
      </c>
      <c r="O62" s="106">
        <f t="shared" si="61"/>
        <v>173.90000000000009</v>
      </c>
      <c r="P62" s="106">
        <f t="shared" si="61"/>
        <v>71.3</v>
      </c>
      <c r="Q62" s="106">
        <f>P62/O62*100</f>
        <v>41.000575043128215</v>
      </c>
      <c r="R62" s="106">
        <f t="shared" si="61"/>
        <v>4338.7999999999993</v>
      </c>
      <c r="S62" s="106">
        <f t="shared" si="61"/>
        <v>0</v>
      </c>
      <c r="T62" s="106">
        <f>S62/R62*100</f>
        <v>0</v>
      </c>
      <c r="U62" s="106">
        <f t="shared" si="61"/>
        <v>1300.6000000000001</v>
      </c>
      <c r="V62" s="106">
        <f t="shared" si="61"/>
        <v>0</v>
      </c>
      <c r="W62" s="106">
        <f t="shared" si="61"/>
        <v>0</v>
      </c>
      <c r="X62" s="106">
        <f t="shared" si="61"/>
        <v>1288.6000000000001</v>
      </c>
      <c r="Y62" s="106">
        <f t="shared" si="61"/>
        <v>0</v>
      </c>
      <c r="Z62" s="106">
        <f t="shared" si="61"/>
        <v>0</v>
      </c>
      <c r="AA62" s="106">
        <f t="shared" si="61"/>
        <v>1075.6000000000001</v>
      </c>
      <c r="AB62" s="106">
        <f t="shared" si="61"/>
        <v>0</v>
      </c>
      <c r="AC62" s="106">
        <f t="shared" si="61"/>
        <v>0</v>
      </c>
      <c r="AD62" s="106">
        <f t="shared" si="61"/>
        <v>150.6</v>
      </c>
      <c r="AE62" s="106">
        <f t="shared" si="61"/>
        <v>0</v>
      </c>
      <c r="AF62" s="106">
        <f t="shared" ref="AF62" si="62">AE62/AD62*100</f>
        <v>0</v>
      </c>
      <c r="AG62" s="106">
        <f t="shared" si="61"/>
        <v>200.6</v>
      </c>
      <c r="AH62" s="106">
        <f t="shared" si="61"/>
        <v>0</v>
      </c>
      <c r="AI62" s="106">
        <f t="shared" si="61"/>
        <v>0</v>
      </c>
      <c r="AJ62" s="106">
        <f t="shared" si="61"/>
        <v>162.6</v>
      </c>
      <c r="AK62" s="106">
        <f t="shared" si="61"/>
        <v>0</v>
      </c>
      <c r="AL62" s="106">
        <f t="shared" si="61"/>
        <v>0</v>
      </c>
      <c r="AM62" s="106">
        <f t="shared" si="61"/>
        <v>1339.8</v>
      </c>
      <c r="AN62" s="106">
        <f t="shared" si="61"/>
        <v>0</v>
      </c>
      <c r="AO62" s="106">
        <f t="shared" si="61"/>
        <v>0</v>
      </c>
      <c r="AP62" s="106">
        <f t="shared" si="61"/>
        <v>363.6</v>
      </c>
      <c r="AQ62" s="106">
        <f>AQ92+AQ100</f>
        <v>0</v>
      </c>
      <c r="AR62" s="106">
        <f>AR92+AR100</f>
        <v>0</v>
      </c>
      <c r="AS62" s="313"/>
      <c r="AT62" s="358"/>
      <c r="AU62" s="121"/>
      <c r="AV62" s="121"/>
      <c r="AW62" s="155"/>
    </row>
    <row r="63" spans="1:49" s="100" customFormat="1" ht="36">
      <c r="A63" s="352"/>
      <c r="B63" s="353"/>
      <c r="C63" s="353"/>
      <c r="D63" s="354"/>
      <c r="E63" s="111" t="s">
        <v>3</v>
      </c>
      <c r="F63" s="106">
        <f>F70+F74+F78</f>
        <v>0</v>
      </c>
      <c r="G63" s="106">
        <f t="shared" ref="G63:AR65" si="63">G70+G74+G78</f>
        <v>0</v>
      </c>
      <c r="H63" s="106">
        <v>0</v>
      </c>
      <c r="I63" s="106">
        <f t="shared" si="63"/>
        <v>0</v>
      </c>
      <c r="J63" s="106">
        <f t="shared" si="63"/>
        <v>0</v>
      </c>
      <c r="K63" s="106">
        <v>0</v>
      </c>
      <c r="L63" s="106">
        <f t="shared" si="63"/>
        <v>0</v>
      </c>
      <c r="M63" s="106">
        <f t="shared" si="63"/>
        <v>0</v>
      </c>
      <c r="N63" s="106">
        <f t="shared" si="63"/>
        <v>0</v>
      </c>
      <c r="O63" s="106">
        <f t="shared" si="63"/>
        <v>0</v>
      </c>
      <c r="P63" s="106">
        <f t="shared" si="63"/>
        <v>0</v>
      </c>
      <c r="Q63" s="106">
        <v>0</v>
      </c>
      <c r="R63" s="106">
        <f t="shared" si="63"/>
        <v>0</v>
      </c>
      <c r="S63" s="106">
        <f t="shared" si="63"/>
        <v>0</v>
      </c>
      <c r="T63" s="106">
        <v>0</v>
      </c>
      <c r="U63" s="106">
        <f t="shared" si="63"/>
        <v>0</v>
      </c>
      <c r="V63" s="106">
        <f t="shared" si="63"/>
        <v>0</v>
      </c>
      <c r="W63" s="106">
        <f t="shared" si="63"/>
        <v>0</v>
      </c>
      <c r="X63" s="106">
        <f t="shared" si="63"/>
        <v>0</v>
      </c>
      <c r="Y63" s="106">
        <f t="shared" si="63"/>
        <v>0</v>
      </c>
      <c r="Z63" s="106">
        <f t="shared" si="63"/>
        <v>0</v>
      </c>
      <c r="AA63" s="106">
        <f t="shared" si="63"/>
        <v>0</v>
      </c>
      <c r="AB63" s="106">
        <f t="shared" si="63"/>
        <v>0</v>
      </c>
      <c r="AC63" s="106">
        <f t="shared" si="63"/>
        <v>0</v>
      </c>
      <c r="AD63" s="106">
        <f t="shared" si="63"/>
        <v>0</v>
      </c>
      <c r="AE63" s="106">
        <f t="shared" si="63"/>
        <v>0</v>
      </c>
      <c r="AF63" s="106">
        <f t="shared" si="63"/>
        <v>0</v>
      </c>
      <c r="AG63" s="106">
        <f t="shared" si="63"/>
        <v>0</v>
      </c>
      <c r="AH63" s="106">
        <f t="shared" si="63"/>
        <v>0</v>
      </c>
      <c r="AI63" s="106">
        <f t="shared" si="63"/>
        <v>0</v>
      </c>
      <c r="AJ63" s="106">
        <f t="shared" si="63"/>
        <v>0</v>
      </c>
      <c r="AK63" s="106">
        <f t="shared" si="63"/>
        <v>0</v>
      </c>
      <c r="AL63" s="106">
        <f t="shared" si="63"/>
        <v>0</v>
      </c>
      <c r="AM63" s="106">
        <f t="shared" si="63"/>
        <v>0</v>
      </c>
      <c r="AN63" s="106">
        <f t="shared" si="63"/>
        <v>0</v>
      </c>
      <c r="AO63" s="106">
        <f t="shared" si="63"/>
        <v>0</v>
      </c>
      <c r="AP63" s="106">
        <f t="shared" si="63"/>
        <v>0</v>
      </c>
      <c r="AQ63" s="106">
        <f t="shared" si="63"/>
        <v>0</v>
      </c>
      <c r="AR63" s="106">
        <f t="shared" si="63"/>
        <v>0</v>
      </c>
      <c r="AS63" s="314"/>
      <c r="AT63" s="359"/>
      <c r="AU63" s="121"/>
      <c r="AV63" s="121"/>
      <c r="AW63" s="155"/>
    </row>
    <row r="64" spans="1:49" s="100" customFormat="1" ht="24">
      <c r="A64" s="352"/>
      <c r="B64" s="353"/>
      <c r="C64" s="353"/>
      <c r="D64" s="354"/>
      <c r="E64" s="111" t="s">
        <v>44</v>
      </c>
      <c r="F64" s="106">
        <f>F71+F75+F79</f>
        <v>10588.099999999999</v>
      </c>
      <c r="G64" s="106">
        <f t="shared" si="63"/>
        <v>245</v>
      </c>
      <c r="H64" s="106">
        <f>G64/F64*100</f>
        <v>2.313918455624711</v>
      </c>
      <c r="I64" s="106">
        <f t="shared" si="63"/>
        <v>0</v>
      </c>
      <c r="J64" s="106">
        <f t="shared" si="63"/>
        <v>0</v>
      </c>
      <c r="K64" s="106">
        <v>0</v>
      </c>
      <c r="L64" s="106">
        <f t="shared" si="63"/>
        <v>193.39999999999998</v>
      </c>
      <c r="M64" s="106">
        <f t="shared" si="63"/>
        <v>173.7</v>
      </c>
      <c r="N64" s="106">
        <f t="shared" si="63"/>
        <v>186.62063134160093</v>
      </c>
      <c r="O64" s="106">
        <f t="shared" si="63"/>
        <v>173.90000000000009</v>
      </c>
      <c r="P64" s="106">
        <f t="shared" si="63"/>
        <v>71.3</v>
      </c>
      <c r="Q64" s="106">
        <f t="shared" ref="Q64" si="64">P64/O64*100</f>
        <v>41.000575043128215</v>
      </c>
      <c r="R64" s="106">
        <f t="shared" si="63"/>
        <v>4338.7999999999993</v>
      </c>
      <c r="S64" s="106">
        <f t="shared" si="63"/>
        <v>0</v>
      </c>
      <c r="T64" s="106">
        <f t="shared" ref="T64" si="65">S64/R64*100</f>
        <v>0</v>
      </c>
      <c r="U64" s="106">
        <f t="shared" si="63"/>
        <v>1300.6000000000001</v>
      </c>
      <c r="V64" s="106">
        <f t="shared" si="63"/>
        <v>0</v>
      </c>
      <c r="W64" s="106">
        <f t="shared" si="63"/>
        <v>0</v>
      </c>
      <c r="X64" s="106">
        <f t="shared" si="63"/>
        <v>1288.6000000000001</v>
      </c>
      <c r="Y64" s="106">
        <f t="shared" si="63"/>
        <v>0</v>
      </c>
      <c r="Z64" s="106">
        <f t="shared" si="63"/>
        <v>0</v>
      </c>
      <c r="AA64" s="106">
        <f t="shared" si="63"/>
        <v>1075.6000000000001</v>
      </c>
      <c r="AB64" s="106">
        <f t="shared" si="63"/>
        <v>0</v>
      </c>
      <c r="AC64" s="106">
        <f t="shared" si="63"/>
        <v>0</v>
      </c>
      <c r="AD64" s="106">
        <f t="shared" si="63"/>
        <v>150.6</v>
      </c>
      <c r="AE64" s="106">
        <f t="shared" si="63"/>
        <v>0</v>
      </c>
      <c r="AF64" s="106">
        <f t="shared" ref="AF64" si="66">AE64/AD64*100</f>
        <v>0</v>
      </c>
      <c r="AG64" s="106">
        <f t="shared" si="63"/>
        <v>200.6</v>
      </c>
      <c r="AH64" s="106">
        <f t="shared" si="63"/>
        <v>0</v>
      </c>
      <c r="AI64" s="106">
        <f t="shared" si="63"/>
        <v>0</v>
      </c>
      <c r="AJ64" s="106">
        <f t="shared" si="63"/>
        <v>162.6</v>
      </c>
      <c r="AK64" s="106">
        <f t="shared" si="63"/>
        <v>0</v>
      </c>
      <c r="AL64" s="106">
        <f t="shared" si="63"/>
        <v>0</v>
      </c>
      <c r="AM64" s="106">
        <f t="shared" si="63"/>
        <v>1339.8</v>
      </c>
      <c r="AN64" s="106">
        <f t="shared" si="63"/>
        <v>0</v>
      </c>
      <c r="AO64" s="106">
        <f t="shared" si="63"/>
        <v>0</v>
      </c>
      <c r="AP64" s="106">
        <f t="shared" si="63"/>
        <v>363.6</v>
      </c>
      <c r="AQ64" s="106">
        <f t="shared" si="63"/>
        <v>0</v>
      </c>
      <c r="AR64" s="106">
        <f t="shared" si="63"/>
        <v>0</v>
      </c>
      <c r="AS64" s="314"/>
      <c r="AT64" s="359"/>
      <c r="AU64" s="121"/>
      <c r="AV64" s="121"/>
      <c r="AW64" s="155"/>
    </row>
    <row r="65" spans="1:49" s="100" customFormat="1" ht="24">
      <c r="A65" s="355"/>
      <c r="B65" s="356"/>
      <c r="C65" s="356"/>
      <c r="D65" s="357"/>
      <c r="E65" s="110" t="s">
        <v>257</v>
      </c>
      <c r="F65" s="106">
        <f>F72+F76+F80</f>
        <v>0</v>
      </c>
      <c r="G65" s="106">
        <f t="shared" si="63"/>
        <v>0</v>
      </c>
      <c r="H65" s="106">
        <v>0</v>
      </c>
      <c r="I65" s="106">
        <f t="shared" si="63"/>
        <v>0</v>
      </c>
      <c r="J65" s="106">
        <f t="shared" si="63"/>
        <v>0</v>
      </c>
      <c r="K65" s="106">
        <v>0</v>
      </c>
      <c r="L65" s="106">
        <f t="shared" si="63"/>
        <v>0</v>
      </c>
      <c r="M65" s="106">
        <f t="shared" si="63"/>
        <v>0</v>
      </c>
      <c r="N65" s="106">
        <f t="shared" si="63"/>
        <v>0</v>
      </c>
      <c r="O65" s="106">
        <f t="shared" si="63"/>
        <v>0</v>
      </c>
      <c r="P65" s="106">
        <f t="shared" si="63"/>
        <v>0</v>
      </c>
      <c r="Q65" s="106">
        <v>0</v>
      </c>
      <c r="R65" s="106">
        <f t="shared" si="63"/>
        <v>0</v>
      </c>
      <c r="S65" s="106">
        <f t="shared" si="63"/>
        <v>0</v>
      </c>
      <c r="T65" s="106">
        <v>0</v>
      </c>
      <c r="U65" s="106">
        <f t="shared" si="63"/>
        <v>0</v>
      </c>
      <c r="V65" s="106">
        <f t="shared" si="63"/>
        <v>0</v>
      </c>
      <c r="W65" s="106">
        <f t="shared" si="63"/>
        <v>0</v>
      </c>
      <c r="X65" s="106">
        <f t="shared" si="63"/>
        <v>0</v>
      </c>
      <c r="Y65" s="106">
        <f t="shared" si="63"/>
        <v>0</v>
      </c>
      <c r="Z65" s="106">
        <f t="shared" si="63"/>
        <v>0</v>
      </c>
      <c r="AA65" s="106">
        <f t="shared" si="63"/>
        <v>0</v>
      </c>
      <c r="AB65" s="106">
        <f t="shared" si="63"/>
        <v>0</v>
      </c>
      <c r="AC65" s="106">
        <f t="shared" si="63"/>
        <v>0</v>
      </c>
      <c r="AD65" s="106">
        <f t="shared" si="63"/>
        <v>0</v>
      </c>
      <c r="AE65" s="106">
        <f t="shared" si="63"/>
        <v>0</v>
      </c>
      <c r="AF65" s="106">
        <f t="shared" si="63"/>
        <v>0</v>
      </c>
      <c r="AG65" s="106">
        <f t="shared" si="63"/>
        <v>0</v>
      </c>
      <c r="AH65" s="106">
        <f t="shared" si="63"/>
        <v>0</v>
      </c>
      <c r="AI65" s="106">
        <f t="shared" si="63"/>
        <v>0</v>
      </c>
      <c r="AJ65" s="106">
        <f t="shared" si="63"/>
        <v>0</v>
      </c>
      <c r="AK65" s="106">
        <f t="shared" si="63"/>
        <v>0</v>
      </c>
      <c r="AL65" s="106">
        <f t="shared" si="63"/>
        <v>0</v>
      </c>
      <c r="AM65" s="106">
        <f t="shared" si="63"/>
        <v>0</v>
      </c>
      <c r="AN65" s="106">
        <f t="shared" si="63"/>
        <v>0</v>
      </c>
      <c r="AO65" s="106">
        <f t="shared" si="63"/>
        <v>0</v>
      </c>
      <c r="AP65" s="106">
        <f t="shared" si="63"/>
        <v>0</v>
      </c>
      <c r="AQ65" s="106">
        <f t="shared" si="63"/>
        <v>0</v>
      </c>
      <c r="AR65" s="106">
        <f t="shared" si="63"/>
        <v>0</v>
      </c>
      <c r="AS65" s="315"/>
      <c r="AT65" s="360"/>
      <c r="AU65" s="121"/>
      <c r="AV65" s="121"/>
      <c r="AW65" s="155"/>
    </row>
    <row r="66" spans="1:49" s="100" customFormat="1" ht="72">
      <c r="A66" s="133" t="s">
        <v>386</v>
      </c>
      <c r="B66" s="161" t="s">
        <v>280</v>
      </c>
      <c r="C66" s="162" t="s">
        <v>387</v>
      </c>
      <c r="D66" s="172" t="s">
        <v>388</v>
      </c>
      <c r="E66" s="143" t="s">
        <v>275</v>
      </c>
      <c r="F66" s="149" t="s">
        <v>279</v>
      </c>
      <c r="G66" s="149" t="s">
        <v>279</v>
      </c>
      <c r="H66" s="149" t="s">
        <v>279</v>
      </c>
      <c r="I66" s="149" t="s">
        <v>279</v>
      </c>
      <c r="J66" s="149" t="s">
        <v>279</v>
      </c>
      <c r="K66" s="149" t="s">
        <v>279</v>
      </c>
      <c r="L66" s="149" t="s">
        <v>279</v>
      </c>
      <c r="M66" s="149" t="s">
        <v>279</v>
      </c>
      <c r="N66" s="149" t="s">
        <v>279</v>
      </c>
      <c r="O66" s="149" t="s">
        <v>279</v>
      </c>
      <c r="P66" s="149" t="s">
        <v>279</v>
      </c>
      <c r="Q66" s="149" t="s">
        <v>279</v>
      </c>
      <c r="R66" s="149" t="s">
        <v>279</v>
      </c>
      <c r="S66" s="149" t="s">
        <v>279</v>
      </c>
      <c r="T66" s="149" t="s">
        <v>279</v>
      </c>
      <c r="U66" s="149" t="s">
        <v>279</v>
      </c>
      <c r="V66" s="149" t="s">
        <v>279</v>
      </c>
      <c r="W66" s="149" t="s">
        <v>279</v>
      </c>
      <c r="X66" s="149" t="s">
        <v>279</v>
      </c>
      <c r="Y66" s="149" t="s">
        <v>279</v>
      </c>
      <c r="Z66" s="149" t="s">
        <v>279</v>
      </c>
      <c r="AA66" s="149" t="s">
        <v>279</v>
      </c>
      <c r="AB66" s="149" t="s">
        <v>279</v>
      </c>
      <c r="AC66" s="149" t="s">
        <v>279</v>
      </c>
      <c r="AD66" s="149" t="s">
        <v>279</v>
      </c>
      <c r="AE66" s="149" t="s">
        <v>279</v>
      </c>
      <c r="AF66" s="149" t="s">
        <v>279</v>
      </c>
      <c r="AG66" s="149" t="s">
        <v>279</v>
      </c>
      <c r="AH66" s="149" t="s">
        <v>279</v>
      </c>
      <c r="AI66" s="149" t="s">
        <v>279</v>
      </c>
      <c r="AJ66" s="149" t="s">
        <v>279</v>
      </c>
      <c r="AK66" s="149" t="s">
        <v>279</v>
      </c>
      <c r="AL66" s="149" t="s">
        <v>279</v>
      </c>
      <c r="AM66" s="149" t="s">
        <v>279</v>
      </c>
      <c r="AN66" s="149" t="s">
        <v>279</v>
      </c>
      <c r="AO66" s="149" t="s">
        <v>279</v>
      </c>
      <c r="AP66" s="149" t="s">
        <v>279</v>
      </c>
      <c r="AQ66" s="149" t="s">
        <v>279</v>
      </c>
      <c r="AR66" s="149" t="s">
        <v>279</v>
      </c>
      <c r="AS66" s="145" t="s">
        <v>419</v>
      </c>
      <c r="AT66" s="134"/>
      <c r="AU66" s="121"/>
      <c r="AV66" s="121"/>
      <c r="AW66" s="155"/>
    </row>
    <row r="67" spans="1:49" s="100" customFormat="1" ht="96">
      <c r="A67" s="133" t="s">
        <v>389</v>
      </c>
      <c r="B67" s="161" t="s">
        <v>390</v>
      </c>
      <c r="C67" s="162" t="s">
        <v>387</v>
      </c>
      <c r="D67" s="171" t="s">
        <v>391</v>
      </c>
      <c r="E67" s="143" t="s">
        <v>275</v>
      </c>
      <c r="F67" s="149" t="s">
        <v>279</v>
      </c>
      <c r="G67" s="149" t="s">
        <v>279</v>
      </c>
      <c r="H67" s="149" t="s">
        <v>279</v>
      </c>
      <c r="I67" s="149" t="s">
        <v>279</v>
      </c>
      <c r="J67" s="149" t="s">
        <v>279</v>
      </c>
      <c r="K67" s="149" t="s">
        <v>279</v>
      </c>
      <c r="L67" s="149" t="s">
        <v>279</v>
      </c>
      <c r="M67" s="149" t="s">
        <v>279</v>
      </c>
      <c r="N67" s="149" t="s">
        <v>279</v>
      </c>
      <c r="O67" s="149" t="s">
        <v>279</v>
      </c>
      <c r="P67" s="149" t="s">
        <v>279</v>
      </c>
      <c r="Q67" s="149" t="s">
        <v>279</v>
      </c>
      <c r="R67" s="149" t="s">
        <v>279</v>
      </c>
      <c r="S67" s="149" t="s">
        <v>279</v>
      </c>
      <c r="T67" s="149" t="s">
        <v>279</v>
      </c>
      <c r="U67" s="149" t="s">
        <v>279</v>
      </c>
      <c r="V67" s="149" t="s">
        <v>279</v>
      </c>
      <c r="W67" s="149" t="s">
        <v>279</v>
      </c>
      <c r="X67" s="149" t="s">
        <v>279</v>
      </c>
      <c r="Y67" s="149" t="s">
        <v>279</v>
      </c>
      <c r="Z67" s="149" t="s">
        <v>279</v>
      </c>
      <c r="AA67" s="149" t="s">
        <v>279</v>
      </c>
      <c r="AB67" s="149" t="s">
        <v>279</v>
      </c>
      <c r="AC67" s="149" t="s">
        <v>279</v>
      </c>
      <c r="AD67" s="149" t="s">
        <v>279</v>
      </c>
      <c r="AE67" s="149" t="s">
        <v>279</v>
      </c>
      <c r="AF67" s="149" t="s">
        <v>279</v>
      </c>
      <c r="AG67" s="149" t="s">
        <v>279</v>
      </c>
      <c r="AH67" s="149" t="s">
        <v>279</v>
      </c>
      <c r="AI67" s="149" t="s">
        <v>279</v>
      </c>
      <c r="AJ67" s="149" t="s">
        <v>279</v>
      </c>
      <c r="AK67" s="149" t="s">
        <v>279</v>
      </c>
      <c r="AL67" s="149" t="s">
        <v>279</v>
      </c>
      <c r="AM67" s="149" t="s">
        <v>279</v>
      </c>
      <c r="AN67" s="149" t="s">
        <v>279</v>
      </c>
      <c r="AO67" s="149" t="s">
        <v>279</v>
      </c>
      <c r="AP67" s="149" t="s">
        <v>279</v>
      </c>
      <c r="AQ67" s="149" t="s">
        <v>279</v>
      </c>
      <c r="AR67" s="149" t="s">
        <v>279</v>
      </c>
      <c r="AS67" s="145" t="s">
        <v>420</v>
      </c>
      <c r="AT67" s="134"/>
      <c r="AU67" s="121"/>
      <c r="AV67" s="121"/>
      <c r="AW67" s="155"/>
    </row>
    <row r="68" spans="1:49" s="100" customFormat="1" ht="264">
      <c r="A68" s="133" t="s">
        <v>392</v>
      </c>
      <c r="B68" s="161" t="s">
        <v>393</v>
      </c>
      <c r="C68" s="162" t="s">
        <v>387</v>
      </c>
      <c r="D68" s="171" t="s">
        <v>394</v>
      </c>
      <c r="E68" s="143" t="s">
        <v>275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149" t="s">
        <v>279</v>
      </c>
      <c r="AS68" s="145" t="s">
        <v>421</v>
      </c>
      <c r="AT68" s="134"/>
      <c r="AU68" s="121"/>
      <c r="AV68" s="121"/>
      <c r="AW68" s="155"/>
    </row>
    <row r="69" spans="1:49" s="31" customFormat="1" ht="12.75">
      <c r="A69" s="322" t="s">
        <v>395</v>
      </c>
      <c r="B69" s="325" t="s">
        <v>396</v>
      </c>
      <c r="C69" s="328" t="s">
        <v>277</v>
      </c>
      <c r="D69" s="331" t="s">
        <v>397</v>
      </c>
      <c r="E69" s="107" t="s">
        <v>42</v>
      </c>
      <c r="F69" s="123">
        <f>SUM(F70:F72)</f>
        <v>1572.1</v>
      </c>
      <c r="G69" s="123">
        <f t="shared" ref="G69" si="67">SUM(G70:G72)</f>
        <v>227.2</v>
      </c>
      <c r="H69" s="123">
        <f>G69/F69*100</f>
        <v>14.452006869791997</v>
      </c>
      <c r="I69" s="138">
        <f t="shared" ref="I69:AP69" si="68">I70+I71+I72</f>
        <v>0</v>
      </c>
      <c r="J69" s="138">
        <f t="shared" si="68"/>
        <v>0</v>
      </c>
      <c r="K69" s="123">
        <v>0</v>
      </c>
      <c r="L69" s="138">
        <f t="shared" si="68"/>
        <v>177.39999999999998</v>
      </c>
      <c r="M69" s="132">
        <f t="shared" si="68"/>
        <v>158.1</v>
      </c>
      <c r="N69" s="132">
        <f>M69/L69*100</f>
        <v>89.120631341600912</v>
      </c>
      <c r="O69" s="132">
        <f t="shared" si="68"/>
        <v>70.000000000000014</v>
      </c>
      <c r="P69" s="132">
        <f t="shared" si="68"/>
        <v>69.099999999999994</v>
      </c>
      <c r="Q69" s="123">
        <f t="shared" ref="Q69:Q79" si="69">P69/O69*100</f>
        <v>98.714285714285694</v>
      </c>
      <c r="R69" s="132">
        <f t="shared" si="68"/>
        <v>61.4</v>
      </c>
      <c r="S69" s="132">
        <f t="shared" si="68"/>
        <v>0</v>
      </c>
      <c r="T69" s="132">
        <f>S69/R69*100</f>
        <v>0</v>
      </c>
      <c r="U69" s="138">
        <f t="shared" si="68"/>
        <v>61.4</v>
      </c>
      <c r="V69" s="138">
        <f t="shared" si="68"/>
        <v>0</v>
      </c>
      <c r="W69" s="132">
        <f t="shared" ref="W69" si="70">V69/U69*100</f>
        <v>0</v>
      </c>
      <c r="X69" s="132">
        <f t="shared" si="68"/>
        <v>61.4</v>
      </c>
      <c r="Y69" s="132">
        <f t="shared" si="68"/>
        <v>0</v>
      </c>
      <c r="Z69" s="132">
        <f t="shared" ref="Z69" si="71">Y69/X69*100</f>
        <v>0</v>
      </c>
      <c r="AA69" s="132">
        <f t="shared" si="68"/>
        <v>61.4</v>
      </c>
      <c r="AB69" s="132">
        <f t="shared" si="68"/>
        <v>0</v>
      </c>
      <c r="AC69" s="132">
        <f t="shared" ref="AC69" si="72">AB69/AA69*100</f>
        <v>0</v>
      </c>
      <c r="AD69" s="132">
        <f t="shared" si="68"/>
        <v>61.4</v>
      </c>
      <c r="AE69" s="138">
        <f t="shared" si="68"/>
        <v>0</v>
      </c>
      <c r="AF69" s="104">
        <f t="shared" ref="AF69" si="73">AE69/AD69*100</f>
        <v>0</v>
      </c>
      <c r="AG69" s="138">
        <f t="shared" si="68"/>
        <v>61.4</v>
      </c>
      <c r="AH69" s="138">
        <f t="shared" si="68"/>
        <v>0</v>
      </c>
      <c r="AI69" s="132">
        <f t="shared" ref="AI69" si="74">AH69/AG69*100</f>
        <v>0</v>
      </c>
      <c r="AJ69" s="138">
        <f t="shared" si="68"/>
        <v>61.4</v>
      </c>
      <c r="AK69" s="138">
        <f t="shared" si="68"/>
        <v>0</v>
      </c>
      <c r="AL69" s="138">
        <f t="shared" si="68"/>
        <v>0</v>
      </c>
      <c r="AM69" s="138">
        <f t="shared" si="68"/>
        <v>780.5</v>
      </c>
      <c r="AN69" s="138">
        <f t="shared" si="68"/>
        <v>0</v>
      </c>
      <c r="AO69" s="138">
        <f t="shared" si="68"/>
        <v>0</v>
      </c>
      <c r="AP69" s="138">
        <f t="shared" si="68"/>
        <v>114.39999999999999</v>
      </c>
      <c r="AQ69" s="104"/>
      <c r="AR69" s="104"/>
      <c r="AS69" s="334" t="s">
        <v>422</v>
      </c>
      <c r="AT69" s="419" t="s">
        <v>423</v>
      </c>
      <c r="AU69" s="121"/>
      <c r="AV69" s="121"/>
      <c r="AW69" s="155"/>
    </row>
    <row r="70" spans="1:49" s="31" customFormat="1" ht="36">
      <c r="A70" s="323"/>
      <c r="B70" s="326"/>
      <c r="C70" s="329"/>
      <c r="D70" s="332"/>
      <c r="E70" s="108" t="s">
        <v>3</v>
      </c>
      <c r="F70" s="123">
        <f>I70+L70+O70+R70+U70+X70+AA70+AD70+AG70+AJ70+AM70+AP70</f>
        <v>0</v>
      </c>
      <c r="G70" s="123">
        <f>J70+M70+P70+S70+V70+Y70+AB70+AE70+AH70+AK70+AN70+AQ70</f>
        <v>0</v>
      </c>
      <c r="H70" s="123">
        <v>0</v>
      </c>
      <c r="I70" s="123">
        <v>0</v>
      </c>
      <c r="J70" s="123">
        <v>0</v>
      </c>
      <c r="K70" s="123">
        <v>0</v>
      </c>
      <c r="L70" s="150">
        <v>0</v>
      </c>
      <c r="M70" s="123">
        <v>0</v>
      </c>
      <c r="N70" s="138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32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23">
        <v>0</v>
      </c>
      <c r="AK70" s="123">
        <v>0</v>
      </c>
      <c r="AL70" s="123">
        <v>0</v>
      </c>
      <c r="AM70" s="117">
        <v>0</v>
      </c>
      <c r="AN70" s="117">
        <v>0</v>
      </c>
      <c r="AO70" s="117">
        <v>0</v>
      </c>
      <c r="AP70" s="123">
        <v>0</v>
      </c>
      <c r="AQ70" s="104"/>
      <c r="AR70" s="104"/>
      <c r="AS70" s="335"/>
      <c r="AT70" s="420"/>
      <c r="AU70" s="121"/>
      <c r="AV70" s="121"/>
      <c r="AW70" s="155"/>
    </row>
    <row r="71" spans="1:49" s="31" customFormat="1" ht="12.75">
      <c r="A71" s="323"/>
      <c r="B71" s="326"/>
      <c r="C71" s="329"/>
      <c r="D71" s="332"/>
      <c r="E71" s="108" t="s">
        <v>44</v>
      </c>
      <c r="F71" s="123">
        <f t="shared" ref="F71:G72" si="75">I71+L71+O71+R71+U71+X71+AA71+AD71+AG71+AJ71+AM71+AP71</f>
        <v>1572.1</v>
      </c>
      <c r="G71" s="123">
        <f t="shared" si="75"/>
        <v>227.2</v>
      </c>
      <c r="H71" s="123">
        <f>G71/F71*100</f>
        <v>14.452006869791997</v>
      </c>
      <c r="I71" s="123">
        <v>0</v>
      </c>
      <c r="J71" s="123">
        <v>0</v>
      </c>
      <c r="K71" s="123">
        <v>0</v>
      </c>
      <c r="L71" s="150">
        <f>61.4+10.2+105.8</f>
        <v>177.39999999999998</v>
      </c>
      <c r="M71" s="123">
        <v>158.1</v>
      </c>
      <c r="N71" s="138">
        <f t="shared" ref="N71" si="76">M71/L71*100</f>
        <v>89.120631341600912</v>
      </c>
      <c r="O71" s="123">
        <f>207.4-31.6-105.8</f>
        <v>70.000000000000014</v>
      </c>
      <c r="P71" s="123">
        <v>69.099999999999994</v>
      </c>
      <c r="Q71" s="123">
        <f t="shared" si="69"/>
        <v>98.714285714285694</v>
      </c>
      <c r="R71" s="123">
        <v>61.4</v>
      </c>
      <c r="S71" s="123">
        <v>0</v>
      </c>
      <c r="T71" s="132">
        <f t="shared" ref="T71:T79" si="77">S71/R71*100</f>
        <v>0</v>
      </c>
      <c r="U71" s="117">
        <v>61.4</v>
      </c>
      <c r="V71" s="117">
        <v>0</v>
      </c>
      <c r="W71" s="132">
        <f t="shared" ref="W71" si="78">V71/U71*100</f>
        <v>0</v>
      </c>
      <c r="X71" s="117">
        <v>61.4</v>
      </c>
      <c r="Y71" s="117">
        <v>0</v>
      </c>
      <c r="Z71" s="132">
        <f t="shared" ref="Z71" si="79">Y71/X71*100</f>
        <v>0</v>
      </c>
      <c r="AA71" s="117">
        <v>61.4</v>
      </c>
      <c r="AB71" s="117">
        <v>0</v>
      </c>
      <c r="AC71" s="132">
        <f t="shared" ref="AC71" si="80">AB71/AA71*100</f>
        <v>0</v>
      </c>
      <c r="AD71" s="117">
        <v>61.4</v>
      </c>
      <c r="AE71" s="117">
        <v>0</v>
      </c>
      <c r="AF71" s="132">
        <f t="shared" ref="AF71" si="81">AE71/AD71*100</f>
        <v>0</v>
      </c>
      <c r="AG71" s="117">
        <v>61.4</v>
      </c>
      <c r="AH71" s="117">
        <v>0</v>
      </c>
      <c r="AI71" s="132">
        <f t="shared" ref="AI71" si="82">AH71/AG71*100</f>
        <v>0</v>
      </c>
      <c r="AJ71" s="123">
        <v>61.4</v>
      </c>
      <c r="AK71" s="123">
        <v>0</v>
      </c>
      <c r="AL71" s="123">
        <v>0</v>
      </c>
      <c r="AM71" s="117">
        <f>790.7-10.2</f>
        <v>780.5</v>
      </c>
      <c r="AN71" s="117">
        <v>0</v>
      </c>
      <c r="AO71" s="117">
        <v>0</v>
      </c>
      <c r="AP71" s="123">
        <f>122.8-8.4</f>
        <v>114.39999999999999</v>
      </c>
      <c r="AQ71" s="104"/>
      <c r="AR71" s="104"/>
      <c r="AS71" s="335"/>
      <c r="AT71" s="420"/>
      <c r="AU71" s="121"/>
      <c r="AV71" s="121"/>
      <c r="AW71" s="155"/>
    </row>
    <row r="72" spans="1:49" s="31" customFormat="1" ht="39.75" customHeight="1">
      <c r="A72" s="324"/>
      <c r="B72" s="327"/>
      <c r="C72" s="330"/>
      <c r="D72" s="333"/>
      <c r="E72" s="109" t="s">
        <v>257</v>
      </c>
      <c r="F72" s="123">
        <f t="shared" si="75"/>
        <v>0</v>
      </c>
      <c r="G72" s="123">
        <f t="shared" si="75"/>
        <v>0</v>
      </c>
      <c r="H72" s="123">
        <v>0</v>
      </c>
      <c r="I72" s="123">
        <v>0</v>
      </c>
      <c r="J72" s="123">
        <v>0</v>
      </c>
      <c r="K72" s="123">
        <v>0</v>
      </c>
      <c r="L72" s="150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32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23">
        <v>0</v>
      </c>
      <c r="AK72" s="123">
        <v>0</v>
      </c>
      <c r="AL72" s="123">
        <v>0</v>
      </c>
      <c r="AM72" s="117">
        <v>0</v>
      </c>
      <c r="AN72" s="117">
        <v>0</v>
      </c>
      <c r="AO72" s="117">
        <v>0</v>
      </c>
      <c r="AP72" s="123">
        <v>0</v>
      </c>
      <c r="AQ72" s="104"/>
      <c r="AR72" s="104"/>
      <c r="AS72" s="336"/>
      <c r="AT72" s="421"/>
      <c r="AU72" s="121"/>
      <c r="AV72" s="121"/>
      <c r="AW72" s="155"/>
    </row>
    <row r="73" spans="1:49" s="31" customFormat="1" ht="12.75">
      <c r="A73" s="322" t="s">
        <v>398</v>
      </c>
      <c r="B73" s="325" t="s">
        <v>258</v>
      </c>
      <c r="C73" s="328" t="s">
        <v>277</v>
      </c>
      <c r="D73" s="331" t="s">
        <v>400</v>
      </c>
      <c r="E73" s="107" t="s">
        <v>42</v>
      </c>
      <c r="F73" s="123">
        <f>SUM(F74:F76)</f>
        <v>455.1</v>
      </c>
      <c r="G73" s="123">
        <f t="shared" ref="G73" si="83">SUM(G74:G76)</f>
        <v>0</v>
      </c>
      <c r="H73" s="123">
        <f>G73/F73*100</f>
        <v>0</v>
      </c>
      <c r="I73" s="138">
        <f t="shared" ref="I73:AP73" si="84">I74+I75+I76</f>
        <v>0</v>
      </c>
      <c r="J73" s="138">
        <f t="shared" si="84"/>
        <v>0</v>
      </c>
      <c r="K73" s="123">
        <v>0</v>
      </c>
      <c r="L73" s="138">
        <f t="shared" si="84"/>
        <v>0</v>
      </c>
      <c r="M73" s="132">
        <f t="shared" si="84"/>
        <v>0</v>
      </c>
      <c r="N73" s="132">
        <v>0</v>
      </c>
      <c r="O73" s="132">
        <f t="shared" si="84"/>
        <v>0</v>
      </c>
      <c r="P73" s="132">
        <f t="shared" si="84"/>
        <v>0</v>
      </c>
      <c r="Q73" s="123">
        <v>0</v>
      </c>
      <c r="R73" s="132">
        <f t="shared" si="84"/>
        <v>0</v>
      </c>
      <c r="S73" s="132">
        <f t="shared" si="84"/>
        <v>0</v>
      </c>
      <c r="T73" s="132">
        <v>0</v>
      </c>
      <c r="U73" s="132">
        <f t="shared" si="84"/>
        <v>0</v>
      </c>
      <c r="V73" s="132">
        <f t="shared" si="84"/>
        <v>0</v>
      </c>
      <c r="W73" s="132">
        <f t="shared" si="84"/>
        <v>0</v>
      </c>
      <c r="X73" s="132">
        <f t="shared" si="84"/>
        <v>0</v>
      </c>
      <c r="Y73" s="132">
        <f t="shared" si="84"/>
        <v>0</v>
      </c>
      <c r="Z73" s="138">
        <f t="shared" si="84"/>
        <v>0</v>
      </c>
      <c r="AA73" s="138">
        <f t="shared" si="84"/>
        <v>0</v>
      </c>
      <c r="AB73" s="138">
        <f t="shared" si="84"/>
        <v>0</v>
      </c>
      <c r="AC73" s="138">
        <f t="shared" si="84"/>
        <v>0</v>
      </c>
      <c r="AD73" s="132">
        <f t="shared" si="84"/>
        <v>0</v>
      </c>
      <c r="AE73" s="132">
        <f t="shared" si="84"/>
        <v>0</v>
      </c>
      <c r="AF73" s="132">
        <f t="shared" si="84"/>
        <v>0</v>
      </c>
      <c r="AG73" s="132">
        <f t="shared" si="84"/>
        <v>0</v>
      </c>
      <c r="AH73" s="132">
        <f t="shared" si="84"/>
        <v>0</v>
      </c>
      <c r="AI73" s="132">
        <f t="shared" si="84"/>
        <v>0</v>
      </c>
      <c r="AJ73" s="132">
        <f t="shared" si="84"/>
        <v>0</v>
      </c>
      <c r="AK73" s="132">
        <f t="shared" si="84"/>
        <v>0</v>
      </c>
      <c r="AL73" s="132">
        <f t="shared" si="84"/>
        <v>0</v>
      </c>
      <c r="AM73" s="132">
        <f t="shared" si="84"/>
        <v>455.1</v>
      </c>
      <c r="AN73" s="132">
        <f t="shared" si="84"/>
        <v>0</v>
      </c>
      <c r="AO73" s="132">
        <f t="shared" si="84"/>
        <v>0</v>
      </c>
      <c r="AP73" s="132">
        <f t="shared" si="84"/>
        <v>0</v>
      </c>
      <c r="AQ73" s="104"/>
      <c r="AR73" s="104"/>
      <c r="AS73" s="340" t="s">
        <v>425</v>
      </c>
      <c r="AT73" s="422" t="s">
        <v>424</v>
      </c>
      <c r="AU73" s="121"/>
      <c r="AV73" s="121"/>
      <c r="AW73" s="155"/>
    </row>
    <row r="74" spans="1:49" s="31" customFormat="1" ht="36">
      <c r="A74" s="323"/>
      <c r="B74" s="326"/>
      <c r="C74" s="329"/>
      <c r="D74" s="332"/>
      <c r="E74" s="108" t="s">
        <v>3</v>
      </c>
      <c r="F74" s="123">
        <f>I74+L74+O74+R74+U74+X74+AA74+AD74+AG74+AJ74+AM74+AP74</f>
        <v>0</v>
      </c>
      <c r="G74" s="123">
        <f>J74+M74+P74+S74+V74+Y74+AB74+AE74+AH74+AK74+AN74+AQ74</f>
        <v>0</v>
      </c>
      <c r="H74" s="123">
        <v>0</v>
      </c>
      <c r="I74" s="123">
        <v>0</v>
      </c>
      <c r="J74" s="123">
        <v>0</v>
      </c>
      <c r="K74" s="123">
        <v>0</v>
      </c>
      <c r="L74" s="150">
        <v>0</v>
      </c>
      <c r="M74" s="123">
        <v>0</v>
      </c>
      <c r="N74" s="138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38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23">
        <v>0</v>
      </c>
      <c r="AK74" s="123">
        <v>0</v>
      </c>
      <c r="AL74" s="123">
        <v>0</v>
      </c>
      <c r="AM74" s="117">
        <v>0</v>
      </c>
      <c r="AN74" s="117">
        <v>0</v>
      </c>
      <c r="AO74" s="117">
        <v>0</v>
      </c>
      <c r="AP74" s="123">
        <v>0</v>
      </c>
      <c r="AQ74" s="104"/>
      <c r="AR74" s="104"/>
      <c r="AS74" s="341"/>
      <c r="AT74" s="423"/>
      <c r="AU74" s="121"/>
      <c r="AV74" s="121"/>
      <c r="AW74" s="155"/>
    </row>
    <row r="75" spans="1:49" s="31" customFormat="1" ht="24.75" customHeight="1">
      <c r="A75" s="323"/>
      <c r="B75" s="326"/>
      <c r="C75" s="329"/>
      <c r="D75" s="332"/>
      <c r="E75" s="108" t="s">
        <v>44</v>
      </c>
      <c r="F75" s="123">
        <f t="shared" ref="F75:G76" si="85">I75+L75+O75+R75+U75+X75+AA75+AD75+AG75+AJ75+AM75+AP75</f>
        <v>455.1</v>
      </c>
      <c r="G75" s="123">
        <f t="shared" si="85"/>
        <v>0</v>
      </c>
      <c r="H75" s="123">
        <f>G75/F75*100</f>
        <v>0</v>
      </c>
      <c r="I75" s="123">
        <v>0</v>
      </c>
      <c r="J75" s="123">
        <v>0</v>
      </c>
      <c r="K75" s="123">
        <v>0</v>
      </c>
      <c r="L75" s="150">
        <v>0</v>
      </c>
      <c r="M75" s="123">
        <v>0</v>
      </c>
      <c r="N75" s="138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38">
        <v>0</v>
      </c>
      <c r="U75" s="117">
        <v>0</v>
      </c>
      <c r="V75" s="117">
        <v>0</v>
      </c>
      <c r="W75" s="117">
        <v>0</v>
      </c>
      <c r="X75" s="117">
        <v>0</v>
      </c>
      <c r="Y75" s="117">
        <v>0</v>
      </c>
      <c r="Z75" s="117">
        <v>0</v>
      </c>
      <c r="AA75" s="117">
        <v>0</v>
      </c>
      <c r="AB75" s="117">
        <v>0</v>
      </c>
      <c r="AC75" s="117">
        <v>0</v>
      </c>
      <c r="AD75" s="117">
        <v>0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23">
        <v>0</v>
      </c>
      <c r="AK75" s="123">
        <v>0</v>
      </c>
      <c r="AL75" s="123">
        <v>0</v>
      </c>
      <c r="AM75" s="117">
        <v>455.1</v>
      </c>
      <c r="AN75" s="117">
        <v>0</v>
      </c>
      <c r="AO75" s="117">
        <v>0</v>
      </c>
      <c r="AP75" s="123">
        <v>0</v>
      </c>
      <c r="AQ75" s="104"/>
      <c r="AR75" s="104"/>
      <c r="AS75" s="341"/>
      <c r="AT75" s="423"/>
      <c r="AU75" s="121"/>
      <c r="AV75" s="121"/>
      <c r="AW75" s="155"/>
    </row>
    <row r="76" spans="1:49" s="31" customFormat="1" ht="24" customHeight="1">
      <c r="A76" s="324"/>
      <c r="B76" s="327"/>
      <c r="C76" s="330"/>
      <c r="D76" s="333"/>
      <c r="E76" s="109" t="s">
        <v>257</v>
      </c>
      <c r="F76" s="123">
        <f t="shared" si="85"/>
        <v>0</v>
      </c>
      <c r="G76" s="123">
        <f t="shared" si="85"/>
        <v>0</v>
      </c>
      <c r="H76" s="123">
        <v>0</v>
      </c>
      <c r="I76" s="123">
        <v>0</v>
      </c>
      <c r="J76" s="123">
        <v>0</v>
      </c>
      <c r="K76" s="123">
        <v>0</v>
      </c>
      <c r="L76" s="150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38">
        <v>0</v>
      </c>
      <c r="U76" s="117">
        <v>0</v>
      </c>
      <c r="V76" s="117">
        <v>0</v>
      </c>
      <c r="W76" s="117">
        <v>0</v>
      </c>
      <c r="X76" s="117">
        <v>0</v>
      </c>
      <c r="Y76" s="117">
        <v>0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23">
        <v>0</v>
      </c>
      <c r="AK76" s="123">
        <v>0</v>
      </c>
      <c r="AL76" s="123">
        <v>0</v>
      </c>
      <c r="AM76" s="117">
        <v>0</v>
      </c>
      <c r="AN76" s="117">
        <v>0</v>
      </c>
      <c r="AO76" s="117">
        <v>0</v>
      </c>
      <c r="AP76" s="123">
        <v>0</v>
      </c>
      <c r="AQ76" s="104"/>
      <c r="AR76" s="104"/>
      <c r="AS76" s="342"/>
      <c r="AT76" s="424"/>
      <c r="AU76" s="121"/>
      <c r="AV76" s="121"/>
      <c r="AW76" s="155"/>
    </row>
    <row r="77" spans="1:49" s="31" customFormat="1" ht="12.75">
      <c r="A77" s="322" t="s">
        <v>399</v>
      </c>
      <c r="B77" s="325" t="s">
        <v>295</v>
      </c>
      <c r="C77" s="328" t="s">
        <v>401</v>
      </c>
      <c r="D77" s="331" t="s">
        <v>402</v>
      </c>
      <c r="E77" s="107" t="s">
        <v>42</v>
      </c>
      <c r="F77" s="123">
        <f>SUM(F78:F80)</f>
        <v>8560.9</v>
      </c>
      <c r="G77" s="123">
        <f t="shared" ref="G77" si="86">SUM(G78:G80)</f>
        <v>17.8</v>
      </c>
      <c r="H77" s="123">
        <f>G77/F77*100</f>
        <v>0.20792206426894369</v>
      </c>
      <c r="I77" s="132">
        <f t="shared" ref="I77:AP77" si="87">I78+I79+I80</f>
        <v>0</v>
      </c>
      <c r="J77" s="132">
        <f t="shared" si="87"/>
        <v>0</v>
      </c>
      <c r="K77" s="123">
        <v>0</v>
      </c>
      <c r="L77" s="132">
        <f t="shared" si="87"/>
        <v>16</v>
      </c>
      <c r="M77" s="132">
        <f t="shared" si="87"/>
        <v>15.6</v>
      </c>
      <c r="N77" s="132">
        <f>M77/L77*100</f>
        <v>97.5</v>
      </c>
      <c r="O77" s="132">
        <f t="shared" si="87"/>
        <v>103.90000000000009</v>
      </c>
      <c r="P77" s="132">
        <f t="shared" si="87"/>
        <v>2.2000000000000002</v>
      </c>
      <c r="Q77" s="123">
        <f t="shared" si="69"/>
        <v>2.1174205967276212</v>
      </c>
      <c r="R77" s="132">
        <f t="shared" si="87"/>
        <v>4277.3999999999996</v>
      </c>
      <c r="S77" s="132">
        <f t="shared" si="87"/>
        <v>0</v>
      </c>
      <c r="T77" s="132">
        <f t="shared" si="77"/>
        <v>0</v>
      </c>
      <c r="U77" s="132">
        <f t="shared" si="87"/>
        <v>1239.2</v>
      </c>
      <c r="V77" s="132">
        <f t="shared" si="87"/>
        <v>0</v>
      </c>
      <c r="W77" s="138">
        <f t="shared" ref="W77" si="88">V77/U77*100</f>
        <v>0</v>
      </c>
      <c r="X77" s="132">
        <f t="shared" si="87"/>
        <v>1227.2</v>
      </c>
      <c r="Y77" s="132">
        <f t="shared" si="87"/>
        <v>0</v>
      </c>
      <c r="Z77" s="132">
        <f t="shared" si="87"/>
        <v>0</v>
      </c>
      <c r="AA77" s="132">
        <f t="shared" si="87"/>
        <v>1014.2</v>
      </c>
      <c r="AB77" s="132">
        <f t="shared" si="87"/>
        <v>0</v>
      </c>
      <c r="AC77" s="117">
        <f>AB77/AA77*100</f>
        <v>0</v>
      </c>
      <c r="AD77" s="132">
        <f t="shared" si="87"/>
        <v>89.2</v>
      </c>
      <c r="AE77" s="132">
        <f t="shared" si="87"/>
        <v>0</v>
      </c>
      <c r="AF77" s="104">
        <f t="shared" ref="AF77" si="89">AE77/AD77*100</f>
        <v>0</v>
      </c>
      <c r="AG77" s="132">
        <f t="shared" si="87"/>
        <v>139.19999999999999</v>
      </c>
      <c r="AH77" s="132">
        <f t="shared" si="87"/>
        <v>0</v>
      </c>
      <c r="AI77" s="104">
        <f t="shared" ref="AI77" si="90">AH77/AG77*100</f>
        <v>0</v>
      </c>
      <c r="AJ77" s="132">
        <f t="shared" si="87"/>
        <v>101.2</v>
      </c>
      <c r="AK77" s="132">
        <f t="shared" si="87"/>
        <v>0</v>
      </c>
      <c r="AL77" s="132">
        <f t="shared" si="87"/>
        <v>0</v>
      </c>
      <c r="AM77" s="132">
        <f t="shared" si="87"/>
        <v>104.2</v>
      </c>
      <c r="AN77" s="132">
        <f t="shared" si="87"/>
        <v>0</v>
      </c>
      <c r="AO77" s="132">
        <f t="shared" si="87"/>
        <v>0</v>
      </c>
      <c r="AP77" s="132">
        <f t="shared" si="87"/>
        <v>249.20000000000002</v>
      </c>
      <c r="AQ77" s="104"/>
      <c r="AR77" s="104"/>
      <c r="AS77" s="334" t="s">
        <v>427</v>
      </c>
      <c r="AT77" s="419" t="s">
        <v>426</v>
      </c>
      <c r="AU77" s="121"/>
      <c r="AV77" s="121"/>
      <c r="AW77" s="155"/>
    </row>
    <row r="78" spans="1:49" s="31" customFormat="1" ht="36">
      <c r="A78" s="323"/>
      <c r="B78" s="326"/>
      <c r="C78" s="329"/>
      <c r="D78" s="332"/>
      <c r="E78" s="108" t="s">
        <v>3</v>
      </c>
      <c r="F78" s="123">
        <f>I78+L78+O78+R78+U78+X78+AA78+AD78+AG78+AJ78+AM78+AP78</f>
        <v>0</v>
      </c>
      <c r="G78" s="123">
        <f>J78+M78+P78+S78+V78+Y78+AB78+AE78+AH78+AK78+AN78+AQ78</f>
        <v>0</v>
      </c>
      <c r="H78" s="123">
        <v>0</v>
      </c>
      <c r="I78" s="123">
        <v>0</v>
      </c>
      <c r="J78" s="123">
        <v>0</v>
      </c>
      <c r="K78" s="123">
        <v>0</v>
      </c>
      <c r="L78" s="150">
        <v>0</v>
      </c>
      <c r="M78" s="123">
        <v>0</v>
      </c>
      <c r="N78" s="138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38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23">
        <v>0</v>
      </c>
      <c r="AK78" s="123">
        <v>0</v>
      </c>
      <c r="AL78" s="123">
        <v>0</v>
      </c>
      <c r="AM78" s="117">
        <v>0</v>
      </c>
      <c r="AN78" s="117">
        <v>0</v>
      </c>
      <c r="AO78" s="117">
        <v>0</v>
      </c>
      <c r="AP78" s="123">
        <v>0</v>
      </c>
      <c r="AQ78" s="104"/>
      <c r="AR78" s="104"/>
      <c r="AS78" s="335"/>
      <c r="AT78" s="420"/>
      <c r="AU78" s="121"/>
      <c r="AV78" s="121"/>
      <c r="AW78" s="155"/>
    </row>
    <row r="79" spans="1:49" s="31" customFormat="1" ht="12.75">
      <c r="A79" s="323"/>
      <c r="B79" s="326"/>
      <c r="C79" s="329"/>
      <c r="D79" s="332"/>
      <c r="E79" s="108" t="s">
        <v>44</v>
      </c>
      <c r="F79" s="123">
        <f t="shared" ref="F79:G80" si="91">I79+L79+O79+R79+U79+X79+AA79+AD79+AG79+AJ79+AM79+AP79</f>
        <v>8560.9</v>
      </c>
      <c r="G79" s="123">
        <f t="shared" si="91"/>
        <v>17.8</v>
      </c>
      <c r="H79" s="123">
        <f>G79/F79*100</f>
        <v>0.20792206426894369</v>
      </c>
      <c r="I79" s="123">
        <v>0</v>
      </c>
      <c r="J79" s="123">
        <v>0</v>
      </c>
      <c r="K79" s="123">
        <v>0</v>
      </c>
      <c r="L79" s="150">
        <f>2231.1+45-2276.1+16</f>
        <v>16</v>
      </c>
      <c r="M79" s="123">
        <v>15.6</v>
      </c>
      <c r="N79" s="138">
        <f t="shared" ref="N79" si="92">M79/L79*100</f>
        <v>97.5</v>
      </c>
      <c r="O79" s="123">
        <f>1844+40+50-1734.1-16-80</f>
        <v>103.90000000000009</v>
      </c>
      <c r="P79" s="123">
        <v>2.2000000000000002</v>
      </c>
      <c r="Q79" s="123">
        <f t="shared" si="69"/>
        <v>2.1174205967276212</v>
      </c>
      <c r="R79" s="123">
        <f>229.2+38+4010.2</f>
        <v>4277.3999999999996</v>
      </c>
      <c r="S79" s="123">
        <v>0</v>
      </c>
      <c r="T79" s="138">
        <f t="shared" si="77"/>
        <v>0</v>
      </c>
      <c r="U79" s="117">
        <f>1129.2+30+80</f>
        <v>1239.2</v>
      </c>
      <c r="V79" s="117">
        <v>0</v>
      </c>
      <c r="W79" s="138">
        <f t="shared" ref="W79" si="93">V79/U79*100</f>
        <v>0</v>
      </c>
      <c r="X79" s="117">
        <f>1149.2+28+50</f>
        <v>1227.2</v>
      </c>
      <c r="Y79" s="117">
        <v>0</v>
      </c>
      <c r="Z79" s="117">
        <f>Y79/X79*100</f>
        <v>0</v>
      </c>
      <c r="AA79" s="117">
        <f>994.2+20</f>
        <v>1014.2</v>
      </c>
      <c r="AB79" s="117">
        <v>0</v>
      </c>
      <c r="AC79" s="117">
        <f>AB79/AA79*100</f>
        <v>0</v>
      </c>
      <c r="AD79" s="117">
        <f>69.2+20</f>
        <v>89.2</v>
      </c>
      <c r="AE79" s="117">
        <v>0</v>
      </c>
      <c r="AF79" s="117">
        <f>AE79/AD79*100</f>
        <v>0</v>
      </c>
      <c r="AG79" s="117">
        <f>69.2+20+50</f>
        <v>139.19999999999999</v>
      </c>
      <c r="AH79" s="117">
        <v>0</v>
      </c>
      <c r="AI79" s="104">
        <f t="shared" ref="AI79" si="94">AH79/AG79*100</f>
        <v>0</v>
      </c>
      <c r="AJ79" s="123">
        <f>69.2+32</f>
        <v>101.2</v>
      </c>
      <c r="AK79" s="123">
        <v>0</v>
      </c>
      <c r="AL79" s="123">
        <v>0</v>
      </c>
      <c r="AM79" s="117">
        <f>69.2+35</f>
        <v>104.2</v>
      </c>
      <c r="AN79" s="117">
        <v>0</v>
      </c>
      <c r="AO79" s="117">
        <v>0</v>
      </c>
      <c r="AP79" s="123">
        <f>187.8+61.4+24.7*2-49.4</f>
        <v>249.20000000000002</v>
      </c>
      <c r="AQ79" s="104"/>
      <c r="AR79" s="104"/>
      <c r="AS79" s="335"/>
      <c r="AT79" s="420"/>
      <c r="AU79" s="121"/>
      <c r="AV79" s="121"/>
      <c r="AW79" s="155"/>
    </row>
    <row r="80" spans="1:49" s="31" customFormat="1" ht="9" customHeight="1">
      <c r="A80" s="324"/>
      <c r="B80" s="327"/>
      <c r="C80" s="330"/>
      <c r="D80" s="333"/>
      <c r="E80" s="109" t="s">
        <v>257</v>
      </c>
      <c r="F80" s="123">
        <f t="shared" si="91"/>
        <v>0</v>
      </c>
      <c r="G80" s="123">
        <f t="shared" si="91"/>
        <v>0</v>
      </c>
      <c r="H80" s="123">
        <v>0</v>
      </c>
      <c r="I80" s="123">
        <v>0</v>
      </c>
      <c r="J80" s="123">
        <v>0</v>
      </c>
      <c r="K80" s="123">
        <v>0</v>
      </c>
      <c r="L80" s="150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38">
        <v>0</v>
      </c>
      <c r="U80" s="117">
        <v>0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23">
        <v>0</v>
      </c>
      <c r="AK80" s="123">
        <v>0</v>
      </c>
      <c r="AL80" s="123">
        <v>0</v>
      </c>
      <c r="AM80" s="117">
        <v>0</v>
      </c>
      <c r="AN80" s="117">
        <v>0</v>
      </c>
      <c r="AO80" s="117">
        <v>0</v>
      </c>
      <c r="AP80" s="123">
        <v>0</v>
      </c>
      <c r="AQ80" s="104"/>
      <c r="AR80" s="104"/>
      <c r="AS80" s="336"/>
      <c r="AT80" s="421"/>
      <c r="AU80" s="121"/>
      <c r="AV80" s="121"/>
      <c r="AW80" s="155"/>
    </row>
    <row r="81" spans="1:48" s="100" customFormat="1" ht="12.75">
      <c r="A81" s="304" t="s">
        <v>256</v>
      </c>
      <c r="B81" s="305"/>
      <c r="C81" s="305"/>
      <c r="D81" s="306"/>
      <c r="E81" s="110" t="s">
        <v>42</v>
      </c>
      <c r="F81" s="106">
        <f>F82+F83+F84</f>
        <v>433567.59999999992</v>
      </c>
      <c r="G81" s="106">
        <f t="shared" ref="G81:AP81" si="95">G82+G83+G84</f>
        <v>87573.099999999977</v>
      </c>
      <c r="H81" s="106">
        <f>G81/F81*100</f>
        <v>20.198257434365484</v>
      </c>
      <c r="I81" s="106">
        <f t="shared" si="95"/>
        <v>13742.399999999998</v>
      </c>
      <c r="J81" s="106">
        <f t="shared" si="95"/>
        <v>25267</v>
      </c>
      <c r="K81" s="106">
        <f>J81/I81*100</f>
        <v>183.86162533473049</v>
      </c>
      <c r="L81" s="106">
        <f t="shared" si="95"/>
        <v>42724.600000000006</v>
      </c>
      <c r="M81" s="106">
        <f t="shared" si="95"/>
        <v>33691.599999999999</v>
      </c>
      <c r="N81" s="106">
        <f>M81/L81*100</f>
        <v>78.857613646470639</v>
      </c>
      <c r="O81" s="106">
        <f t="shared" si="95"/>
        <v>36856.100000000006</v>
      </c>
      <c r="P81" s="106">
        <f t="shared" si="95"/>
        <v>28614.499999999996</v>
      </c>
      <c r="Q81" s="106">
        <f>P81/O81*100</f>
        <v>77.638437056552362</v>
      </c>
      <c r="R81" s="106">
        <f t="shared" si="95"/>
        <v>47106.6</v>
      </c>
      <c r="S81" s="106">
        <f t="shared" si="95"/>
        <v>0</v>
      </c>
      <c r="T81" s="106">
        <f>S81/R81*100</f>
        <v>0</v>
      </c>
      <c r="U81" s="106">
        <f t="shared" si="95"/>
        <v>35582.399999999994</v>
      </c>
      <c r="V81" s="106">
        <f t="shared" si="95"/>
        <v>0</v>
      </c>
      <c r="W81" s="106">
        <f t="shared" si="95"/>
        <v>0</v>
      </c>
      <c r="X81" s="106">
        <f t="shared" si="95"/>
        <v>41537.69999999999</v>
      </c>
      <c r="Y81" s="106">
        <f t="shared" si="95"/>
        <v>0</v>
      </c>
      <c r="Z81" s="106" t="e">
        <f t="shared" si="95"/>
        <v>#REF!</v>
      </c>
      <c r="AA81" s="106">
        <f t="shared" si="95"/>
        <v>50658.1</v>
      </c>
      <c r="AB81" s="106">
        <f t="shared" si="95"/>
        <v>0</v>
      </c>
      <c r="AC81" s="106" t="e">
        <f t="shared" si="95"/>
        <v>#REF!</v>
      </c>
      <c r="AD81" s="106">
        <f t="shared" si="95"/>
        <v>36590</v>
      </c>
      <c r="AE81" s="106">
        <f t="shared" si="95"/>
        <v>0</v>
      </c>
      <c r="AF81" s="103">
        <f t="shared" ref="AF81:AF84" si="96">AE81/AD81*100</f>
        <v>0</v>
      </c>
      <c r="AG81" s="106">
        <f t="shared" si="95"/>
        <v>27715.699999999997</v>
      </c>
      <c r="AH81" s="106">
        <f t="shared" si="95"/>
        <v>0</v>
      </c>
      <c r="AI81" s="106" t="e">
        <f t="shared" si="95"/>
        <v>#REF!</v>
      </c>
      <c r="AJ81" s="106">
        <f t="shared" si="95"/>
        <v>24977.5</v>
      </c>
      <c r="AK81" s="106">
        <f t="shared" si="95"/>
        <v>0</v>
      </c>
      <c r="AL81" s="106" t="e">
        <f t="shared" si="95"/>
        <v>#REF!</v>
      </c>
      <c r="AM81" s="106">
        <f t="shared" si="95"/>
        <v>25612.799999999996</v>
      </c>
      <c r="AN81" s="106">
        <f t="shared" si="95"/>
        <v>0</v>
      </c>
      <c r="AO81" s="106" t="e">
        <f t="shared" si="95"/>
        <v>#REF!</v>
      </c>
      <c r="AP81" s="106">
        <f t="shared" si="95"/>
        <v>50463.7</v>
      </c>
      <c r="AQ81" s="103">
        <f t="shared" ref="AQ81:AR81" si="97">SUM(AQ82:AQ84)</f>
        <v>0</v>
      </c>
      <c r="AR81" s="103" t="e">
        <f t="shared" si="97"/>
        <v>#REF!</v>
      </c>
      <c r="AS81" s="313"/>
      <c r="AT81" s="316"/>
      <c r="AU81" s="121"/>
      <c r="AV81" s="127"/>
    </row>
    <row r="82" spans="1:48" s="100" customFormat="1" ht="36">
      <c r="A82" s="307"/>
      <c r="B82" s="308"/>
      <c r="C82" s="308"/>
      <c r="D82" s="309"/>
      <c r="E82" s="111" t="s">
        <v>3</v>
      </c>
      <c r="F82" s="106">
        <f t="shared" ref="F82:G84" si="98">F10+F34+F49+F63</f>
        <v>125134.89999999997</v>
      </c>
      <c r="G82" s="106">
        <f t="shared" si="98"/>
        <v>17974.2</v>
      </c>
      <c r="H82" s="106">
        <f>G82/F82*100</f>
        <v>14.363858523881031</v>
      </c>
      <c r="I82" s="106">
        <f t="shared" ref="I82:J84" si="99">I10+I34+I49+I63</f>
        <v>849.99999999999989</v>
      </c>
      <c r="J82" s="106">
        <f t="shared" si="99"/>
        <v>826.6</v>
      </c>
      <c r="K82" s="106">
        <f t="shared" ref="K82:K84" si="100">J82/I82*100</f>
        <v>97.247058823529429</v>
      </c>
      <c r="L82" s="106">
        <f t="shared" ref="L82:M84" si="101">L10+L34+L49+L63</f>
        <v>8876.4</v>
      </c>
      <c r="M82" s="106">
        <f t="shared" si="101"/>
        <v>8651.2000000000007</v>
      </c>
      <c r="N82" s="106">
        <f t="shared" ref="N82:N84" si="102">M82/L82*100</f>
        <v>97.462935424271109</v>
      </c>
      <c r="O82" s="106">
        <f t="shared" ref="O82:P84" si="103">O10+O34+O49+O63</f>
        <v>8999.7999999999993</v>
      </c>
      <c r="P82" s="106">
        <f t="shared" si="103"/>
        <v>8496.4</v>
      </c>
      <c r="Q82" s="106">
        <f t="shared" ref="Q82:Q84" si="104">P82/O82*100</f>
        <v>94.406542367608168</v>
      </c>
      <c r="R82" s="106">
        <f t="shared" ref="R82:S84" si="105">R10+R34+R49+R63</f>
        <v>10160.799999999999</v>
      </c>
      <c r="S82" s="106">
        <f t="shared" si="105"/>
        <v>0</v>
      </c>
      <c r="T82" s="106">
        <f t="shared" ref="T82:T84" si="106">S82/R82*100</f>
        <v>0</v>
      </c>
      <c r="U82" s="106">
        <f t="shared" ref="U82:AE84" si="107">U10+U34+U49+U63</f>
        <v>8653.3999999999978</v>
      </c>
      <c r="V82" s="106">
        <f t="shared" si="107"/>
        <v>0</v>
      </c>
      <c r="W82" s="106">
        <f t="shared" si="107"/>
        <v>0</v>
      </c>
      <c r="X82" s="106">
        <f t="shared" si="107"/>
        <v>10366.799999999999</v>
      </c>
      <c r="Y82" s="106">
        <f t="shared" si="107"/>
        <v>0</v>
      </c>
      <c r="Z82" s="106" t="e">
        <f t="shared" si="107"/>
        <v>#REF!</v>
      </c>
      <c r="AA82" s="106">
        <f t="shared" si="107"/>
        <v>11679.3</v>
      </c>
      <c r="AB82" s="106">
        <f t="shared" si="107"/>
        <v>0</v>
      </c>
      <c r="AC82" s="106" t="e">
        <f t="shared" si="107"/>
        <v>#REF!</v>
      </c>
      <c r="AD82" s="106">
        <f t="shared" si="107"/>
        <v>11285.099999999999</v>
      </c>
      <c r="AE82" s="106">
        <f t="shared" si="107"/>
        <v>0</v>
      </c>
      <c r="AF82" s="103">
        <f t="shared" si="96"/>
        <v>0</v>
      </c>
      <c r="AG82" s="106">
        <f t="shared" ref="AG82:AR84" si="108">AG10+AG34+AG49+AG63</f>
        <v>9471.7000000000007</v>
      </c>
      <c r="AH82" s="106">
        <f t="shared" si="108"/>
        <v>0</v>
      </c>
      <c r="AI82" s="106" t="e">
        <f t="shared" si="108"/>
        <v>#REF!</v>
      </c>
      <c r="AJ82" s="106">
        <f t="shared" si="108"/>
        <v>9999.1999999999989</v>
      </c>
      <c r="AK82" s="106">
        <f t="shared" si="108"/>
        <v>0</v>
      </c>
      <c r="AL82" s="106" t="e">
        <f t="shared" si="108"/>
        <v>#REF!</v>
      </c>
      <c r="AM82" s="106">
        <f t="shared" si="108"/>
        <v>8893.0999999999985</v>
      </c>
      <c r="AN82" s="106">
        <f t="shared" si="108"/>
        <v>0</v>
      </c>
      <c r="AO82" s="106" t="e">
        <f t="shared" si="108"/>
        <v>#REF!</v>
      </c>
      <c r="AP82" s="106">
        <f t="shared" si="108"/>
        <v>25899.299999999996</v>
      </c>
      <c r="AQ82" s="106">
        <f t="shared" si="108"/>
        <v>0</v>
      </c>
      <c r="AR82" s="106" t="e">
        <f t="shared" si="108"/>
        <v>#REF!</v>
      </c>
      <c r="AS82" s="314"/>
      <c r="AT82" s="317"/>
      <c r="AU82" s="121"/>
      <c r="AV82" s="127"/>
    </row>
    <row r="83" spans="1:48" s="100" customFormat="1" ht="24">
      <c r="A83" s="307"/>
      <c r="B83" s="308"/>
      <c r="C83" s="308"/>
      <c r="D83" s="309"/>
      <c r="E83" s="111" t="s">
        <v>44</v>
      </c>
      <c r="F83" s="106">
        <f t="shared" si="98"/>
        <v>302600.59999999998</v>
      </c>
      <c r="G83" s="106">
        <f t="shared" si="98"/>
        <v>68792.999999999985</v>
      </c>
      <c r="H83" s="106">
        <f>G83/F83*100</f>
        <v>22.733927163396235</v>
      </c>
      <c r="I83" s="106">
        <f t="shared" si="99"/>
        <v>12630.599999999999</v>
      </c>
      <c r="J83" s="106">
        <f t="shared" si="99"/>
        <v>24440.400000000001</v>
      </c>
      <c r="K83" s="106">
        <f t="shared" si="100"/>
        <v>193.50149636596839</v>
      </c>
      <c r="L83" s="106">
        <f t="shared" si="101"/>
        <v>33511.700000000004</v>
      </c>
      <c r="M83" s="106">
        <f t="shared" si="101"/>
        <v>24818.800000000003</v>
      </c>
      <c r="N83" s="106">
        <f t="shared" si="102"/>
        <v>74.060104381454835</v>
      </c>
      <c r="O83" s="106">
        <f t="shared" si="103"/>
        <v>27130</v>
      </c>
      <c r="P83" s="106">
        <f t="shared" si="103"/>
        <v>19533.8</v>
      </c>
      <c r="Q83" s="106">
        <f t="shared" si="104"/>
        <v>72.000737191301141</v>
      </c>
      <c r="R83" s="106">
        <f t="shared" si="105"/>
        <v>36205.199999999997</v>
      </c>
      <c r="S83" s="106">
        <f t="shared" si="105"/>
        <v>0</v>
      </c>
      <c r="T83" s="106">
        <f t="shared" si="106"/>
        <v>0</v>
      </c>
      <c r="U83" s="106">
        <f t="shared" si="107"/>
        <v>26449.299999999996</v>
      </c>
      <c r="V83" s="106">
        <f t="shared" si="107"/>
        <v>0</v>
      </c>
      <c r="W83" s="106">
        <f t="shared" si="107"/>
        <v>0</v>
      </c>
      <c r="X83" s="106">
        <f t="shared" si="107"/>
        <v>30719.199999999993</v>
      </c>
      <c r="Y83" s="106">
        <f t="shared" si="107"/>
        <v>0</v>
      </c>
      <c r="Z83" s="106" t="e">
        <f t="shared" si="107"/>
        <v>#REF!</v>
      </c>
      <c r="AA83" s="106">
        <f t="shared" si="107"/>
        <v>38309.699999999997</v>
      </c>
      <c r="AB83" s="106">
        <f t="shared" si="107"/>
        <v>0</v>
      </c>
      <c r="AC83" s="106" t="e">
        <f t="shared" si="107"/>
        <v>#REF!</v>
      </c>
      <c r="AD83" s="106">
        <f t="shared" si="107"/>
        <v>24785.899999999998</v>
      </c>
      <c r="AE83" s="106">
        <f t="shared" si="107"/>
        <v>0</v>
      </c>
      <c r="AF83" s="106">
        <f t="shared" si="96"/>
        <v>0</v>
      </c>
      <c r="AG83" s="106">
        <f t="shared" si="108"/>
        <v>17942.399999999998</v>
      </c>
      <c r="AH83" s="106">
        <f t="shared" si="108"/>
        <v>0</v>
      </c>
      <c r="AI83" s="106" t="e">
        <f t="shared" si="108"/>
        <v>#REF!</v>
      </c>
      <c r="AJ83" s="106">
        <f t="shared" si="108"/>
        <v>14413.7</v>
      </c>
      <c r="AK83" s="106">
        <f t="shared" si="108"/>
        <v>0</v>
      </c>
      <c r="AL83" s="106" t="e">
        <f t="shared" si="108"/>
        <v>#REF!</v>
      </c>
      <c r="AM83" s="106">
        <f t="shared" si="108"/>
        <v>16193.299999999997</v>
      </c>
      <c r="AN83" s="106">
        <f t="shared" si="108"/>
        <v>0</v>
      </c>
      <c r="AO83" s="106" t="e">
        <f t="shared" si="108"/>
        <v>#REF!</v>
      </c>
      <c r="AP83" s="106">
        <f t="shared" si="108"/>
        <v>24309.599999999995</v>
      </c>
      <c r="AQ83" s="106">
        <f t="shared" si="108"/>
        <v>0</v>
      </c>
      <c r="AR83" s="106" t="e">
        <f t="shared" si="108"/>
        <v>#REF!</v>
      </c>
      <c r="AS83" s="314"/>
      <c r="AT83" s="317"/>
      <c r="AU83" s="121"/>
      <c r="AV83" s="127"/>
    </row>
    <row r="84" spans="1:48" s="100" customFormat="1" ht="24">
      <c r="A84" s="310"/>
      <c r="B84" s="311"/>
      <c r="C84" s="311"/>
      <c r="D84" s="312"/>
      <c r="E84" s="110" t="s">
        <v>257</v>
      </c>
      <c r="F84" s="106">
        <f t="shared" si="98"/>
        <v>5832.0999999999995</v>
      </c>
      <c r="G84" s="106">
        <f t="shared" si="98"/>
        <v>805.9</v>
      </c>
      <c r="H84" s="106">
        <f>G84/F84*100</f>
        <v>13.818350165463556</v>
      </c>
      <c r="I84" s="106">
        <f t="shared" si="99"/>
        <v>261.8</v>
      </c>
      <c r="J84" s="106">
        <f t="shared" si="99"/>
        <v>0</v>
      </c>
      <c r="K84" s="106">
        <f t="shared" si="100"/>
        <v>0</v>
      </c>
      <c r="L84" s="106">
        <f t="shared" si="101"/>
        <v>336.5</v>
      </c>
      <c r="M84" s="106">
        <f t="shared" si="101"/>
        <v>221.6</v>
      </c>
      <c r="N84" s="106">
        <f t="shared" si="102"/>
        <v>65.854383358098062</v>
      </c>
      <c r="O84" s="106">
        <f t="shared" si="103"/>
        <v>726.3</v>
      </c>
      <c r="P84" s="106">
        <f t="shared" si="103"/>
        <v>584.29999999999995</v>
      </c>
      <c r="Q84" s="106">
        <f t="shared" si="104"/>
        <v>80.448850337326178</v>
      </c>
      <c r="R84" s="106">
        <f t="shared" si="105"/>
        <v>740.6</v>
      </c>
      <c r="S84" s="106">
        <f t="shared" si="105"/>
        <v>0</v>
      </c>
      <c r="T84" s="106">
        <f t="shared" si="106"/>
        <v>0</v>
      </c>
      <c r="U84" s="106">
        <f t="shared" si="107"/>
        <v>479.7</v>
      </c>
      <c r="V84" s="106">
        <f t="shared" si="107"/>
        <v>0</v>
      </c>
      <c r="W84" s="106">
        <f t="shared" si="107"/>
        <v>0</v>
      </c>
      <c r="X84" s="106">
        <f t="shared" si="107"/>
        <v>451.70000000000005</v>
      </c>
      <c r="Y84" s="106">
        <f t="shared" si="107"/>
        <v>0</v>
      </c>
      <c r="Z84" s="106" t="e">
        <f t="shared" si="107"/>
        <v>#REF!</v>
      </c>
      <c r="AA84" s="106">
        <f t="shared" si="107"/>
        <v>669.1</v>
      </c>
      <c r="AB84" s="106">
        <f t="shared" si="107"/>
        <v>0</v>
      </c>
      <c r="AC84" s="106" t="e">
        <f t="shared" si="107"/>
        <v>#REF!</v>
      </c>
      <c r="AD84" s="106">
        <f t="shared" si="107"/>
        <v>519</v>
      </c>
      <c r="AE84" s="106">
        <f t="shared" si="107"/>
        <v>0</v>
      </c>
      <c r="AF84" s="106">
        <f t="shared" si="96"/>
        <v>0</v>
      </c>
      <c r="AG84" s="106">
        <f t="shared" si="108"/>
        <v>301.60000000000002</v>
      </c>
      <c r="AH84" s="106">
        <f t="shared" si="108"/>
        <v>0</v>
      </c>
      <c r="AI84" s="106" t="e">
        <f t="shared" si="108"/>
        <v>#REF!</v>
      </c>
      <c r="AJ84" s="106">
        <f t="shared" si="108"/>
        <v>564.6</v>
      </c>
      <c r="AK84" s="106">
        <f t="shared" si="108"/>
        <v>0</v>
      </c>
      <c r="AL84" s="106" t="e">
        <f t="shared" si="108"/>
        <v>#REF!</v>
      </c>
      <c r="AM84" s="106">
        <f t="shared" si="108"/>
        <v>526.4</v>
      </c>
      <c r="AN84" s="106">
        <f t="shared" si="108"/>
        <v>0</v>
      </c>
      <c r="AO84" s="106" t="e">
        <f t="shared" si="108"/>
        <v>#REF!</v>
      </c>
      <c r="AP84" s="106">
        <f t="shared" si="108"/>
        <v>254.8</v>
      </c>
      <c r="AQ84" s="106">
        <f t="shared" si="108"/>
        <v>0</v>
      </c>
      <c r="AR84" s="106" t="e">
        <f t="shared" si="108"/>
        <v>#REF!</v>
      </c>
      <c r="AS84" s="315"/>
      <c r="AT84" s="318"/>
      <c r="AU84" s="121"/>
      <c r="AV84" s="127"/>
    </row>
    <row r="85" spans="1:48" s="31" customFormat="1" ht="12.75">
      <c r="A85" s="32"/>
      <c r="B85" s="151"/>
      <c r="C85" s="151"/>
      <c r="D85" s="151"/>
      <c r="E85" s="29"/>
      <c r="F85" s="101"/>
      <c r="G85" s="101"/>
      <c r="H85" s="4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151"/>
      <c r="AK85" s="151"/>
      <c r="AL85" s="151"/>
      <c r="AM85" s="99"/>
      <c r="AN85" s="99"/>
      <c r="AO85" s="99"/>
      <c r="AS85" s="131"/>
    </row>
    <row r="86" spans="1:48" s="31" customFormat="1">
      <c r="A86" s="32"/>
      <c r="B86" s="319"/>
      <c r="C86" s="319"/>
      <c r="D86" s="319"/>
      <c r="E86" s="320"/>
      <c r="F86" s="321"/>
      <c r="G86" s="142"/>
      <c r="H86" s="41"/>
      <c r="I86" s="41">
        <f>I81+L81+O81</f>
        <v>93323.1</v>
      </c>
      <c r="J86" s="41">
        <f>R81+U81+X81</f>
        <v>124226.69999999998</v>
      </c>
      <c r="K86" s="41">
        <f>AA81+AD81+AG81</f>
        <v>114963.8</v>
      </c>
      <c r="L86" s="41">
        <f>AJ81+AM81+AP81</f>
        <v>101054</v>
      </c>
      <c r="M86" s="151"/>
      <c r="N86" s="151"/>
      <c r="O86" s="151"/>
      <c r="P86" s="151"/>
      <c r="Q86" s="151"/>
      <c r="R86" s="151"/>
      <c r="S86" s="151"/>
      <c r="T86" s="151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151"/>
      <c r="AK86" s="151"/>
      <c r="AL86" s="151"/>
      <c r="AM86" s="99"/>
      <c r="AN86" s="99"/>
      <c r="AO86" s="99"/>
      <c r="AS86" s="131"/>
    </row>
    <row r="87" spans="1:48" s="31" customFormat="1" ht="12.75">
      <c r="A87" s="32"/>
      <c r="E87" s="119"/>
      <c r="F87" s="120"/>
      <c r="G87" s="120"/>
      <c r="H87" s="121"/>
      <c r="P87" s="151"/>
      <c r="Q87" s="151"/>
      <c r="R87" s="151"/>
      <c r="S87" s="151"/>
      <c r="T87" s="151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151"/>
      <c r="AK87" s="151"/>
      <c r="AL87" s="151"/>
      <c r="AM87" s="99"/>
      <c r="AN87" s="99"/>
      <c r="AO87" s="99"/>
      <c r="AS87" s="131"/>
    </row>
    <row r="88" spans="1:48" s="31" customFormat="1" ht="12.75">
      <c r="A88" s="303" t="s">
        <v>282</v>
      </c>
      <c r="B88" s="303"/>
      <c r="C88" s="303"/>
      <c r="D88" s="151"/>
      <c r="E88" s="29"/>
      <c r="F88" s="101"/>
      <c r="G88" s="101"/>
      <c r="H88" s="41"/>
      <c r="I88" s="151"/>
      <c r="J88" s="146" t="s">
        <v>284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151"/>
      <c r="AK88" s="151"/>
      <c r="AL88" s="151"/>
      <c r="AM88" s="99"/>
      <c r="AN88" s="99"/>
      <c r="AO88" s="99"/>
      <c r="AS88" s="131"/>
    </row>
    <row r="89" spans="1:48" s="31" customFormat="1" ht="12.75">
      <c r="A89" s="303" t="s">
        <v>283</v>
      </c>
      <c r="B89" s="303"/>
      <c r="C89" s="303"/>
      <c r="D89" s="303"/>
      <c r="E89" s="303"/>
      <c r="F89" s="303"/>
      <c r="G89" s="101"/>
      <c r="H89" s="41"/>
      <c r="I89" s="151"/>
      <c r="J89" s="146" t="s">
        <v>285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151"/>
      <c r="AK89" s="151"/>
      <c r="AL89" s="151"/>
      <c r="AM89" s="99"/>
      <c r="AN89" s="99"/>
      <c r="AO89" s="99"/>
      <c r="AS89" s="131"/>
    </row>
    <row r="90" spans="1:48" s="31" customFormat="1" ht="12.75">
      <c r="A90" s="303"/>
      <c r="B90" s="303"/>
      <c r="C90" s="303"/>
      <c r="D90" s="303"/>
      <c r="E90" s="151"/>
      <c r="F90" s="101"/>
      <c r="G90" s="101"/>
      <c r="H90" s="41"/>
      <c r="I90" s="151"/>
      <c r="J90" s="146" t="s">
        <v>286</v>
      </c>
      <c r="K90" s="151"/>
      <c r="L90" s="115"/>
      <c r="M90" s="151"/>
      <c r="N90" s="151"/>
      <c r="O90" s="151"/>
      <c r="P90" s="151"/>
      <c r="Q90" s="151"/>
      <c r="R90" s="151"/>
      <c r="S90" s="151"/>
      <c r="T90" s="151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51"/>
      <c r="AK90" s="151"/>
      <c r="AL90" s="151"/>
      <c r="AM90" s="99"/>
      <c r="AN90" s="99"/>
      <c r="AO90" s="99"/>
      <c r="AS90" s="131"/>
    </row>
    <row r="91" spans="1:48" s="31" customFormat="1" ht="12.75">
      <c r="A91" s="147" t="s">
        <v>288</v>
      </c>
      <c r="B91" s="147"/>
      <c r="C91" s="147"/>
      <c r="D91" s="148"/>
      <c r="E91" s="112" t="s">
        <v>260</v>
      </c>
      <c r="F91" s="113"/>
      <c r="G91" s="113"/>
      <c r="H91" s="114"/>
      <c r="I91" s="115"/>
      <c r="J91" s="146"/>
      <c r="K91" s="115"/>
      <c r="M91" s="115" t="s">
        <v>292</v>
      </c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6"/>
      <c r="AQ91" s="116"/>
      <c r="AR91" s="116"/>
      <c r="AS91" s="131"/>
    </row>
    <row r="92" spans="1:48">
      <c r="A92" s="303"/>
      <c r="B92" s="303"/>
      <c r="C92" s="303"/>
      <c r="D92" s="303"/>
      <c r="E92" s="131"/>
      <c r="F92" s="131"/>
      <c r="J92" s="146" t="s">
        <v>287</v>
      </c>
      <c r="AS92" s="131"/>
    </row>
    <row r="93" spans="1:48">
      <c r="A93" s="147" t="s">
        <v>289</v>
      </c>
      <c r="B93" s="147"/>
      <c r="C93" s="147"/>
      <c r="D93" s="148"/>
      <c r="E93" s="131" t="s">
        <v>293</v>
      </c>
      <c r="F93" s="131"/>
      <c r="AS93" s="131"/>
    </row>
    <row r="94" spans="1:48">
      <c r="AS94" s="131"/>
    </row>
    <row r="95" spans="1:48">
      <c r="AS95" s="131"/>
    </row>
    <row r="96" spans="1:48">
      <c r="A96" s="303" t="s">
        <v>404</v>
      </c>
      <c r="B96" s="303"/>
      <c r="C96" s="303"/>
      <c r="D96" s="303"/>
      <c r="AS96" s="131"/>
    </row>
    <row r="97" spans="1:45">
      <c r="A97" s="303" t="s">
        <v>291</v>
      </c>
      <c r="B97" s="303"/>
      <c r="C97" s="303"/>
      <c r="AS97" s="131"/>
    </row>
    <row r="98" spans="1:45">
      <c r="AS98" s="131"/>
    </row>
    <row r="99" spans="1:45">
      <c r="AS99" s="131"/>
    </row>
    <row r="100" spans="1:45">
      <c r="AS100" s="131"/>
    </row>
    <row r="101" spans="1:45">
      <c r="AS101" s="131"/>
    </row>
    <row r="102" spans="1:45">
      <c r="AS102" s="131"/>
    </row>
    <row r="103" spans="1:45">
      <c r="AS103" s="131"/>
    </row>
    <row r="104" spans="1:45">
      <c r="AS104" s="131"/>
    </row>
    <row r="105" spans="1:45">
      <c r="AS105" s="131"/>
    </row>
    <row r="106" spans="1:45">
      <c r="AS106" s="131"/>
    </row>
    <row r="107" spans="1:45">
      <c r="AS107" s="131"/>
    </row>
    <row r="108" spans="1:45">
      <c r="AS108" s="131"/>
    </row>
    <row r="109" spans="1:45">
      <c r="AS109" s="131"/>
    </row>
    <row r="110" spans="1:45">
      <c r="AS110" s="131"/>
    </row>
    <row r="111" spans="1:45">
      <c r="AS111" s="131"/>
    </row>
    <row r="112" spans="1:45">
      <c r="AS112" s="131"/>
    </row>
    <row r="113" spans="45:45">
      <c r="AS113" s="131"/>
    </row>
    <row r="114" spans="45:45">
      <c r="AS114" s="131"/>
    </row>
    <row r="115" spans="45:45">
      <c r="AS115" s="131"/>
    </row>
    <row r="116" spans="45:45">
      <c r="AS116" s="131"/>
    </row>
    <row r="117" spans="45:45">
      <c r="AS117" s="131"/>
    </row>
    <row r="118" spans="45:45">
      <c r="AS118" s="131"/>
    </row>
    <row r="119" spans="45:45">
      <c r="AS119" s="131"/>
    </row>
    <row r="120" spans="45:45">
      <c r="AS120" s="131"/>
    </row>
    <row r="121" spans="45:45">
      <c r="AS121" s="131"/>
    </row>
    <row r="122" spans="45:45">
      <c r="AS122" s="131"/>
    </row>
    <row r="123" spans="45:45">
      <c r="AS123" s="131"/>
    </row>
    <row r="124" spans="45:45">
      <c r="AS124" s="131"/>
    </row>
    <row r="125" spans="45:45">
      <c r="AS125" s="131"/>
    </row>
    <row r="126" spans="45:45">
      <c r="AS126" s="131"/>
    </row>
    <row r="127" spans="45:45">
      <c r="AS127" s="131"/>
    </row>
    <row r="128" spans="45:45">
      <c r="AS128" s="131"/>
    </row>
    <row r="129" spans="45:45">
      <c r="AS129" s="131"/>
    </row>
    <row r="130" spans="45:45">
      <c r="AS130" s="131"/>
    </row>
    <row r="131" spans="45:45">
      <c r="AS131" s="131"/>
    </row>
    <row r="132" spans="45:45">
      <c r="AS132" s="131"/>
    </row>
    <row r="133" spans="45:45">
      <c r="AS133" s="131"/>
    </row>
    <row r="134" spans="45:45">
      <c r="AS134" s="131"/>
    </row>
    <row r="135" spans="45:45">
      <c r="AS135" s="131"/>
    </row>
    <row r="136" spans="45:45">
      <c r="AS136" s="131"/>
    </row>
    <row r="137" spans="45:45">
      <c r="AS137" s="131"/>
    </row>
    <row r="138" spans="45:45">
      <c r="AS138" s="131"/>
    </row>
    <row r="139" spans="45:45">
      <c r="AS139" s="131"/>
    </row>
    <row r="140" spans="45:45">
      <c r="AS140" s="131"/>
    </row>
    <row r="141" spans="45:45">
      <c r="AS141" s="131"/>
    </row>
    <row r="142" spans="45:45">
      <c r="AS142" s="131"/>
    </row>
    <row r="143" spans="45:45">
      <c r="AS143" s="131"/>
    </row>
    <row r="144" spans="45:45">
      <c r="AS144" s="131"/>
    </row>
    <row r="145" spans="45:45">
      <c r="AS145" s="131"/>
    </row>
    <row r="146" spans="45:45">
      <c r="AS146" s="131"/>
    </row>
    <row r="147" spans="45:45">
      <c r="AS147" s="131"/>
    </row>
    <row r="148" spans="45:45">
      <c r="AS148" s="131"/>
    </row>
    <row r="149" spans="45:45">
      <c r="AS149" s="131"/>
    </row>
    <row r="150" spans="45:45">
      <c r="AS150" s="131"/>
    </row>
    <row r="151" spans="45:45">
      <c r="AS151" s="131"/>
    </row>
    <row r="152" spans="45:45">
      <c r="AS152" s="131"/>
    </row>
    <row r="153" spans="45:45">
      <c r="AS153" s="131"/>
    </row>
    <row r="154" spans="45:45">
      <c r="AS154" s="131"/>
    </row>
    <row r="155" spans="45:45">
      <c r="AS155" s="131"/>
    </row>
    <row r="156" spans="45:45">
      <c r="AS156" s="131"/>
    </row>
    <row r="157" spans="45:45">
      <c r="AS157" s="131"/>
    </row>
    <row r="158" spans="45:45">
      <c r="AS158" s="131"/>
    </row>
    <row r="159" spans="45:45">
      <c r="AS159" s="131"/>
    </row>
    <row r="160" spans="45:45">
      <c r="AS160" s="131"/>
    </row>
    <row r="161" spans="45:45">
      <c r="AS161" s="131"/>
    </row>
    <row r="162" spans="45:45">
      <c r="AS162" s="131"/>
    </row>
    <row r="163" spans="45:45">
      <c r="AS163" s="131"/>
    </row>
    <row r="164" spans="45:45">
      <c r="AS164" s="131"/>
    </row>
    <row r="165" spans="45:45">
      <c r="AS165" s="131"/>
    </row>
    <row r="166" spans="45:45">
      <c r="AS166" s="131"/>
    </row>
    <row r="167" spans="45:45">
      <c r="AS167" s="131"/>
    </row>
    <row r="168" spans="45:45">
      <c r="AS168" s="131"/>
    </row>
    <row r="169" spans="45:45">
      <c r="AS169" s="131"/>
    </row>
    <row r="170" spans="45:45">
      <c r="AS170" s="131"/>
    </row>
    <row r="171" spans="45:45">
      <c r="AS171" s="131"/>
    </row>
    <row r="172" spans="45:45">
      <c r="AS172" s="131"/>
    </row>
    <row r="173" spans="45:45">
      <c r="AS173" s="131"/>
    </row>
    <row r="174" spans="45:45">
      <c r="AS174" s="131"/>
    </row>
    <row r="175" spans="45:45">
      <c r="AS175" s="131"/>
    </row>
    <row r="176" spans="45:45">
      <c r="AS176" s="131"/>
    </row>
    <row r="177" spans="45:45">
      <c r="AS177" s="131"/>
    </row>
    <row r="178" spans="45:45">
      <c r="AS178" s="131"/>
    </row>
    <row r="179" spans="45:45">
      <c r="AS179" s="131"/>
    </row>
    <row r="180" spans="45:45">
      <c r="AS180" s="131"/>
    </row>
  </sheetData>
  <mergeCells count="111">
    <mergeCell ref="A2:AR2"/>
    <mergeCell ref="A3:AR3"/>
    <mergeCell ref="A5:A6"/>
    <mergeCell ref="B5:B6"/>
    <mergeCell ref="C5:C6"/>
    <mergeCell ref="D5:D6"/>
    <mergeCell ref="E5:E6"/>
    <mergeCell ref="F5:H5"/>
    <mergeCell ref="I5:K5"/>
    <mergeCell ref="L5:N5"/>
    <mergeCell ref="AG5:AI5"/>
    <mergeCell ref="AJ5:AL5"/>
    <mergeCell ref="AM5:AO5"/>
    <mergeCell ref="AP5:AR5"/>
    <mergeCell ref="AS5:AS6"/>
    <mergeCell ref="AT5:AT6"/>
    <mergeCell ref="O5:Q5"/>
    <mergeCell ref="R5:T5"/>
    <mergeCell ref="U5:W5"/>
    <mergeCell ref="X5:Z5"/>
    <mergeCell ref="AA5:AC5"/>
    <mergeCell ref="AD5:AF5"/>
    <mergeCell ref="A7:AT7"/>
    <mergeCell ref="A8:AT8"/>
    <mergeCell ref="A9:D12"/>
    <mergeCell ref="AS9:AS12"/>
    <mergeCell ref="AT9:AT12"/>
    <mergeCell ref="A13:A16"/>
    <mergeCell ref="B13:B16"/>
    <mergeCell ref="C13:C16"/>
    <mergeCell ref="D13:D16"/>
    <mergeCell ref="AS13:AS16"/>
    <mergeCell ref="A22:A24"/>
    <mergeCell ref="B22:B24"/>
    <mergeCell ref="C22:C24"/>
    <mergeCell ref="D22:D24"/>
    <mergeCell ref="AS22:AS24"/>
    <mergeCell ref="AT22:AT24"/>
    <mergeCell ref="AT13:AT16"/>
    <mergeCell ref="A17:A20"/>
    <mergeCell ref="B17:B20"/>
    <mergeCell ref="C17:C20"/>
    <mergeCell ref="D17:D20"/>
    <mergeCell ref="AS17:AS20"/>
    <mergeCell ref="AT17:AT20"/>
    <mergeCell ref="A29:A31"/>
    <mergeCell ref="B29:B31"/>
    <mergeCell ref="C29:C31"/>
    <mergeCell ref="D29:D31"/>
    <mergeCell ref="AS29:AS31"/>
    <mergeCell ref="AT29:AT31"/>
    <mergeCell ref="A25:A28"/>
    <mergeCell ref="B25:B28"/>
    <mergeCell ref="C25:C28"/>
    <mergeCell ref="D25:D28"/>
    <mergeCell ref="AS25:AS28"/>
    <mergeCell ref="AT25:AT28"/>
    <mergeCell ref="A32:AT32"/>
    <mergeCell ref="A33:D36"/>
    <mergeCell ref="AS33:AS36"/>
    <mergeCell ref="AT33:AT36"/>
    <mergeCell ref="A42:A45"/>
    <mergeCell ref="B42:B45"/>
    <mergeCell ref="C42:C45"/>
    <mergeCell ref="D42:D45"/>
    <mergeCell ref="AS42:AS45"/>
    <mergeCell ref="AT42:AT45"/>
    <mergeCell ref="A46:AT46"/>
    <mergeCell ref="A47:AT47"/>
    <mergeCell ref="A48:D51"/>
    <mergeCell ref="AS48:AS51"/>
    <mergeCell ref="AT48:AT51"/>
    <mergeCell ref="A56:A59"/>
    <mergeCell ref="B56:B59"/>
    <mergeCell ref="C56:C59"/>
    <mergeCell ref="D56:D59"/>
    <mergeCell ref="AS56:AS59"/>
    <mergeCell ref="A69:A72"/>
    <mergeCell ref="B69:B72"/>
    <mergeCell ref="C69:C72"/>
    <mergeCell ref="D69:D72"/>
    <mergeCell ref="AS69:AS72"/>
    <mergeCell ref="AT69:AT72"/>
    <mergeCell ref="AT56:AT59"/>
    <mergeCell ref="A60:AT60"/>
    <mergeCell ref="A61:AT61"/>
    <mergeCell ref="A62:D65"/>
    <mergeCell ref="AS62:AS65"/>
    <mergeCell ref="AT62:AT65"/>
    <mergeCell ref="A77:A80"/>
    <mergeCell ref="B77:B80"/>
    <mergeCell ref="C77:C80"/>
    <mergeCell ref="D77:D80"/>
    <mergeCell ref="AS77:AS80"/>
    <mergeCell ref="AT77:AT80"/>
    <mergeCell ref="A73:A76"/>
    <mergeCell ref="B73:B76"/>
    <mergeCell ref="C73:C76"/>
    <mergeCell ref="D73:D76"/>
    <mergeCell ref="AS73:AS76"/>
    <mergeCell ref="AT73:AT76"/>
    <mergeCell ref="A90:D90"/>
    <mergeCell ref="A92:D92"/>
    <mergeCell ref="A96:D96"/>
    <mergeCell ref="A97:C97"/>
    <mergeCell ref="A81:D84"/>
    <mergeCell ref="AS81:AS84"/>
    <mergeCell ref="AT81:AT84"/>
    <mergeCell ref="B86:F86"/>
    <mergeCell ref="A88:C88"/>
    <mergeCell ref="A89:F89"/>
  </mergeCells>
  <conditionalFormatting sqref="H91 H69:H80 H56:H59 H48:H51 H42:H45 H30:H31 H27:H28 H24">
    <cfRule type="cellIs" dxfId="2" priority="1" stopIfTrue="1" operator="notEqual">
      <formula>#REF!</formula>
    </cfRule>
  </conditionalFormatting>
  <pageMargins left="0.7" right="0.7" top="0.75" bottom="0.75" header="0.3" footer="0.3"/>
  <pageSetup paperSize="9" scale="40" orientation="landscape" r:id="rId1"/>
  <rowBreaks count="2" manualBreakCount="2">
    <brk id="52" max="45" man="1"/>
    <brk id="84" max="16383" man="1"/>
  </rowBreaks>
  <colBreaks count="1" manualBreakCount="1">
    <brk id="4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56"/>
  <sheetViews>
    <sheetView tabSelected="1" topLeftCell="A118" workbookViewId="0">
      <selection activeCell="E143" sqref="E143"/>
    </sheetView>
  </sheetViews>
  <sheetFormatPr defaultColWidth="9.140625" defaultRowHeight="15"/>
  <cols>
    <col min="1" max="1" width="5.5703125" style="258" customWidth="1"/>
    <col min="2" max="3" width="23.7109375" style="258" customWidth="1"/>
    <col min="4" max="4" width="16.42578125" style="258" customWidth="1"/>
    <col min="5" max="5" width="10.85546875" style="258" customWidth="1"/>
    <col min="6" max="6" width="10.7109375" style="258" customWidth="1"/>
    <col min="7" max="7" width="9.140625" style="258"/>
    <col min="8" max="10" width="9.140625" style="258" customWidth="1"/>
    <col min="11" max="11" width="8.85546875" style="258" customWidth="1"/>
    <col min="12" max="12" width="9.140625" style="258" customWidth="1"/>
    <col min="13" max="13" width="10.42578125" style="258" customWidth="1"/>
    <col min="14" max="15" width="9.140625" style="258" customWidth="1"/>
    <col min="16" max="16" width="11.140625" style="258" customWidth="1"/>
    <col min="17" max="17" width="9.42578125" style="258" customWidth="1"/>
    <col min="18" max="18" width="10.5703125" style="258" customWidth="1"/>
    <col min="19" max="19" width="11.140625" style="258" customWidth="1"/>
    <col min="20" max="21" width="9.140625" style="258" customWidth="1"/>
    <col min="22" max="22" width="10.85546875" style="258" customWidth="1"/>
    <col min="23" max="24" width="9.140625" style="258" customWidth="1"/>
    <col min="25" max="25" width="10.28515625" style="258" customWidth="1"/>
    <col min="26" max="29" width="10.42578125" style="258" customWidth="1"/>
    <col min="30" max="30" width="11" style="258" customWidth="1"/>
    <col min="31" max="31" width="10.42578125" style="258" customWidth="1"/>
    <col min="32" max="32" width="9.140625" style="258" customWidth="1"/>
    <col min="33" max="33" width="11.140625" style="258" customWidth="1"/>
    <col min="34" max="34" width="10.85546875" style="258" customWidth="1"/>
    <col min="35" max="35" width="9.42578125" style="258" customWidth="1"/>
    <col min="36" max="36" width="9.140625" style="258" hidden="1" customWidth="1"/>
    <col min="37" max="37" width="10.5703125" style="258" hidden="1" customWidth="1"/>
    <col min="38" max="38" width="9.140625" style="258" customWidth="1"/>
    <col min="39" max="40" width="9.140625" style="258" hidden="1" customWidth="1"/>
    <col min="41" max="41" width="9.140625" style="259" customWidth="1"/>
    <col min="42" max="42" width="10.42578125" style="258" hidden="1" customWidth="1"/>
    <col min="43" max="43" width="9.140625" style="258" hidden="1" customWidth="1"/>
    <col min="44" max="44" width="65.28515625" style="249" customWidth="1"/>
    <col min="45" max="45" width="44.7109375" style="258" customWidth="1"/>
    <col min="46" max="49" width="9.140625" style="258" customWidth="1"/>
    <col min="50" max="16384" width="9.140625" style="258"/>
  </cols>
  <sheetData>
    <row r="1" spans="1:50" s="249" customFormat="1">
      <c r="AO1" s="250"/>
      <c r="AS1" s="251" t="s">
        <v>458</v>
      </c>
    </row>
    <row r="2" spans="1:50" s="249" customFormat="1">
      <c r="AO2" s="250"/>
      <c r="AS2" s="251" t="s">
        <v>459</v>
      </c>
    </row>
    <row r="3" spans="1:50" s="249" customFormat="1">
      <c r="AO3" s="250"/>
      <c r="AS3" s="251" t="s">
        <v>460</v>
      </c>
    </row>
    <row r="4" spans="1:50" s="249" customFormat="1">
      <c r="AO4" s="250"/>
    </row>
    <row r="5" spans="1:50" s="249" customFormat="1">
      <c r="AO5" s="250"/>
      <c r="AS5" s="251" t="s">
        <v>450</v>
      </c>
    </row>
    <row r="6" spans="1:50" s="249" customFormat="1">
      <c r="AO6" s="250"/>
    </row>
    <row r="7" spans="1:50" s="242" customFormat="1" ht="18.75">
      <c r="A7" s="464" t="s">
        <v>449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</row>
    <row r="8" spans="1:50" s="242" customFormat="1" ht="18.75">
      <c r="A8" s="464" t="s">
        <v>499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</row>
    <row r="9" spans="1:50" s="242" customFormat="1" ht="15.75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241"/>
    </row>
    <row r="10" spans="1:50" s="235" customFormat="1" ht="12.75">
      <c r="A10" s="214"/>
      <c r="B10" s="212"/>
      <c r="C10" s="212"/>
      <c r="D10" s="213"/>
      <c r="E10" s="213"/>
      <c r="F10" s="213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5"/>
      <c r="AP10" s="215"/>
      <c r="AQ10" s="215"/>
      <c r="AR10" s="215"/>
    </row>
    <row r="11" spans="1:50" s="235" customFormat="1" ht="12.75" customHeight="1">
      <c r="A11" s="460" t="s">
        <v>0</v>
      </c>
      <c r="B11" s="460" t="s">
        <v>261</v>
      </c>
      <c r="C11" s="466" t="s">
        <v>47</v>
      </c>
      <c r="D11" s="460" t="s">
        <v>1</v>
      </c>
      <c r="E11" s="460" t="s">
        <v>263</v>
      </c>
      <c r="F11" s="460"/>
      <c r="G11" s="460"/>
      <c r="H11" s="460" t="s">
        <v>18</v>
      </c>
      <c r="I11" s="460"/>
      <c r="J11" s="460"/>
      <c r="K11" s="460" t="s">
        <v>19</v>
      </c>
      <c r="L11" s="460"/>
      <c r="M11" s="460"/>
      <c r="N11" s="460" t="s">
        <v>23</v>
      </c>
      <c r="O11" s="460"/>
      <c r="P11" s="460"/>
      <c r="Q11" s="460" t="s">
        <v>25</v>
      </c>
      <c r="R11" s="460"/>
      <c r="S11" s="460"/>
      <c r="T11" s="460" t="s">
        <v>26</v>
      </c>
      <c r="U11" s="460"/>
      <c r="V11" s="460"/>
      <c r="W11" s="460" t="s">
        <v>27</v>
      </c>
      <c r="X11" s="460"/>
      <c r="Y11" s="460"/>
      <c r="Z11" s="460" t="s">
        <v>29</v>
      </c>
      <c r="AA11" s="460"/>
      <c r="AB11" s="460"/>
      <c r="AC11" s="460" t="s">
        <v>30</v>
      </c>
      <c r="AD11" s="460"/>
      <c r="AE11" s="460"/>
      <c r="AF11" s="460" t="s">
        <v>31</v>
      </c>
      <c r="AG11" s="460"/>
      <c r="AH11" s="460"/>
      <c r="AI11" s="460" t="s">
        <v>33</v>
      </c>
      <c r="AJ11" s="460"/>
      <c r="AK11" s="460"/>
      <c r="AL11" s="460" t="s">
        <v>34</v>
      </c>
      <c r="AM11" s="460"/>
      <c r="AN11" s="460"/>
      <c r="AO11" s="460" t="s">
        <v>35</v>
      </c>
      <c r="AP11" s="460"/>
      <c r="AQ11" s="460"/>
      <c r="AR11" s="477" t="s">
        <v>273</v>
      </c>
      <c r="AS11" s="478" t="s">
        <v>274</v>
      </c>
      <c r="AT11" s="244"/>
      <c r="AU11" s="244"/>
    </row>
    <row r="12" spans="1:50" s="235" customFormat="1" ht="25.5">
      <c r="A12" s="460"/>
      <c r="B12" s="460"/>
      <c r="C12" s="467"/>
      <c r="D12" s="460"/>
      <c r="E12" s="252" t="s">
        <v>264</v>
      </c>
      <c r="F12" s="252" t="s">
        <v>265</v>
      </c>
      <c r="G12" s="253" t="s">
        <v>266</v>
      </c>
      <c r="H12" s="252" t="s">
        <v>264</v>
      </c>
      <c r="I12" s="252" t="s">
        <v>265</v>
      </c>
      <c r="J12" s="253" t="s">
        <v>266</v>
      </c>
      <c r="K12" s="252" t="s">
        <v>264</v>
      </c>
      <c r="L12" s="252" t="s">
        <v>265</v>
      </c>
      <c r="M12" s="253" t="s">
        <v>266</v>
      </c>
      <c r="N12" s="252" t="s">
        <v>264</v>
      </c>
      <c r="O12" s="252" t="s">
        <v>265</v>
      </c>
      <c r="P12" s="253" t="s">
        <v>266</v>
      </c>
      <c r="Q12" s="252" t="s">
        <v>264</v>
      </c>
      <c r="R12" s="252" t="s">
        <v>265</v>
      </c>
      <c r="S12" s="253" t="s">
        <v>266</v>
      </c>
      <c r="T12" s="252" t="s">
        <v>264</v>
      </c>
      <c r="U12" s="252" t="s">
        <v>265</v>
      </c>
      <c r="V12" s="253" t="s">
        <v>266</v>
      </c>
      <c r="W12" s="252" t="s">
        <v>264</v>
      </c>
      <c r="X12" s="252" t="s">
        <v>265</v>
      </c>
      <c r="Y12" s="253" t="s">
        <v>266</v>
      </c>
      <c r="Z12" s="252" t="s">
        <v>264</v>
      </c>
      <c r="AA12" s="252" t="s">
        <v>265</v>
      </c>
      <c r="AB12" s="253" t="s">
        <v>266</v>
      </c>
      <c r="AC12" s="252" t="s">
        <v>264</v>
      </c>
      <c r="AD12" s="252" t="s">
        <v>265</v>
      </c>
      <c r="AE12" s="253" t="s">
        <v>266</v>
      </c>
      <c r="AF12" s="252" t="s">
        <v>264</v>
      </c>
      <c r="AG12" s="252" t="s">
        <v>265</v>
      </c>
      <c r="AH12" s="253" t="s">
        <v>266</v>
      </c>
      <c r="AI12" s="252" t="s">
        <v>264</v>
      </c>
      <c r="AJ12" s="252" t="s">
        <v>265</v>
      </c>
      <c r="AK12" s="253" t="s">
        <v>266</v>
      </c>
      <c r="AL12" s="252" t="s">
        <v>264</v>
      </c>
      <c r="AM12" s="252" t="s">
        <v>265</v>
      </c>
      <c r="AN12" s="253" t="s">
        <v>266</v>
      </c>
      <c r="AO12" s="252" t="s">
        <v>264</v>
      </c>
      <c r="AP12" s="252" t="s">
        <v>265</v>
      </c>
      <c r="AQ12" s="253" t="s">
        <v>266</v>
      </c>
      <c r="AR12" s="477"/>
      <c r="AS12" s="478"/>
    </row>
    <row r="13" spans="1:50" s="246" customFormat="1" ht="12.75" customHeight="1">
      <c r="A13" s="468" t="s">
        <v>463</v>
      </c>
      <c r="B13" s="471" t="s">
        <v>446</v>
      </c>
      <c r="C13" s="472"/>
      <c r="D13" s="216" t="s">
        <v>444</v>
      </c>
      <c r="E13" s="149">
        <f>E14+E15+E17</f>
        <v>419484.5</v>
      </c>
      <c r="F13" s="149">
        <f t="shared" ref="F13:AP13" si="0">F14+F15+F17</f>
        <v>271802.80000000005</v>
      </c>
      <c r="G13" s="149">
        <f t="shared" ref="G13:G24" si="1">F13/E13*100</f>
        <v>64.794479891390509</v>
      </c>
      <c r="H13" s="149">
        <f t="shared" si="0"/>
        <v>7826.3999999999987</v>
      </c>
      <c r="I13" s="149">
        <f t="shared" si="0"/>
        <v>7115.2</v>
      </c>
      <c r="J13" s="149">
        <f>I13/H13*100</f>
        <v>90.912807932127166</v>
      </c>
      <c r="K13" s="149">
        <f t="shared" si="0"/>
        <v>31944.300000000003</v>
      </c>
      <c r="L13" s="149">
        <f t="shared" si="0"/>
        <v>31398.6</v>
      </c>
      <c r="M13" s="149">
        <f>L13/K13*100</f>
        <v>98.291714014706827</v>
      </c>
      <c r="N13" s="149">
        <f t="shared" si="0"/>
        <v>49334.399999999994</v>
      </c>
      <c r="O13" s="149">
        <f t="shared" si="0"/>
        <v>38740.600000000006</v>
      </c>
      <c r="P13" s="149">
        <f>O13/N13*100</f>
        <v>78.526545371991972</v>
      </c>
      <c r="Q13" s="149">
        <f t="shared" si="0"/>
        <v>39752.899999999994</v>
      </c>
      <c r="R13" s="149">
        <f t="shared" si="0"/>
        <v>38945.500000000007</v>
      </c>
      <c r="S13" s="149">
        <f>R13/Q13*100</f>
        <v>97.9689532084452</v>
      </c>
      <c r="T13" s="149">
        <f t="shared" si="0"/>
        <v>32666.999999999996</v>
      </c>
      <c r="U13" s="149">
        <f t="shared" si="0"/>
        <v>32233.9</v>
      </c>
      <c r="V13" s="149">
        <f>U13/T13*100</f>
        <v>98.674197202069379</v>
      </c>
      <c r="W13" s="149">
        <f t="shared" si="0"/>
        <v>35579.9</v>
      </c>
      <c r="X13" s="149">
        <f t="shared" si="0"/>
        <v>31835.3</v>
      </c>
      <c r="Y13" s="149">
        <f>X13/W13*100</f>
        <v>89.475518480940082</v>
      </c>
      <c r="Z13" s="149">
        <f t="shared" si="0"/>
        <v>42262.700000000004</v>
      </c>
      <c r="AA13" s="149">
        <f t="shared" si="0"/>
        <v>36198.900000000009</v>
      </c>
      <c r="AB13" s="149">
        <f t="shared" ref="AB13:AB26" si="2">AA13/Z13*100</f>
        <v>85.652123503704232</v>
      </c>
      <c r="AC13" s="149">
        <f t="shared" si="0"/>
        <v>33342.5</v>
      </c>
      <c r="AD13" s="149">
        <f t="shared" si="0"/>
        <v>28942.9</v>
      </c>
      <c r="AE13" s="149">
        <f>AD13/AC13*100</f>
        <v>86.804828672115178</v>
      </c>
      <c r="AF13" s="149">
        <f t="shared" si="0"/>
        <v>45616.6</v>
      </c>
      <c r="AG13" s="149">
        <f t="shared" si="0"/>
        <v>26391.899999999998</v>
      </c>
      <c r="AH13" s="149">
        <f>AG13/AF13*100</f>
        <v>57.85591210217332</v>
      </c>
      <c r="AI13" s="149">
        <f t="shared" si="0"/>
        <v>33056.5</v>
      </c>
      <c r="AJ13" s="149">
        <f t="shared" si="0"/>
        <v>0</v>
      </c>
      <c r="AK13" s="149">
        <f t="shared" ref="AK13:AK15" si="3">AJ13/AI13*100</f>
        <v>0</v>
      </c>
      <c r="AL13" s="149">
        <f t="shared" si="0"/>
        <v>29121</v>
      </c>
      <c r="AM13" s="149">
        <f t="shared" si="0"/>
        <v>0</v>
      </c>
      <c r="AN13" s="149">
        <f t="shared" ref="AN13:AN15" si="4">AM13/AL13*100</f>
        <v>0</v>
      </c>
      <c r="AO13" s="149">
        <f t="shared" si="0"/>
        <v>38980.300000000003</v>
      </c>
      <c r="AP13" s="149">
        <f t="shared" si="0"/>
        <v>0</v>
      </c>
      <c r="AQ13" s="149" t="e">
        <f t="shared" ref="AQ13:AQ15" si="5">AO13/AP13*100</f>
        <v>#DIV/0!</v>
      </c>
      <c r="AR13" s="479"/>
      <c r="AS13" s="482"/>
      <c r="AT13" s="245"/>
    </row>
    <row r="14" spans="1:50" s="246" customFormat="1" ht="48">
      <c r="A14" s="469"/>
      <c r="B14" s="473"/>
      <c r="C14" s="474"/>
      <c r="D14" s="217" t="s">
        <v>442</v>
      </c>
      <c r="E14" s="149">
        <f>E20+E25+E31+E36+E41+E47</f>
        <v>93551</v>
      </c>
      <c r="F14" s="149">
        <f>F20+F25+F31+F36+F41+F47</f>
        <v>57384.5</v>
      </c>
      <c r="G14" s="149">
        <f t="shared" si="1"/>
        <v>61.340338425030197</v>
      </c>
      <c r="H14" s="149">
        <f>H20+H25+H31+H36+H41+H47</f>
        <v>219.99999999999997</v>
      </c>
      <c r="I14" s="149">
        <f>I20+I25+I31+I36+I41+I47</f>
        <v>190.6</v>
      </c>
      <c r="J14" s="149">
        <f t="shared" ref="J14:J15" si="6">I14/H14*100</f>
        <v>86.63636363636364</v>
      </c>
      <c r="K14" s="149">
        <f>K20+K25+K31+K36+K41+K47</f>
        <v>6764.8</v>
      </c>
      <c r="L14" s="149">
        <f>L20+L25+L31+L36+L41+L47</f>
        <v>6557.4</v>
      </c>
      <c r="M14" s="149">
        <f t="shared" ref="M14:M17" si="7">L14/K14*100</f>
        <v>96.934129612109729</v>
      </c>
      <c r="N14" s="149">
        <f>N20+N25+N31+N36+N41+N47</f>
        <v>8304.4999999999982</v>
      </c>
      <c r="O14" s="149">
        <f>O20+O25+O31+O36+O41+O47</f>
        <v>7935.2999999999993</v>
      </c>
      <c r="P14" s="149">
        <f t="shared" ref="P14:P17" si="8">O14/N14*100</f>
        <v>95.554217592871353</v>
      </c>
      <c r="Q14" s="149">
        <f>Q20+Q25+Q31+Q36+Q41+Q47</f>
        <v>7838.4999999999991</v>
      </c>
      <c r="R14" s="149">
        <f>R20+R25+R31+R36+R41+R47</f>
        <v>7093.8</v>
      </c>
      <c r="S14" s="149">
        <f t="shared" ref="S14:S17" si="9">R14/Q14*100</f>
        <v>90.499457804426868</v>
      </c>
      <c r="T14" s="149">
        <f>T20+T25+T31+T36+T41+T47</f>
        <v>6884.7000000000007</v>
      </c>
      <c r="U14" s="149">
        <f>U20+U25+U31+U36+U41+U47</f>
        <v>6648.9</v>
      </c>
      <c r="V14" s="149">
        <f t="shared" ref="V14:V17" si="10">U14/T14*100</f>
        <v>96.575014161837103</v>
      </c>
      <c r="W14" s="149">
        <f>W20+W25+W31+W36+W41+W47</f>
        <v>8149.2</v>
      </c>
      <c r="X14" s="149">
        <f>X20+X25+X31+X36+X41+X47</f>
        <v>7489.5</v>
      </c>
      <c r="Y14" s="149">
        <f t="shared" ref="Y14:Y17" si="11">X14/W14*100</f>
        <v>91.904726844352822</v>
      </c>
      <c r="Z14" s="149">
        <f>Z20+Z25+Z31+Z36+Z41+Z47</f>
        <v>8454.4999999999982</v>
      </c>
      <c r="AA14" s="149">
        <f>AA20+AA25+AA31+AA36+AA41+AA47</f>
        <v>8116.5999999999995</v>
      </c>
      <c r="AB14" s="149">
        <f t="shared" si="2"/>
        <v>96.003311845762624</v>
      </c>
      <c r="AC14" s="149">
        <f>AC20+AC25+AC31+AC36+AC41+AC47</f>
        <v>6831.2</v>
      </c>
      <c r="AD14" s="149">
        <f>AD20+AD25+AD31+AD36+AD41+AD47</f>
        <v>6657.1</v>
      </c>
      <c r="AE14" s="149">
        <f t="shared" ref="AE14:AE35" si="12">AD14/AC14*100</f>
        <v>97.451399461295239</v>
      </c>
      <c r="AF14" s="149">
        <f>AF20+AF25+AF31+AF36+AF41+AF47</f>
        <v>9358.7000000000007</v>
      </c>
      <c r="AG14" s="149">
        <f>AG20+AG25+AG31+AG36+AG41+AG47</f>
        <v>6695.3</v>
      </c>
      <c r="AH14" s="149">
        <f>AG14/AF14*100</f>
        <v>71.540919144753019</v>
      </c>
      <c r="AI14" s="149">
        <f>AI20+AI25+AI31+AI36+AI41+AI47</f>
        <v>8625.1</v>
      </c>
      <c r="AJ14" s="149">
        <f>AJ20+AJ25+AJ31+AJ36+AJ41+AJ47</f>
        <v>0</v>
      </c>
      <c r="AK14" s="149">
        <f t="shared" si="3"/>
        <v>0</v>
      </c>
      <c r="AL14" s="149">
        <f>AL20+AL25+AL31+AL36+AL41+AL47</f>
        <v>6414.7</v>
      </c>
      <c r="AM14" s="149">
        <f>AM20+AM25+AM31+AM36+AM41+AM47</f>
        <v>0</v>
      </c>
      <c r="AN14" s="149">
        <f t="shared" si="4"/>
        <v>0</v>
      </c>
      <c r="AO14" s="149">
        <f>AO20+AO25+AO31+AO36+AO41+AO47</f>
        <v>15705.099999999999</v>
      </c>
      <c r="AP14" s="149">
        <f>AP20+AP25+AP31+AP36+AP41+AP47</f>
        <v>0</v>
      </c>
      <c r="AQ14" s="149" t="e">
        <f t="shared" si="5"/>
        <v>#DIV/0!</v>
      </c>
      <c r="AR14" s="480"/>
      <c r="AS14" s="483"/>
      <c r="AT14" s="245"/>
    </row>
    <row r="15" spans="1:50" s="246" customFormat="1" ht="12.75">
      <c r="A15" s="469"/>
      <c r="B15" s="473"/>
      <c r="C15" s="474"/>
      <c r="D15" s="217" t="s">
        <v>462</v>
      </c>
      <c r="E15" s="149">
        <f>E21+E26+E32+E37+E42</f>
        <v>320339.20000000001</v>
      </c>
      <c r="F15" s="149">
        <f>F21+F26+F32+F37+F42</f>
        <v>210836.40000000002</v>
      </c>
      <c r="G15" s="149">
        <f t="shared" si="1"/>
        <v>65.816609394042331</v>
      </c>
      <c r="H15" s="149">
        <f>H21+H26+H32+H37+H42</f>
        <v>7606.3999999999987</v>
      </c>
      <c r="I15" s="149">
        <f>I21+I26+I32+I37+I42</f>
        <v>6924.5999999999995</v>
      </c>
      <c r="J15" s="149">
        <f t="shared" si="6"/>
        <v>91.036495582667229</v>
      </c>
      <c r="K15" s="149">
        <f>K21+K26+K32+K37+K42</f>
        <v>24647.500000000004</v>
      </c>
      <c r="L15" s="149">
        <f>L21+L26+L32+L37+L42</f>
        <v>24288.699999999997</v>
      </c>
      <c r="M15" s="149">
        <f t="shared" si="7"/>
        <v>98.544274267167026</v>
      </c>
      <c r="N15" s="149">
        <f>N21+N26+N32+N37+N42</f>
        <v>40652.199999999997</v>
      </c>
      <c r="O15" s="149">
        <f>O21+O26+O32+O37+O42</f>
        <v>30481.000000000004</v>
      </c>
      <c r="P15" s="149">
        <f t="shared" si="8"/>
        <v>74.979951884522862</v>
      </c>
      <c r="Q15" s="149">
        <f>Q21+Q26+Q32+Q37+Q42</f>
        <v>31583.699999999997</v>
      </c>
      <c r="R15" s="149">
        <f>R21+R26+R32+R37+R42</f>
        <v>31521.800000000003</v>
      </c>
      <c r="S15" s="149">
        <f t="shared" si="9"/>
        <v>99.804012829402524</v>
      </c>
      <c r="T15" s="149">
        <f>T21+T26+T32+T37+T42</f>
        <v>25241.999999999996</v>
      </c>
      <c r="U15" s="149">
        <f>U21+U26+U32+U37+U42</f>
        <v>25054.1</v>
      </c>
      <c r="V15" s="149">
        <f t="shared" si="10"/>
        <v>99.255605736470969</v>
      </c>
      <c r="W15" s="149">
        <f>W21+W26+W32+W37+W42</f>
        <v>26926.800000000003</v>
      </c>
      <c r="X15" s="149">
        <f>X21+X26+X32+X37+X42</f>
        <v>23868</v>
      </c>
      <c r="Y15" s="149">
        <f t="shared" si="11"/>
        <v>88.640313739471438</v>
      </c>
      <c r="Z15" s="149">
        <f>Z21+Z26+Z32+Z37+Z42</f>
        <v>33229.9</v>
      </c>
      <c r="AA15" s="149">
        <f>AA21+AA26+AA32+AA37+AA42</f>
        <v>27504.000000000004</v>
      </c>
      <c r="AB15" s="149">
        <f t="shared" si="2"/>
        <v>82.768831684717682</v>
      </c>
      <c r="AC15" s="149">
        <f>AC21+AC26+AC32+AC37+AC42</f>
        <v>26007.499999999996</v>
      </c>
      <c r="AD15" s="149">
        <f>AD21+AD26+AD32+AD37+AD42</f>
        <v>21781.8</v>
      </c>
      <c r="AE15" s="149">
        <f t="shared" si="12"/>
        <v>83.751994616937424</v>
      </c>
      <c r="AF15" s="149">
        <f>AF21+AF26+AF32+AF37+AF42</f>
        <v>35973.5</v>
      </c>
      <c r="AG15" s="149">
        <f>AG21+AG26+AG32+AG37+AG42</f>
        <v>19412.399999999998</v>
      </c>
      <c r="AH15" s="149">
        <f>AG15/AF15*100</f>
        <v>53.963056138546428</v>
      </c>
      <c r="AI15" s="149">
        <f>AI21+AI26+AI32+AI37+AI42</f>
        <v>23710.9</v>
      </c>
      <c r="AJ15" s="149">
        <f>AJ21+AJ26+AJ32+AJ37+AJ42</f>
        <v>0</v>
      </c>
      <c r="AK15" s="149">
        <f t="shared" si="3"/>
        <v>0</v>
      </c>
      <c r="AL15" s="149">
        <f>AL21+AL26+AL32+AL37+AL42</f>
        <v>22337.899999999998</v>
      </c>
      <c r="AM15" s="149">
        <f>AM21+AM26+AM32+AM37+AM42</f>
        <v>0</v>
      </c>
      <c r="AN15" s="149">
        <f t="shared" si="4"/>
        <v>0</v>
      </c>
      <c r="AO15" s="149">
        <f>AO21+AO26+AO32+AO37+AO42</f>
        <v>22420.9</v>
      </c>
      <c r="AP15" s="149">
        <f>AP21+AP26+AP32+AP37+AP42</f>
        <v>0</v>
      </c>
      <c r="AQ15" s="149" t="e">
        <f t="shared" si="5"/>
        <v>#DIV/0!</v>
      </c>
      <c r="AR15" s="480"/>
      <c r="AS15" s="483"/>
      <c r="AT15" s="245"/>
    </row>
    <row r="16" spans="1:50" s="236" customFormat="1" ht="36">
      <c r="A16" s="469"/>
      <c r="B16" s="473"/>
      <c r="C16" s="474"/>
      <c r="D16" s="224" t="s">
        <v>457</v>
      </c>
      <c r="E16" s="229">
        <f t="shared" ref="E16:F16" si="13">H16+K16+N16+Q16+T16+W16+Z16+AC16+AF16+AI16+AL16+AO16</f>
        <v>0</v>
      </c>
      <c r="F16" s="229">
        <f t="shared" si="13"/>
        <v>349.70000000000005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165.8</v>
      </c>
      <c r="P16" s="229">
        <v>0</v>
      </c>
      <c r="Q16" s="229">
        <v>0</v>
      </c>
      <c r="R16" s="229">
        <f>R79</f>
        <v>183.9</v>
      </c>
      <c r="S16" s="229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29">
        <v>0</v>
      </c>
      <c r="AA16" s="229">
        <v>0</v>
      </c>
      <c r="AB16" s="229">
        <v>0</v>
      </c>
      <c r="AC16" s="230"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29">
        <v>0</v>
      </c>
      <c r="AJ16" s="229">
        <v>0</v>
      </c>
      <c r="AK16" s="229">
        <v>0</v>
      </c>
      <c r="AL16" s="230">
        <v>0</v>
      </c>
      <c r="AM16" s="230">
        <v>0</v>
      </c>
      <c r="AN16" s="230">
        <v>0</v>
      </c>
      <c r="AO16" s="230">
        <v>0</v>
      </c>
      <c r="AP16" s="229"/>
      <c r="AQ16" s="229"/>
      <c r="AR16" s="480"/>
      <c r="AS16" s="483"/>
      <c r="AT16" s="232"/>
      <c r="AU16" s="233"/>
      <c r="AV16" s="234"/>
      <c r="AW16" s="235"/>
      <c r="AX16" s="233"/>
    </row>
    <row r="17" spans="1:50" s="246" customFormat="1" ht="24">
      <c r="A17" s="469"/>
      <c r="B17" s="473"/>
      <c r="C17" s="474"/>
      <c r="D17" s="218" t="s">
        <v>257</v>
      </c>
      <c r="E17" s="149">
        <f>E22+E28+E38+E49</f>
        <v>5594.3</v>
      </c>
      <c r="F17" s="149">
        <f>F22+F28+F38+F49</f>
        <v>3581.8999999999996</v>
      </c>
      <c r="G17" s="149">
        <f t="shared" si="1"/>
        <v>64.027671022290534</v>
      </c>
      <c r="H17" s="149">
        <f>H22+H28+H38+H49</f>
        <v>0</v>
      </c>
      <c r="I17" s="149">
        <f>I22+I28+I38+I49</f>
        <v>0</v>
      </c>
      <c r="J17" s="149">
        <v>0</v>
      </c>
      <c r="K17" s="149">
        <f>K22+K28+K38+K49</f>
        <v>532</v>
      </c>
      <c r="L17" s="149">
        <f>L22+L28+L38+L49</f>
        <v>552.5</v>
      </c>
      <c r="M17" s="149">
        <f t="shared" si="7"/>
        <v>103.8533834586466</v>
      </c>
      <c r="N17" s="149">
        <f>N22+N28+N38+N49</f>
        <v>377.70000000000005</v>
      </c>
      <c r="O17" s="149">
        <f>O22+O28+O38+O49</f>
        <v>324.3</v>
      </c>
      <c r="P17" s="149">
        <f t="shared" si="8"/>
        <v>85.861795075456698</v>
      </c>
      <c r="Q17" s="149">
        <f>Q22+Q28+Q38+Q49</f>
        <v>330.70000000000005</v>
      </c>
      <c r="R17" s="149">
        <f>R22+R28+R38+R49</f>
        <v>329.9</v>
      </c>
      <c r="S17" s="149">
        <f t="shared" si="9"/>
        <v>99.758088902328382</v>
      </c>
      <c r="T17" s="149">
        <f>T22+T28+T38+T49</f>
        <v>540.30000000000007</v>
      </c>
      <c r="U17" s="149">
        <f>U22+U28+U38+U49</f>
        <v>530.9</v>
      </c>
      <c r="V17" s="149">
        <f t="shared" si="10"/>
        <v>98.260225800481194</v>
      </c>
      <c r="W17" s="149">
        <f>W22+W28+W38+W49</f>
        <v>503.90000000000003</v>
      </c>
      <c r="X17" s="149">
        <f>X22+X28+X38+X49</f>
        <v>477.8</v>
      </c>
      <c r="Y17" s="149">
        <f t="shared" si="11"/>
        <v>94.820400873189129</v>
      </c>
      <c r="Z17" s="149">
        <f>Z22+Z28+Z38+Z49</f>
        <v>578.29999999999995</v>
      </c>
      <c r="AA17" s="149">
        <f>AA22+AA28+AA38+AA49</f>
        <v>578.29999999999995</v>
      </c>
      <c r="AB17" s="149">
        <f t="shared" si="2"/>
        <v>100</v>
      </c>
      <c r="AC17" s="149">
        <f>AC22+AC28+AC38+AC49</f>
        <v>503.8</v>
      </c>
      <c r="AD17" s="149">
        <f>AD22+AD28+AD38+AD49</f>
        <v>504</v>
      </c>
      <c r="AE17" s="149">
        <f t="shared" si="12"/>
        <v>100.03969829297338</v>
      </c>
      <c r="AF17" s="149">
        <f>AF22+AF28+AF38+AF49</f>
        <v>284.40000000000003</v>
      </c>
      <c r="AG17" s="149">
        <f>AG22+AG28+AG38+AG49</f>
        <v>284.2</v>
      </c>
      <c r="AH17" s="149">
        <f>AG17/AF17*100</f>
        <v>99.92967651195498</v>
      </c>
      <c r="AI17" s="149">
        <f>AI22+AI28+AI38+AI49</f>
        <v>720.5</v>
      </c>
      <c r="AJ17" s="149">
        <f>AJ22+AJ28+AJ38+AJ49</f>
        <v>0</v>
      </c>
      <c r="AK17" s="149">
        <f>AJ17/AI17*100</f>
        <v>0</v>
      </c>
      <c r="AL17" s="149">
        <f>AL22+AL28+AL38+AL49</f>
        <v>368.4</v>
      </c>
      <c r="AM17" s="149">
        <f>AM22+AM28+AM38+AM49</f>
        <v>0</v>
      </c>
      <c r="AN17" s="149">
        <f>AM17/AL17*100</f>
        <v>0</v>
      </c>
      <c r="AO17" s="149">
        <f>AO22+AO28+AO38+AO49</f>
        <v>854.30000000000007</v>
      </c>
      <c r="AP17" s="149">
        <f>AP22+AP28+AP38+AP49</f>
        <v>0</v>
      </c>
      <c r="AQ17" s="149" t="e">
        <f>AO17/AP17*100</f>
        <v>#DIV/0!</v>
      </c>
      <c r="AR17" s="480"/>
      <c r="AS17" s="483"/>
      <c r="AT17" s="245"/>
    </row>
    <row r="18" spans="1:50" s="246" customFormat="1" ht="24">
      <c r="A18" s="470"/>
      <c r="B18" s="475"/>
      <c r="C18" s="476"/>
      <c r="D18" s="218" t="s">
        <v>467</v>
      </c>
      <c r="E18" s="149">
        <f>H18+K18+N18+Q18+T18+W18+Z18+AC18+AF18+AI18+AL18+AO18</f>
        <v>0</v>
      </c>
      <c r="F18" s="149">
        <f>I18+L18+O18+R18+U18+X18+AA18+AD18+AG18+AJ18+AM18+AP18</f>
        <v>0</v>
      </c>
      <c r="G18" s="149">
        <v>0</v>
      </c>
      <c r="H18" s="149">
        <v>0</v>
      </c>
      <c r="I18" s="149">
        <v>0</v>
      </c>
      <c r="J18" s="149">
        <v>0</v>
      </c>
      <c r="K18" s="254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226">
        <v>0</v>
      </c>
      <c r="U18" s="226">
        <v>0</v>
      </c>
      <c r="V18" s="149">
        <v>0</v>
      </c>
      <c r="W18" s="226">
        <v>0</v>
      </c>
      <c r="X18" s="226">
        <v>0</v>
      </c>
      <c r="Y18" s="226">
        <v>0</v>
      </c>
      <c r="Z18" s="226">
        <v>0</v>
      </c>
      <c r="AA18" s="226">
        <v>0</v>
      </c>
      <c r="AB18" s="226">
        <v>0</v>
      </c>
      <c r="AC18" s="226">
        <v>0</v>
      </c>
      <c r="AD18" s="226">
        <v>0</v>
      </c>
      <c r="AE18" s="226">
        <v>0</v>
      </c>
      <c r="AF18" s="226">
        <v>0</v>
      </c>
      <c r="AG18" s="226">
        <v>0</v>
      </c>
      <c r="AH18" s="149">
        <v>0</v>
      </c>
      <c r="AI18" s="149">
        <v>0</v>
      </c>
      <c r="AJ18" s="149">
        <v>0</v>
      </c>
      <c r="AK18" s="149">
        <v>0</v>
      </c>
      <c r="AL18" s="226">
        <v>0</v>
      </c>
      <c r="AM18" s="226">
        <v>0</v>
      </c>
      <c r="AN18" s="226">
        <v>0</v>
      </c>
      <c r="AO18" s="149">
        <v>0</v>
      </c>
      <c r="AP18" s="149">
        <v>0</v>
      </c>
      <c r="AQ18" s="149">
        <v>0</v>
      </c>
      <c r="AR18" s="481"/>
      <c r="AS18" s="484"/>
      <c r="AT18" s="245"/>
    </row>
    <row r="19" spans="1:50" s="235" customFormat="1" ht="241.5" customHeight="1">
      <c r="A19" s="457" t="s">
        <v>2</v>
      </c>
      <c r="B19" s="485" t="s">
        <v>468</v>
      </c>
      <c r="C19" s="488" t="s">
        <v>451</v>
      </c>
      <c r="D19" s="219" t="s">
        <v>444</v>
      </c>
      <c r="E19" s="123">
        <f>SUM(E20:E22)</f>
        <v>304598.10000000003</v>
      </c>
      <c r="F19" s="123">
        <f t="shared" ref="F19:O19" si="14">SUM(F20:F22)</f>
        <v>205184.30000000002</v>
      </c>
      <c r="G19" s="123">
        <f t="shared" si="1"/>
        <v>67.362304623699231</v>
      </c>
      <c r="H19" s="123">
        <f t="shared" si="14"/>
        <v>5867.9</v>
      </c>
      <c r="I19" s="123">
        <f t="shared" si="14"/>
        <v>5156.7000000000007</v>
      </c>
      <c r="J19" s="123">
        <f>I19/H19*100</f>
        <v>87.879820719507848</v>
      </c>
      <c r="K19" s="123">
        <f t="shared" si="14"/>
        <v>24813.9</v>
      </c>
      <c r="L19" s="123">
        <f t="shared" si="14"/>
        <v>24386.5</v>
      </c>
      <c r="M19" s="123">
        <f>L19/K19*100</f>
        <v>98.277578292811683</v>
      </c>
      <c r="N19" s="123">
        <f t="shared" si="14"/>
        <v>38413.699999999997</v>
      </c>
      <c r="O19" s="123">
        <f t="shared" si="14"/>
        <v>31299.8</v>
      </c>
      <c r="P19" s="123">
        <f>O19/N19*100</f>
        <v>81.480825851193714</v>
      </c>
      <c r="Q19" s="123">
        <f t="shared" ref="Q19:AQ19" si="15">SUM(Q20:Q22)</f>
        <v>27001.5</v>
      </c>
      <c r="R19" s="123">
        <f t="shared" si="15"/>
        <v>26370.9</v>
      </c>
      <c r="S19" s="123">
        <f>R19/Q19*100</f>
        <v>97.664574190322767</v>
      </c>
      <c r="T19" s="123">
        <f t="shared" si="15"/>
        <v>25683.3</v>
      </c>
      <c r="U19" s="123">
        <f t="shared" si="15"/>
        <v>25673.9</v>
      </c>
      <c r="V19" s="123">
        <f>U19/T19*100</f>
        <v>99.963400341856385</v>
      </c>
      <c r="W19" s="123">
        <f t="shared" si="15"/>
        <v>22358.800000000003</v>
      </c>
      <c r="X19" s="123">
        <f t="shared" si="15"/>
        <v>23212.3</v>
      </c>
      <c r="Y19" s="123">
        <f t="shared" si="15"/>
        <v>299.07118787448508</v>
      </c>
      <c r="Z19" s="123">
        <f t="shared" si="15"/>
        <v>32386.499999999996</v>
      </c>
      <c r="AA19" s="123">
        <f t="shared" si="15"/>
        <v>28000.3</v>
      </c>
      <c r="AB19" s="117">
        <f t="shared" si="2"/>
        <v>86.456702638445037</v>
      </c>
      <c r="AC19" s="123">
        <f t="shared" si="15"/>
        <v>25007.599999999999</v>
      </c>
      <c r="AD19" s="123">
        <f t="shared" si="15"/>
        <v>21897.3</v>
      </c>
      <c r="AE19" s="123">
        <f t="shared" si="12"/>
        <v>87.562580975383483</v>
      </c>
      <c r="AF19" s="123">
        <f t="shared" si="15"/>
        <v>34887.600000000006</v>
      </c>
      <c r="AG19" s="123">
        <f t="shared" si="15"/>
        <v>19186.600000000002</v>
      </c>
      <c r="AH19" s="123">
        <f t="shared" ref="AH19:AH26" si="16">AG19/AF19*100</f>
        <v>54.995471170272523</v>
      </c>
      <c r="AI19" s="123">
        <f t="shared" si="15"/>
        <v>22936</v>
      </c>
      <c r="AJ19" s="123">
        <f t="shared" si="15"/>
        <v>0</v>
      </c>
      <c r="AK19" s="123">
        <f t="shared" si="15"/>
        <v>0</v>
      </c>
      <c r="AL19" s="123">
        <f t="shared" si="15"/>
        <v>18757.2</v>
      </c>
      <c r="AM19" s="123">
        <f t="shared" si="15"/>
        <v>0</v>
      </c>
      <c r="AN19" s="123">
        <f t="shared" si="15"/>
        <v>0</v>
      </c>
      <c r="AO19" s="123">
        <f t="shared" si="15"/>
        <v>26484.1</v>
      </c>
      <c r="AP19" s="123">
        <f t="shared" si="15"/>
        <v>0</v>
      </c>
      <c r="AQ19" s="123">
        <f t="shared" si="15"/>
        <v>0</v>
      </c>
      <c r="AR19" s="419" t="s">
        <v>506</v>
      </c>
      <c r="AS19" s="461" t="s">
        <v>507</v>
      </c>
      <c r="AT19" s="233"/>
      <c r="AU19" s="233"/>
      <c r="AV19" s="234"/>
      <c r="AX19" s="233"/>
    </row>
    <row r="20" spans="1:50" s="235" customFormat="1" ht="180.75" customHeight="1">
      <c r="A20" s="458"/>
      <c r="B20" s="486"/>
      <c r="C20" s="489"/>
      <c r="D20" s="220" t="s">
        <v>442</v>
      </c>
      <c r="E20" s="123">
        <f>H20+K20+N20+Q20+T20+W20+Z20+AC20+AF20+AI20+AL20+AO20</f>
        <v>86882</v>
      </c>
      <c r="F20" s="123">
        <f>I20+L20+O20+R20+U20+X20+AA20+AD20+AG20+AJ20+AM20+AP20</f>
        <v>55857.2</v>
      </c>
      <c r="G20" s="123">
        <f t="shared" si="1"/>
        <v>64.290877281830532</v>
      </c>
      <c r="H20" s="123">
        <f>1.1+171+25+10.4+51.4-38.9</f>
        <v>219.99999999999997</v>
      </c>
      <c r="I20" s="123">
        <v>190.6</v>
      </c>
      <c r="J20" s="123">
        <f>I20/H20*100</f>
        <v>86.63636363636364</v>
      </c>
      <c r="K20" s="123">
        <f>6.7+5150+1384.8+9.3+66.4+47.5</f>
        <v>6664.7</v>
      </c>
      <c r="L20" s="123">
        <v>6475.4</v>
      </c>
      <c r="M20" s="123">
        <f>L20/K20*100</f>
        <v>97.159662100319593</v>
      </c>
      <c r="N20" s="123">
        <f>7+5150+1683.9+45.3+68.9+1069.6+17.4</f>
        <v>8042.0999999999985</v>
      </c>
      <c r="O20" s="123">
        <v>7712.9</v>
      </c>
      <c r="P20" s="123">
        <f>O20/N20*100</f>
        <v>95.906541823653029</v>
      </c>
      <c r="Q20" s="123">
        <f>7.9+5150+1598.4+49.8+90.4+47.5+541</f>
        <v>7484.9999999999991</v>
      </c>
      <c r="R20" s="123">
        <v>6857.1</v>
      </c>
      <c r="S20" s="123">
        <f>R20/Q20*100</f>
        <v>91.61122244488979</v>
      </c>
      <c r="T20" s="221">
        <f>31.3+5855+934.5+26.8+61.6+541-1082</f>
        <v>6368.2000000000007</v>
      </c>
      <c r="U20" s="221">
        <v>6370.2</v>
      </c>
      <c r="V20" s="117">
        <f t="shared" ref="V20:V21" si="17">U20/T20*100</f>
        <v>100.03140604880498</v>
      </c>
      <c r="W20" s="117">
        <f>7+5150+1762.2+3.4+66.4+541.5+13.6+125.5</f>
        <v>7669.5999999999995</v>
      </c>
      <c r="X20" s="117">
        <v>7344</v>
      </c>
      <c r="Y20" s="117">
        <f t="shared" ref="Y20:Y21" si="18">X20/W20*100</f>
        <v>95.754667779284446</v>
      </c>
      <c r="Z20" s="123">
        <f>25.6+6795+2342.9+3.3+272+47.5+254.8-1736.4</f>
        <v>8004.6999999999989</v>
      </c>
      <c r="AA20" s="123">
        <v>8004.7</v>
      </c>
      <c r="AB20" s="117">
        <f t="shared" si="2"/>
        <v>100.00000000000003</v>
      </c>
      <c r="AC20" s="221">
        <f>10.3+5150+1246.2+163.8+85.2+254.8-414.3</f>
        <v>6496</v>
      </c>
      <c r="AD20" s="221">
        <v>6496</v>
      </c>
      <c r="AE20" s="117">
        <f t="shared" si="12"/>
        <v>100</v>
      </c>
      <c r="AF20" s="221">
        <f>7+5871.3+767.2+45.3+34.8+721.3+254.8-1-51.5-87.4</f>
        <v>7561.8000000000011</v>
      </c>
      <c r="AG20" s="222">
        <v>6406.3</v>
      </c>
      <c r="AH20" s="123">
        <f t="shared" si="16"/>
        <v>84.719246740194123</v>
      </c>
      <c r="AI20" s="221">
        <f>8.1+5150+1348.9+14.1+79.2+47.5+120.6</f>
        <v>6768.4000000000005</v>
      </c>
      <c r="AJ20" s="221">
        <v>0</v>
      </c>
      <c r="AK20" s="221">
        <f>AJ20/AI20*100</f>
        <v>0</v>
      </c>
      <c r="AL20" s="221">
        <f>5.9+5150+875.2+55.4+109.1</f>
        <v>6195.5999999999995</v>
      </c>
      <c r="AM20" s="221">
        <v>0</v>
      </c>
      <c r="AN20" s="221">
        <f>AM20/AL20*100</f>
        <v>0</v>
      </c>
      <c r="AO20" s="221">
        <f>10+14918.1+3402.7+7.1+184.7-2792.9-30-35.1-258.7</f>
        <v>15405.899999999998</v>
      </c>
      <c r="AP20" s="123">
        <v>0</v>
      </c>
      <c r="AQ20" s="123">
        <f>AP20/AO20*100</f>
        <v>0</v>
      </c>
      <c r="AR20" s="420"/>
      <c r="AS20" s="462"/>
      <c r="AT20" s="233"/>
      <c r="AU20" s="233"/>
      <c r="AV20" s="234"/>
      <c r="AX20" s="233"/>
    </row>
    <row r="21" spans="1:50" s="235" customFormat="1" ht="137.25" customHeight="1">
      <c r="A21" s="458"/>
      <c r="B21" s="486"/>
      <c r="C21" s="489"/>
      <c r="D21" s="220" t="s">
        <v>461</v>
      </c>
      <c r="E21" s="123">
        <f t="shared" ref="E21:F22" si="19">H21+K21+N21+Q21+T21+W21+Z21+AC21+AF21+AI21+AL21+AO21</f>
        <v>212121.80000000002</v>
      </c>
      <c r="F21" s="123">
        <f t="shared" si="19"/>
        <v>145745.20000000001</v>
      </c>
      <c r="G21" s="123">
        <f t="shared" si="1"/>
        <v>68.708261008533782</v>
      </c>
      <c r="H21" s="123">
        <f>4647.9+1000</f>
        <v>5647.9</v>
      </c>
      <c r="I21" s="123">
        <v>4966.1000000000004</v>
      </c>
      <c r="J21" s="123">
        <f>I21/H21*100</f>
        <v>87.928256520122545</v>
      </c>
      <c r="K21" s="123">
        <f>16617.2+1000</f>
        <v>17617.2</v>
      </c>
      <c r="L21" s="123">
        <v>17358.599999999999</v>
      </c>
      <c r="M21" s="123">
        <f t="shared" ref="M21:M30" si="20">L21/K21*100</f>
        <v>98.532116340848702</v>
      </c>
      <c r="N21" s="123">
        <f>26696.6+3357.7-60.4</f>
        <v>29993.899999999998</v>
      </c>
      <c r="O21" s="123">
        <f>23262.7-0.1</f>
        <v>23262.600000000002</v>
      </c>
      <c r="P21" s="123">
        <f t="shared" ref="P21:P30" si="21">O21/N21*100</f>
        <v>77.557770079916267</v>
      </c>
      <c r="Q21" s="123">
        <f>16215.8+1812.4+1157.6</f>
        <v>19185.8</v>
      </c>
      <c r="R21" s="123">
        <v>19183.900000000001</v>
      </c>
      <c r="S21" s="123">
        <f t="shared" ref="S21:S30" si="22">R21/Q21*100</f>
        <v>99.99009684245641</v>
      </c>
      <c r="T21" s="221">
        <f>15462.4+1812.4+1500</f>
        <v>18774.8</v>
      </c>
      <c r="U21" s="221">
        <v>18772.8</v>
      </c>
      <c r="V21" s="117">
        <f t="shared" si="17"/>
        <v>99.989347423141666</v>
      </c>
      <c r="W21" s="221">
        <f>21612.4+1812.4+0.1-1500-7739.6</f>
        <v>14185.300000000001</v>
      </c>
      <c r="X21" s="221">
        <v>15390.5</v>
      </c>
      <c r="Y21" s="117">
        <f t="shared" si="18"/>
        <v>108.4961192220115</v>
      </c>
      <c r="Z21" s="221">
        <f>20853.5+2950</f>
        <v>23803.5</v>
      </c>
      <c r="AA21" s="221">
        <v>19417.3</v>
      </c>
      <c r="AB21" s="117">
        <f t="shared" si="2"/>
        <v>81.573298044405234</v>
      </c>
      <c r="AC21" s="221">
        <f>13675.3+2950+1382.5</f>
        <v>18007.8</v>
      </c>
      <c r="AD21" s="221">
        <v>14897.3</v>
      </c>
      <c r="AE21" s="117">
        <f t="shared" si="12"/>
        <v>82.72692944168638</v>
      </c>
      <c r="AF21" s="221">
        <f>16710+2950.2-0.2-418.6+7800</f>
        <v>27041.4</v>
      </c>
      <c r="AG21" s="117">
        <v>12496.1</v>
      </c>
      <c r="AH21" s="123">
        <f t="shared" si="16"/>
        <v>46.210994992862794</v>
      </c>
      <c r="AI21" s="123">
        <f>15347.1+100</f>
        <v>15447.1</v>
      </c>
      <c r="AJ21" s="123">
        <v>0</v>
      </c>
      <c r="AK21" s="123">
        <f>AJ21/AI21*100</f>
        <v>0</v>
      </c>
      <c r="AL21" s="221">
        <v>12193.2</v>
      </c>
      <c r="AM21" s="117">
        <v>0</v>
      </c>
      <c r="AN21" s="117">
        <f>AM21/AL21*100</f>
        <v>0</v>
      </c>
      <c r="AO21" s="123">
        <f>12247.5+125.7+11.9+0.1-1087-1074.4+0.1</f>
        <v>10223.900000000001</v>
      </c>
      <c r="AP21" s="123">
        <v>0</v>
      </c>
      <c r="AQ21" s="123">
        <f>AP21/AO21*100</f>
        <v>0</v>
      </c>
      <c r="AR21" s="420"/>
      <c r="AS21" s="462"/>
      <c r="AT21" s="233"/>
      <c r="AU21" s="233"/>
      <c r="AV21" s="234"/>
      <c r="AX21" s="233"/>
    </row>
    <row r="22" spans="1:50" s="235" customFormat="1" ht="190.5" customHeight="1">
      <c r="A22" s="458"/>
      <c r="B22" s="486"/>
      <c r="C22" s="489"/>
      <c r="D22" s="143" t="s">
        <v>257</v>
      </c>
      <c r="E22" s="123">
        <f t="shared" si="19"/>
        <v>5594.3</v>
      </c>
      <c r="F22" s="123">
        <f t="shared" si="19"/>
        <v>3581.8999999999996</v>
      </c>
      <c r="G22" s="123">
        <f t="shared" si="1"/>
        <v>64.027671022290534</v>
      </c>
      <c r="H22" s="123">
        <v>0</v>
      </c>
      <c r="I22" s="123">
        <v>0</v>
      </c>
      <c r="J22" s="123">
        <v>0</v>
      </c>
      <c r="K22" s="123">
        <f>35.6+476.4+20</f>
        <v>532</v>
      </c>
      <c r="L22" s="123">
        <v>552.5</v>
      </c>
      <c r="M22" s="123">
        <f t="shared" si="20"/>
        <v>103.8533834586466</v>
      </c>
      <c r="N22" s="123">
        <f>5.6+372.1</f>
        <v>377.70000000000005</v>
      </c>
      <c r="O22" s="123">
        <v>324.3</v>
      </c>
      <c r="P22" s="123">
        <f t="shared" si="21"/>
        <v>85.861795075456698</v>
      </c>
      <c r="Q22" s="123">
        <f>5.6+320.1+5</f>
        <v>330.70000000000005</v>
      </c>
      <c r="R22" s="123">
        <v>329.9</v>
      </c>
      <c r="S22" s="123">
        <f>R22/Q22*100</f>
        <v>99.758088902328382</v>
      </c>
      <c r="T22" s="117">
        <f>45.6+594.7-100</f>
        <v>540.30000000000007</v>
      </c>
      <c r="U22" s="117">
        <v>530.9</v>
      </c>
      <c r="V22" s="117">
        <f>U22/T22*100</f>
        <v>98.260225800481194</v>
      </c>
      <c r="W22" s="117">
        <f>5.6+345.6+57.7+100-5</f>
        <v>503.90000000000003</v>
      </c>
      <c r="X22" s="117">
        <v>477.8</v>
      </c>
      <c r="Y22" s="117">
        <f>X22/W22*100</f>
        <v>94.820400873189129</v>
      </c>
      <c r="Z22" s="123">
        <f>5.6+702-129.3</f>
        <v>578.29999999999995</v>
      </c>
      <c r="AA22" s="123">
        <v>578.29999999999995</v>
      </c>
      <c r="AB22" s="117">
        <f t="shared" si="2"/>
        <v>100</v>
      </c>
      <c r="AC22" s="117">
        <f>5.6+375.2+11.5+19.5+100-8</f>
        <v>503.8</v>
      </c>
      <c r="AD22" s="117">
        <v>504</v>
      </c>
      <c r="AE22" s="117">
        <f t="shared" si="12"/>
        <v>100.03969829297338</v>
      </c>
      <c r="AF22" s="117">
        <f>5.6+261+295.1-100-185.3+8</f>
        <v>284.40000000000003</v>
      </c>
      <c r="AG22" s="117">
        <v>284.2</v>
      </c>
      <c r="AH22" s="123">
        <f t="shared" si="16"/>
        <v>99.92967651195498</v>
      </c>
      <c r="AI22" s="123">
        <f>5.6+419.7+295.2</f>
        <v>720.5</v>
      </c>
      <c r="AJ22" s="123">
        <v>0</v>
      </c>
      <c r="AK22" s="123">
        <f>AJ22/AI22*100</f>
        <v>0</v>
      </c>
      <c r="AL22" s="117">
        <f>19.9+329.2+19.3</f>
        <v>368.4</v>
      </c>
      <c r="AM22" s="117">
        <v>0</v>
      </c>
      <c r="AN22" s="117">
        <f>AM22/AL22*100</f>
        <v>0</v>
      </c>
      <c r="AO22" s="117">
        <f>13.2+881.6-355.1+314.6</f>
        <v>854.30000000000007</v>
      </c>
      <c r="AP22" s="123">
        <v>0</v>
      </c>
      <c r="AQ22" s="123">
        <f>AP22/AO22*100</f>
        <v>0</v>
      </c>
      <c r="AR22" s="420"/>
      <c r="AS22" s="462"/>
      <c r="AT22" s="233"/>
      <c r="AU22" s="233"/>
      <c r="AV22" s="234"/>
      <c r="AX22" s="233"/>
    </row>
    <row r="23" spans="1:50" s="235" customFormat="1" ht="222.75" customHeight="1">
      <c r="A23" s="459"/>
      <c r="B23" s="487"/>
      <c r="C23" s="490"/>
      <c r="D23" s="143" t="s">
        <v>467</v>
      </c>
      <c r="E23" s="123">
        <f>H23+K23+N23+Q23+T23+W23+Z23+AC23+AF23+AI23+AL23+AO23</f>
        <v>0</v>
      </c>
      <c r="F23" s="123">
        <f>I23+L23+O23+R23+U23+X23+AA23+AD23+AG23+AJ23+AM23+AP23</f>
        <v>0</v>
      </c>
      <c r="G23" s="123">
        <v>0</v>
      </c>
      <c r="H23" s="123">
        <v>0</v>
      </c>
      <c r="I23" s="123">
        <v>0</v>
      </c>
      <c r="J23" s="123">
        <v>0</v>
      </c>
      <c r="K23" s="132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17">
        <v>0</v>
      </c>
      <c r="U23" s="117">
        <v>0</v>
      </c>
      <c r="V23" s="123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23">
        <v>0</v>
      </c>
      <c r="AI23" s="123">
        <v>0</v>
      </c>
      <c r="AJ23" s="123">
        <v>0</v>
      </c>
      <c r="AK23" s="123">
        <v>0</v>
      </c>
      <c r="AL23" s="117">
        <v>0</v>
      </c>
      <c r="AM23" s="117">
        <v>0</v>
      </c>
      <c r="AN23" s="117">
        <v>0</v>
      </c>
      <c r="AO23" s="123">
        <v>0</v>
      </c>
      <c r="AP23" s="123"/>
      <c r="AQ23" s="123"/>
      <c r="AR23" s="421"/>
      <c r="AS23" s="463"/>
      <c r="AT23" s="233"/>
      <c r="AU23" s="233"/>
      <c r="AV23" s="234"/>
    </row>
    <row r="24" spans="1:50" s="235" customFormat="1" ht="12.75" customHeight="1">
      <c r="A24" s="457" t="s">
        <v>4</v>
      </c>
      <c r="B24" s="488" t="s">
        <v>469</v>
      </c>
      <c r="C24" s="488" t="s">
        <v>329</v>
      </c>
      <c r="D24" s="219" t="s">
        <v>444</v>
      </c>
      <c r="E24" s="123">
        <f>E25+E26+E28+E29</f>
        <v>91778.999999999985</v>
      </c>
      <c r="F24" s="123">
        <f>F25+F26+F28+F29</f>
        <v>53280.700000000004</v>
      </c>
      <c r="G24" s="123">
        <f t="shared" si="1"/>
        <v>58.05325837065125</v>
      </c>
      <c r="H24" s="123">
        <f t="shared" ref="H24:I24" si="23">H25+H26+H28+H29</f>
        <v>1608.4</v>
      </c>
      <c r="I24" s="123">
        <f t="shared" si="23"/>
        <v>1608.4</v>
      </c>
      <c r="J24" s="123">
        <f>I24/H24*100</f>
        <v>100</v>
      </c>
      <c r="K24" s="123">
        <f t="shared" ref="K24:L24" si="24">K25+K26+K28+K29</f>
        <v>6311.1</v>
      </c>
      <c r="L24" s="123">
        <f t="shared" si="24"/>
        <v>6311.1</v>
      </c>
      <c r="M24" s="123">
        <f t="shared" si="20"/>
        <v>100</v>
      </c>
      <c r="N24" s="123">
        <f t="shared" ref="N24:O24" si="25">N25+N26+N28+N29</f>
        <v>8463.8000000000011</v>
      </c>
      <c r="O24" s="123">
        <f t="shared" si="25"/>
        <v>6321.7</v>
      </c>
      <c r="P24" s="123">
        <f t="shared" si="21"/>
        <v>74.691037122805355</v>
      </c>
      <c r="Q24" s="123">
        <f t="shared" ref="Q24:AO24" si="26">Q25+Q26+Q28+Q29</f>
        <v>7635.8</v>
      </c>
      <c r="R24" s="123">
        <f t="shared" si="26"/>
        <v>7635.8</v>
      </c>
      <c r="S24" s="123">
        <f t="shared" si="26"/>
        <v>100</v>
      </c>
      <c r="T24" s="123">
        <f t="shared" si="26"/>
        <v>5313.9</v>
      </c>
      <c r="U24" s="123">
        <f t="shared" si="26"/>
        <v>5313.9</v>
      </c>
      <c r="V24" s="123">
        <f t="shared" si="26"/>
        <v>100</v>
      </c>
      <c r="W24" s="123">
        <f t="shared" si="26"/>
        <v>11675.1</v>
      </c>
      <c r="X24" s="123">
        <f t="shared" si="26"/>
        <v>7638.4</v>
      </c>
      <c r="Y24" s="123">
        <f t="shared" si="26"/>
        <v>65.424707283021121</v>
      </c>
      <c r="Z24" s="123">
        <f t="shared" si="26"/>
        <v>7983.7</v>
      </c>
      <c r="AA24" s="123">
        <f t="shared" si="26"/>
        <v>6835.1</v>
      </c>
      <c r="AB24" s="123">
        <f t="shared" si="26"/>
        <v>85.613186868244057</v>
      </c>
      <c r="AC24" s="123">
        <f t="shared" si="26"/>
        <v>6504.7999999999993</v>
      </c>
      <c r="AD24" s="123">
        <f t="shared" si="26"/>
        <v>5466.8</v>
      </c>
      <c r="AE24" s="123">
        <f t="shared" si="26"/>
        <v>84.042553191489375</v>
      </c>
      <c r="AF24" s="123">
        <f t="shared" si="26"/>
        <v>8149.3</v>
      </c>
      <c r="AG24" s="123">
        <f t="shared" si="26"/>
        <v>6149.5</v>
      </c>
      <c r="AH24" s="123">
        <f t="shared" si="26"/>
        <v>75.460468997337188</v>
      </c>
      <c r="AI24" s="123">
        <f t="shared" si="26"/>
        <v>6951.3</v>
      </c>
      <c r="AJ24" s="123">
        <f t="shared" si="26"/>
        <v>0</v>
      </c>
      <c r="AK24" s="123" t="e">
        <f t="shared" si="26"/>
        <v>#DIV/0!</v>
      </c>
      <c r="AL24" s="123">
        <f t="shared" si="26"/>
        <v>9146.9</v>
      </c>
      <c r="AM24" s="123">
        <f t="shared" si="26"/>
        <v>0</v>
      </c>
      <c r="AN24" s="123" t="e">
        <f t="shared" si="26"/>
        <v>#DIV/0!</v>
      </c>
      <c r="AO24" s="123">
        <f t="shared" si="26"/>
        <v>12034.9</v>
      </c>
      <c r="AP24" s="123">
        <f t="shared" ref="AP24" si="27">SUM(AP25:AP28)</f>
        <v>0</v>
      </c>
      <c r="AQ24" s="123">
        <f t="shared" ref="AQ24" si="28">AP24/AO24*100</f>
        <v>0</v>
      </c>
      <c r="AR24" s="337" t="s">
        <v>508</v>
      </c>
      <c r="AS24" s="337" t="s">
        <v>509</v>
      </c>
      <c r="AT24" s="233"/>
      <c r="AU24" s="233"/>
      <c r="AV24" s="234"/>
      <c r="AX24" s="233"/>
    </row>
    <row r="25" spans="1:50" s="235" customFormat="1" ht="48">
      <c r="A25" s="458"/>
      <c r="B25" s="489"/>
      <c r="C25" s="489"/>
      <c r="D25" s="220" t="s">
        <v>442</v>
      </c>
      <c r="E25" s="123">
        <f>H25+K25+N25+Q25+T25+W25+Z25+AC25+AF25+AI25+AL25+AO25</f>
        <v>0</v>
      </c>
      <c r="F25" s="123">
        <f>I25+L25+O25+R25+U25+X25+AA25+AD25+AG25+AJ25+AM25+AP25</f>
        <v>0</v>
      </c>
      <c r="G25" s="123">
        <v>0</v>
      </c>
      <c r="H25" s="123">
        <v>0</v>
      </c>
      <c r="I25" s="123">
        <v>0</v>
      </c>
      <c r="J25" s="123">
        <v>0</v>
      </c>
      <c r="K25" s="132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17">
        <v>0</v>
      </c>
      <c r="U25" s="117">
        <v>0</v>
      </c>
      <c r="V25" s="123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23">
        <v>0</v>
      </c>
      <c r="AI25" s="123">
        <v>0</v>
      </c>
      <c r="AJ25" s="123">
        <v>0</v>
      </c>
      <c r="AK25" s="123" t="e">
        <f t="shared" ref="AK25" si="29">AJ25/AI25*100</f>
        <v>#DIV/0!</v>
      </c>
      <c r="AL25" s="117">
        <v>0</v>
      </c>
      <c r="AM25" s="117">
        <v>0</v>
      </c>
      <c r="AN25" s="117" t="e">
        <f t="shared" ref="AN25" si="30">AM25/AL25*100</f>
        <v>#DIV/0!</v>
      </c>
      <c r="AO25" s="123">
        <v>0</v>
      </c>
      <c r="AP25" s="123">
        <v>0</v>
      </c>
      <c r="AQ25" s="123">
        <v>0</v>
      </c>
      <c r="AR25" s="338"/>
      <c r="AS25" s="338"/>
      <c r="AT25" s="233"/>
      <c r="AU25" s="233"/>
      <c r="AV25" s="234"/>
      <c r="AX25" s="233"/>
    </row>
    <row r="26" spans="1:50" s="235" customFormat="1" ht="12.75">
      <c r="A26" s="458"/>
      <c r="B26" s="489"/>
      <c r="C26" s="489"/>
      <c r="D26" s="220" t="s">
        <v>461</v>
      </c>
      <c r="E26" s="123">
        <f t="shared" ref="E26:F28" si="31">H26+K26+N26+Q26+T26+W26+Z26+AC26+AF26+AI26+AL26+AO26</f>
        <v>91778.999999999985</v>
      </c>
      <c r="F26" s="123">
        <f t="shared" si="31"/>
        <v>53280.700000000004</v>
      </c>
      <c r="G26" s="123">
        <f>F26/E26*100</f>
        <v>58.05325837065125</v>
      </c>
      <c r="H26" s="123">
        <v>1608.4</v>
      </c>
      <c r="I26" s="123">
        <v>1608.4</v>
      </c>
      <c r="J26" s="123">
        <f t="shared" ref="J26" si="32">I26/H26*100</f>
        <v>100</v>
      </c>
      <c r="K26" s="123">
        <v>6311.1</v>
      </c>
      <c r="L26" s="123">
        <v>6311.1</v>
      </c>
      <c r="M26" s="123">
        <f t="shared" ref="M26" si="33">L26/K26*100</f>
        <v>100</v>
      </c>
      <c r="N26" s="123">
        <f>8463.7+0.1</f>
        <v>8463.8000000000011</v>
      </c>
      <c r="O26" s="123">
        <v>6321.7</v>
      </c>
      <c r="P26" s="123">
        <f t="shared" si="21"/>
        <v>74.691037122805355</v>
      </c>
      <c r="Q26" s="123">
        <v>7635.8</v>
      </c>
      <c r="R26" s="123">
        <v>7635.8</v>
      </c>
      <c r="S26" s="123">
        <f t="shared" ref="S26" si="34">R26/Q26*100</f>
        <v>100</v>
      </c>
      <c r="T26" s="221">
        <v>5313.9</v>
      </c>
      <c r="U26" s="221">
        <v>5313.9</v>
      </c>
      <c r="V26" s="123">
        <f t="shared" ref="V26" si="35">U26/T26*100</f>
        <v>100</v>
      </c>
      <c r="W26" s="221">
        <v>11675.1</v>
      </c>
      <c r="X26" s="221">
        <v>7638.4</v>
      </c>
      <c r="Y26" s="123">
        <f>X26/W26*100</f>
        <v>65.424707283021121</v>
      </c>
      <c r="Z26" s="123">
        <v>7983.7</v>
      </c>
      <c r="AA26" s="123">
        <v>6835.1</v>
      </c>
      <c r="AB26" s="117">
        <f t="shared" si="2"/>
        <v>85.613186868244057</v>
      </c>
      <c r="AC26" s="221">
        <f>6525.4-20.6</f>
        <v>6504.7999999999993</v>
      </c>
      <c r="AD26" s="221">
        <v>5466.8</v>
      </c>
      <c r="AE26" s="117">
        <f t="shared" si="12"/>
        <v>84.042553191489375</v>
      </c>
      <c r="AF26" s="221">
        <v>8149.3</v>
      </c>
      <c r="AG26" s="117">
        <v>6149.5</v>
      </c>
      <c r="AH26" s="123">
        <f t="shared" si="16"/>
        <v>75.460468997337188</v>
      </c>
      <c r="AI26" s="123">
        <v>6951.3</v>
      </c>
      <c r="AJ26" s="123">
        <v>0</v>
      </c>
      <c r="AK26" s="123">
        <f>AJ26/AI26*100</f>
        <v>0</v>
      </c>
      <c r="AL26" s="221">
        <f>6646.9+2500</f>
        <v>9146.9</v>
      </c>
      <c r="AM26" s="221">
        <v>0</v>
      </c>
      <c r="AN26" s="117">
        <f>AM26/AL26*100</f>
        <v>0</v>
      </c>
      <c r="AO26" s="221">
        <f>9904.2+2130.8-0.1</f>
        <v>12034.9</v>
      </c>
      <c r="AP26" s="123">
        <v>0</v>
      </c>
      <c r="AQ26" s="123">
        <f>AP26/AO26*100</f>
        <v>0</v>
      </c>
      <c r="AR26" s="338"/>
      <c r="AS26" s="338"/>
      <c r="AT26" s="233"/>
      <c r="AU26" s="233"/>
      <c r="AV26" s="234"/>
      <c r="AX26" s="233"/>
    </row>
    <row r="27" spans="1:50" s="236" customFormat="1" ht="36">
      <c r="A27" s="458"/>
      <c r="B27" s="489"/>
      <c r="C27" s="489"/>
      <c r="D27" s="224" t="s">
        <v>457</v>
      </c>
      <c r="E27" s="229">
        <f t="shared" si="31"/>
        <v>0</v>
      </c>
      <c r="F27" s="229">
        <f t="shared" si="31"/>
        <v>165.8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165.8</v>
      </c>
      <c r="P27" s="229">
        <v>0</v>
      </c>
      <c r="Q27" s="229">
        <v>0</v>
      </c>
      <c r="R27" s="229">
        <v>0</v>
      </c>
      <c r="S27" s="229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29">
        <v>0</v>
      </c>
      <c r="AA27" s="229">
        <v>0</v>
      </c>
      <c r="AB27" s="229">
        <v>0</v>
      </c>
      <c r="AC27" s="230"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29">
        <v>0</v>
      </c>
      <c r="AJ27" s="229">
        <v>0</v>
      </c>
      <c r="AK27" s="229">
        <v>0</v>
      </c>
      <c r="AL27" s="230">
        <v>0</v>
      </c>
      <c r="AM27" s="230">
        <v>0</v>
      </c>
      <c r="AN27" s="230">
        <v>0</v>
      </c>
      <c r="AO27" s="230">
        <v>0</v>
      </c>
      <c r="AP27" s="229"/>
      <c r="AQ27" s="229"/>
      <c r="AR27" s="338"/>
      <c r="AS27" s="338"/>
      <c r="AT27" s="232"/>
      <c r="AU27" s="233"/>
      <c r="AV27" s="234"/>
      <c r="AW27" s="235"/>
      <c r="AX27" s="233"/>
    </row>
    <row r="28" spans="1:50" s="235" customFormat="1" ht="34.5" customHeight="1">
      <c r="A28" s="458"/>
      <c r="B28" s="489"/>
      <c r="C28" s="489"/>
      <c r="D28" s="143" t="s">
        <v>257</v>
      </c>
      <c r="E28" s="123">
        <f t="shared" si="31"/>
        <v>0</v>
      </c>
      <c r="F28" s="123">
        <f t="shared" si="31"/>
        <v>0</v>
      </c>
      <c r="G28" s="123">
        <v>0</v>
      </c>
      <c r="H28" s="123">
        <v>0</v>
      </c>
      <c r="I28" s="123">
        <v>0</v>
      </c>
      <c r="J28" s="123">
        <v>0</v>
      </c>
      <c r="K28" s="132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17">
        <v>0</v>
      </c>
      <c r="U28" s="117">
        <v>0</v>
      </c>
      <c r="V28" s="123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23">
        <v>0</v>
      </c>
      <c r="AJ28" s="123">
        <v>0</v>
      </c>
      <c r="AK28" s="123">
        <v>0</v>
      </c>
      <c r="AL28" s="117">
        <v>0</v>
      </c>
      <c r="AM28" s="117">
        <v>0</v>
      </c>
      <c r="AN28" s="117">
        <v>0</v>
      </c>
      <c r="AO28" s="123">
        <v>0</v>
      </c>
      <c r="AP28" s="123">
        <v>0</v>
      </c>
      <c r="AQ28" s="123">
        <v>0</v>
      </c>
      <c r="AR28" s="338"/>
      <c r="AS28" s="338"/>
      <c r="AT28" s="233"/>
      <c r="AU28" s="233"/>
      <c r="AV28" s="234"/>
    </row>
    <row r="29" spans="1:50" s="235" customFormat="1" ht="24">
      <c r="A29" s="459"/>
      <c r="B29" s="490"/>
      <c r="C29" s="490"/>
      <c r="D29" s="143" t="s">
        <v>467</v>
      </c>
      <c r="E29" s="123">
        <f>H29+K29+N29+Q29+T29+W29+Z29+AC29+AF29+AI29+AL29+AO29</f>
        <v>0</v>
      </c>
      <c r="F29" s="123">
        <f>I29+L29+O29+R29+U29+X29+AA29+AD29+AG29+AJ29+AM29+AP29</f>
        <v>0</v>
      </c>
      <c r="G29" s="123">
        <v>0</v>
      </c>
      <c r="H29" s="123">
        <v>0</v>
      </c>
      <c r="I29" s="123">
        <v>0</v>
      </c>
      <c r="J29" s="123">
        <v>0</v>
      </c>
      <c r="K29" s="132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17">
        <v>0</v>
      </c>
      <c r="U29" s="117">
        <v>0</v>
      </c>
      <c r="V29" s="123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23">
        <v>0</v>
      </c>
      <c r="AI29" s="123">
        <v>0</v>
      </c>
      <c r="AJ29" s="123">
        <v>0</v>
      </c>
      <c r="AK29" s="123" t="e">
        <f t="shared" ref="AK29" si="36">AJ29/AI29*100</f>
        <v>#DIV/0!</v>
      </c>
      <c r="AL29" s="117">
        <v>0</v>
      </c>
      <c r="AM29" s="117">
        <v>0</v>
      </c>
      <c r="AN29" s="117" t="e">
        <f t="shared" ref="AN29" si="37">AM29/AL29*100</f>
        <v>#DIV/0!</v>
      </c>
      <c r="AO29" s="123">
        <v>0</v>
      </c>
      <c r="AP29" s="123"/>
      <c r="AQ29" s="123"/>
      <c r="AR29" s="339"/>
      <c r="AS29" s="339"/>
      <c r="AT29" s="233"/>
      <c r="AU29" s="233"/>
      <c r="AV29" s="234"/>
    </row>
    <row r="30" spans="1:50" s="235" customFormat="1" ht="12.75" customHeight="1">
      <c r="A30" s="457" t="s">
        <v>464</v>
      </c>
      <c r="B30" s="488" t="s">
        <v>470</v>
      </c>
      <c r="C30" s="488" t="s">
        <v>268</v>
      </c>
      <c r="D30" s="219" t="s">
        <v>444</v>
      </c>
      <c r="E30" s="123">
        <f>SUM(E31:E32)</f>
        <v>4044.4</v>
      </c>
      <c r="F30" s="123">
        <f>SUM(F31:F32)</f>
        <v>3256.1000000000004</v>
      </c>
      <c r="G30" s="123">
        <f>F30/E30*100</f>
        <v>80.508851745623588</v>
      </c>
      <c r="H30" s="123">
        <f>SUM(H31:H32)</f>
        <v>327.39999999999998</v>
      </c>
      <c r="I30" s="123">
        <f>SUM(I31:I32)</f>
        <v>327.39999999999998</v>
      </c>
      <c r="J30" s="123">
        <f t="shared" ref="J30:J35" si="38">I30/H30*100</f>
        <v>100</v>
      </c>
      <c r="K30" s="123">
        <f>SUM(K31:K32)</f>
        <v>360</v>
      </c>
      <c r="L30" s="123">
        <f>SUM(L31:L32)</f>
        <v>360</v>
      </c>
      <c r="M30" s="123">
        <f t="shared" si="20"/>
        <v>100</v>
      </c>
      <c r="N30" s="123">
        <f>SUM(N31:N32)</f>
        <v>362</v>
      </c>
      <c r="O30" s="123">
        <f>SUM(O31:O32)</f>
        <v>362</v>
      </c>
      <c r="P30" s="123">
        <f t="shared" si="21"/>
        <v>100</v>
      </c>
      <c r="Q30" s="123">
        <f>SUM(Q31:Q32)</f>
        <v>365.5</v>
      </c>
      <c r="R30" s="123">
        <f>SUM(R31:R32)</f>
        <v>365.5</v>
      </c>
      <c r="S30" s="123">
        <f t="shared" si="22"/>
        <v>100</v>
      </c>
      <c r="T30" s="123">
        <f>SUM(T31:T32)</f>
        <v>365.4</v>
      </c>
      <c r="U30" s="123">
        <f>SUM(U31:U32)</f>
        <v>365.4</v>
      </c>
      <c r="V30" s="123">
        <f t="shared" ref="V30:V32" si="39">U30/T30*100</f>
        <v>100</v>
      </c>
      <c r="W30" s="123">
        <f t="shared" ref="W30:AD30" si="40">SUM(W31:W32)</f>
        <v>370.4</v>
      </c>
      <c r="X30" s="123">
        <f t="shared" si="40"/>
        <v>370.4</v>
      </c>
      <c r="Y30" s="123">
        <f t="shared" si="40"/>
        <v>100</v>
      </c>
      <c r="Z30" s="123">
        <f t="shared" si="40"/>
        <v>372</v>
      </c>
      <c r="AA30" s="123">
        <f t="shared" si="40"/>
        <v>370.4</v>
      </c>
      <c r="AB30" s="117">
        <f t="shared" ref="AB30:AB37" si="41">AA30/Z30*100</f>
        <v>99.569892473118273</v>
      </c>
      <c r="AC30" s="123">
        <f t="shared" si="40"/>
        <v>370</v>
      </c>
      <c r="AD30" s="123">
        <f t="shared" si="40"/>
        <v>367.5</v>
      </c>
      <c r="AE30" s="123">
        <f t="shared" si="12"/>
        <v>99.324324324324323</v>
      </c>
      <c r="AF30" s="123">
        <f t="shared" ref="AF30:AQ30" si="42">SUM(AF31:AF32)</f>
        <v>369.1</v>
      </c>
      <c r="AG30" s="123">
        <f t="shared" si="42"/>
        <v>367.5</v>
      </c>
      <c r="AH30" s="123">
        <f t="shared" ref="AH30" si="43">AG30/AF30*100</f>
        <v>99.566513140070441</v>
      </c>
      <c r="AI30" s="123">
        <f t="shared" si="42"/>
        <v>337</v>
      </c>
      <c r="AJ30" s="123">
        <f t="shared" si="42"/>
        <v>0</v>
      </c>
      <c r="AK30" s="123">
        <f t="shared" si="42"/>
        <v>0</v>
      </c>
      <c r="AL30" s="123">
        <f t="shared" si="42"/>
        <v>337</v>
      </c>
      <c r="AM30" s="123">
        <f t="shared" si="42"/>
        <v>0</v>
      </c>
      <c r="AN30" s="123">
        <f t="shared" si="42"/>
        <v>0</v>
      </c>
      <c r="AO30" s="123">
        <f t="shared" si="42"/>
        <v>108.60000000000002</v>
      </c>
      <c r="AP30" s="123">
        <f t="shared" si="42"/>
        <v>0</v>
      </c>
      <c r="AQ30" s="123">
        <f t="shared" si="42"/>
        <v>0</v>
      </c>
      <c r="AR30" s="337" t="s">
        <v>505</v>
      </c>
      <c r="AS30" s="237"/>
      <c r="AT30" s="233"/>
      <c r="AU30" s="233"/>
      <c r="AV30" s="234"/>
      <c r="AX30" s="233"/>
    </row>
    <row r="31" spans="1:50" s="235" customFormat="1" ht="48">
      <c r="A31" s="458"/>
      <c r="B31" s="489"/>
      <c r="C31" s="489"/>
      <c r="D31" s="220" t="s">
        <v>442</v>
      </c>
      <c r="E31" s="123">
        <f>H31+K31+N31+Q31+T31+W31+Z31+AC31+AF31+AI31+AL31+AO31</f>
        <v>0</v>
      </c>
      <c r="F31" s="123">
        <f>I31+L31+O31+R31+U31+X31+AA31+AD31+AG31+AJ31+AM31+AP31</f>
        <v>0</v>
      </c>
      <c r="G31" s="123">
        <v>0</v>
      </c>
      <c r="H31" s="123">
        <v>0</v>
      </c>
      <c r="I31" s="123">
        <v>0</v>
      </c>
      <c r="J31" s="123">
        <v>0</v>
      </c>
      <c r="K31" s="132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17">
        <v>0</v>
      </c>
      <c r="U31" s="117">
        <v>0</v>
      </c>
      <c r="V31" s="123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23">
        <v>0</v>
      </c>
      <c r="AJ31" s="123">
        <v>0</v>
      </c>
      <c r="AK31" s="123">
        <v>0</v>
      </c>
      <c r="AL31" s="117">
        <v>0</v>
      </c>
      <c r="AM31" s="117">
        <v>0</v>
      </c>
      <c r="AN31" s="117">
        <v>0</v>
      </c>
      <c r="AO31" s="123">
        <v>0</v>
      </c>
      <c r="AP31" s="123">
        <v>0</v>
      </c>
      <c r="AQ31" s="123">
        <v>0</v>
      </c>
      <c r="AR31" s="338"/>
      <c r="AS31" s="238"/>
      <c r="AT31" s="233"/>
      <c r="AU31" s="233"/>
      <c r="AV31" s="234"/>
      <c r="AX31" s="233"/>
    </row>
    <row r="32" spans="1:50" s="235" customFormat="1" ht="12.75">
      <c r="A32" s="458"/>
      <c r="B32" s="489"/>
      <c r="C32" s="489"/>
      <c r="D32" s="220" t="s">
        <v>461</v>
      </c>
      <c r="E32" s="123">
        <f t="shared" ref="E32:F33" si="44">H32+K32+N32+Q32+T32+W32+Z32+AC32+AF32+AI32+AL32+AO32</f>
        <v>4044.4</v>
      </c>
      <c r="F32" s="123">
        <f t="shared" si="44"/>
        <v>3256.1000000000004</v>
      </c>
      <c r="G32" s="123">
        <f>F32/E32*100</f>
        <v>80.508851745623588</v>
      </c>
      <c r="H32" s="123">
        <v>327.39999999999998</v>
      </c>
      <c r="I32" s="123">
        <v>327.39999999999998</v>
      </c>
      <c r="J32" s="123">
        <f t="shared" si="38"/>
        <v>100</v>
      </c>
      <c r="K32" s="123">
        <v>360</v>
      </c>
      <c r="L32" s="123">
        <v>360</v>
      </c>
      <c r="M32" s="123">
        <f t="shared" ref="M32:M36" si="45">L32/K32*100</f>
        <v>100</v>
      </c>
      <c r="N32" s="123">
        <v>362</v>
      </c>
      <c r="O32" s="123">
        <v>362</v>
      </c>
      <c r="P32" s="123">
        <f t="shared" ref="P32:P36" si="46">O32/N32*100</f>
        <v>100</v>
      </c>
      <c r="Q32" s="123">
        <f>337+20+13.4-4.9</f>
        <v>365.5</v>
      </c>
      <c r="R32" s="123">
        <v>365.5</v>
      </c>
      <c r="S32" s="123">
        <f t="shared" ref="S32:S36" si="47">R32/Q32*100</f>
        <v>100</v>
      </c>
      <c r="T32" s="117">
        <f>337+20+13.4-5</f>
        <v>365.4</v>
      </c>
      <c r="U32" s="117">
        <v>365.4</v>
      </c>
      <c r="V32" s="123">
        <f t="shared" si="39"/>
        <v>100</v>
      </c>
      <c r="W32" s="117">
        <f>337.1+10+17.4+4.5+0.9+0.5</f>
        <v>370.4</v>
      </c>
      <c r="X32" s="117">
        <v>370.4</v>
      </c>
      <c r="Y32" s="117">
        <f>X32/W32*100</f>
        <v>100</v>
      </c>
      <c r="Z32" s="123">
        <f>337+20+15</f>
        <v>372</v>
      </c>
      <c r="AA32" s="123">
        <v>370.4</v>
      </c>
      <c r="AB32" s="123">
        <f t="shared" ref="AB32" si="48">AA32/Z32*100</f>
        <v>99.569892473118273</v>
      </c>
      <c r="AC32" s="117">
        <f>337+20+13</f>
        <v>370</v>
      </c>
      <c r="AD32" s="117">
        <v>367.5</v>
      </c>
      <c r="AE32" s="123">
        <f t="shared" ref="AE32" si="49">AD32/AC32*100</f>
        <v>99.324324324324323</v>
      </c>
      <c r="AF32" s="117">
        <f>337.1+10+22</f>
        <v>369.1</v>
      </c>
      <c r="AG32" s="117">
        <v>367.5</v>
      </c>
      <c r="AH32" s="123">
        <f t="shared" ref="AH32:AH35" si="50">AG32/AF32*100</f>
        <v>99.566513140070441</v>
      </c>
      <c r="AI32" s="123">
        <v>337</v>
      </c>
      <c r="AJ32" s="123">
        <v>0</v>
      </c>
      <c r="AK32" s="123">
        <f>AJ32/AI32*100</f>
        <v>0</v>
      </c>
      <c r="AL32" s="117">
        <v>337</v>
      </c>
      <c r="AM32" s="117">
        <v>0</v>
      </c>
      <c r="AN32" s="117">
        <f>AM32/AL32*100</f>
        <v>0</v>
      </c>
      <c r="AO32" s="117">
        <f>337.1-138.3-40.2-50</f>
        <v>108.60000000000002</v>
      </c>
      <c r="AP32" s="123">
        <v>0</v>
      </c>
      <c r="AQ32" s="123">
        <f>AP32/AO32*100</f>
        <v>0</v>
      </c>
      <c r="AR32" s="338"/>
      <c r="AS32" s="231"/>
      <c r="AT32" s="233"/>
      <c r="AU32" s="233"/>
      <c r="AV32" s="234"/>
      <c r="AX32" s="233"/>
    </row>
    <row r="33" spans="1:50" s="235" customFormat="1" ht="24">
      <c r="A33" s="458"/>
      <c r="B33" s="489"/>
      <c r="C33" s="489"/>
      <c r="D33" s="143" t="s">
        <v>257</v>
      </c>
      <c r="E33" s="123">
        <f t="shared" si="44"/>
        <v>0</v>
      </c>
      <c r="F33" s="123">
        <f t="shared" si="44"/>
        <v>0</v>
      </c>
      <c r="G33" s="123">
        <v>0</v>
      </c>
      <c r="H33" s="123">
        <v>0</v>
      </c>
      <c r="I33" s="123">
        <v>0</v>
      </c>
      <c r="J33" s="123">
        <v>0</v>
      </c>
      <c r="K33" s="132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17">
        <v>0</v>
      </c>
      <c r="U33" s="117">
        <v>0</v>
      </c>
      <c r="V33" s="123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23">
        <v>0</v>
      </c>
      <c r="AJ33" s="123">
        <v>0</v>
      </c>
      <c r="AK33" s="123">
        <v>0</v>
      </c>
      <c r="AL33" s="117">
        <v>0</v>
      </c>
      <c r="AM33" s="117">
        <v>0</v>
      </c>
      <c r="AN33" s="117">
        <v>0</v>
      </c>
      <c r="AO33" s="123">
        <v>0</v>
      </c>
      <c r="AP33" s="123"/>
      <c r="AQ33" s="123"/>
      <c r="AR33" s="338"/>
      <c r="AS33" s="231"/>
      <c r="AT33" s="233"/>
      <c r="AU33" s="233"/>
      <c r="AV33" s="234"/>
      <c r="AX33" s="233"/>
    </row>
    <row r="34" spans="1:50" s="235" customFormat="1" ht="24">
      <c r="A34" s="459"/>
      <c r="B34" s="490"/>
      <c r="C34" s="490"/>
      <c r="D34" s="143" t="s">
        <v>467</v>
      </c>
      <c r="E34" s="123">
        <f>H34+K34+N34+Q34+T34+W34+Z34+AC34+AF34+AI34+AL34+AO34</f>
        <v>0</v>
      </c>
      <c r="F34" s="123">
        <f>I34+L34+O34+R34+U34+X34+AA34+AD34+AG34+AJ34+AM34+AP34</f>
        <v>0</v>
      </c>
      <c r="G34" s="123">
        <v>0</v>
      </c>
      <c r="H34" s="123">
        <v>0</v>
      </c>
      <c r="I34" s="123">
        <v>0</v>
      </c>
      <c r="J34" s="123">
        <v>0</v>
      </c>
      <c r="K34" s="132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17">
        <v>0</v>
      </c>
      <c r="U34" s="117">
        <v>0</v>
      </c>
      <c r="V34" s="123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23">
        <v>0</v>
      </c>
      <c r="AI34" s="123">
        <v>0</v>
      </c>
      <c r="AJ34" s="123">
        <v>0</v>
      </c>
      <c r="AK34" s="123">
        <v>0</v>
      </c>
      <c r="AL34" s="117">
        <v>0</v>
      </c>
      <c r="AM34" s="117">
        <v>0</v>
      </c>
      <c r="AN34" s="117">
        <v>0</v>
      </c>
      <c r="AO34" s="123">
        <v>0</v>
      </c>
      <c r="AP34" s="123"/>
      <c r="AQ34" s="123"/>
      <c r="AR34" s="339"/>
      <c r="AS34" s="239"/>
      <c r="AT34" s="233"/>
      <c r="AU34" s="233"/>
      <c r="AV34" s="234"/>
    </row>
    <row r="35" spans="1:50" s="235" customFormat="1" ht="12.75" customHeight="1">
      <c r="A35" s="457" t="s">
        <v>6</v>
      </c>
      <c r="B35" s="488" t="s">
        <v>471</v>
      </c>
      <c r="C35" s="488" t="s">
        <v>452</v>
      </c>
      <c r="D35" s="219" t="s">
        <v>444</v>
      </c>
      <c r="E35" s="123">
        <f>SUM(E36:E38)</f>
        <v>10702.900000000001</v>
      </c>
      <c r="F35" s="123">
        <f t="shared" ref="F35:O35" si="51">SUM(F36:F38)</f>
        <v>3886.2</v>
      </c>
      <c r="G35" s="123">
        <f>F35/E35*100</f>
        <v>36.309785198404164</v>
      </c>
      <c r="H35" s="123">
        <f t="shared" si="51"/>
        <v>22.7</v>
      </c>
      <c r="I35" s="123">
        <f t="shared" si="51"/>
        <v>22.7</v>
      </c>
      <c r="J35" s="123">
        <f t="shared" si="38"/>
        <v>100</v>
      </c>
      <c r="K35" s="123">
        <f t="shared" si="51"/>
        <v>372.79999999999995</v>
      </c>
      <c r="L35" s="123">
        <f t="shared" si="51"/>
        <v>269.8</v>
      </c>
      <c r="M35" s="123">
        <f t="shared" si="45"/>
        <v>72.37124463519315</v>
      </c>
      <c r="N35" s="123">
        <f t="shared" si="51"/>
        <v>905.9</v>
      </c>
      <c r="O35" s="123">
        <f t="shared" si="51"/>
        <v>587.70000000000005</v>
      </c>
      <c r="P35" s="123">
        <f t="shared" si="46"/>
        <v>64.874710232917536</v>
      </c>
      <c r="Q35" s="123">
        <f t="shared" ref="Q35:Y35" si="52">SUM(Q36:Q38)</f>
        <v>872.30000000000007</v>
      </c>
      <c r="R35" s="123">
        <f t="shared" si="52"/>
        <v>530.4</v>
      </c>
      <c r="S35" s="123">
        <f t="shared" si="47"/>
        <v>60.804769001490314</v>
      </c>
      <c r="T35" s="123">
        <f t="shared" si="52"/>
        <v>951.1</v>
      </c>
      <c r="U35" s="123">
        <f t="shared" si="52"/>
        <v>527.9</v>
      </c>
      <c r="V35" s="123">
        <f t="shared" si="52"/>
        <v>111.2994245579271</v>
      </c>
      <c r="W35" s="123">
        <f t="shared" si="52"/>
        <v>873.9</v>
      </c>
      <c r="X35" s="123">
        <f t="shared" si="52"/>
        <v>313.10000000000002</v>
      </c>
      <c r="Y35" s="123">
        <f t="shared" si="52"/>
        <v>72.843487799559057</v>
      </c>
      <c r="Z35" s="123">
        <f t="shared" ref="Z35:AA35" si="53">SUM(Z36:Z38)</f>
        <v>882.09999999999991</v>
      </c>
      <c r="AA35" s="123">
        <f t="shared" si="53"/>
        <v>544.20000000000005</v>
      </c>
      <c r="AB35" s="117">
        <f t="shared" si="41"/>
        <v>61.693685523183326</v>
      </c>
      <c r="AC35" s="123">
        <f t="shared" ref="AC35:AP35" si="54">SUM(AC36:AC38)</f>
        <v>865.00000000000011</v>
      </c>
      <c r="AD35" s="123">
        <f t="shared" si="54"/>
        <v>690.9</v>
      </c>
      <c r="AE35" s="123">
        <f t="shared" si="12"/>
        <v>79.872832369942188</v>
      </c>
      <c r="AF35" s="123">
        <f t="shared" si="54"/>
        <v>1658.9</v>
      </c>
      <c r="AG35" s="123">
        <f t="shared" si="54"/>
        <v>399.5</v>
      </c>
      <c r="AH35" s="123">
        <f t="shared" si="50"/>
        <v>24.082223159925249</v>
      </c>
      <c r="AI35" s="123">
        <f t="shared" si="54"/>
        <v>2391.3000000000002</v>
      </c>
      <c r="AJ35" s="123">
        <f t="shared" si="54"/>
        <v>0</v>
      </c>
      <c r="AK35" s="123">
        <f>AJ35/AI35*100</f>
        <v>0</v>
      </c>
      <c r="AL35" s="123">
        <f t="shared" si="54"/>
        <v>554.20000000000005</v>
      </c>
      <c r="AM35" s="123">
        <f t="shared" si="54"/>
        <v>0</v>
      </c>
      <c r="AN35" s="117">
        <f>AM35/AL35*100</f>
        <v>0</v>
      </c>
      <c r="AO35" s="123">
        <f t="shared" si="54"/>
        <v>352.70000000000005</v>
      </c>
      <c r="AP35" s="123">
        <f t="shared" si="54"/>
        <v>0</v>
      </c>
      <c r="AQ35" s="123">
        <f>AP35/AO35*100</f>
        <v>0</v>
      </c>
      <c r="AR35" s="337" t="s">
        <v>495</v>
      </c>
      <c r="AS35" s="337" t="s">
        <v>498</v>
      </c>
      <c r="AT35" s="233"/>
      <c r="AU35" s="233"/>
      <c r="AV35" s="234"/>
      <c r="AX35" s="233"/>
    </row>
    <row r="36" spans="1:50" s="235" customFormat="1" ht="48">
      <c r="A36" s="458"/>
      <c r="B36" s="489"/>
      <c r="C36" s="489"/>
      <c r="D36" s="220" t="s">
        <v>442</v>
      </c>
      <c r="E36" s="123">
        <f>H36+K36+N36+Q36+T36+W36+Z36+AC36+AF36+AI36+AL36+AO36</f>
        <v>6669</v>
      </c>
      <c r="F36" s="123">
        <f>I36+L36+O36+R36+U36+X36+AA36+AD36+AG36+AJ36+AM36+AP36</f>
        <v>1527.3</v>
      </c>
      <c r="G36" s="123">
        <f>F36/E36*100</f>
        <v>22.901484480431847</v>
      </c>
      <c r="H36" s="123">
        <v>0</v>
      </c>
      <c r="I36" s="123">
        <v>0</v>
      </c>
      <c r="J36" s="123">
        <v>0</v>
      </c>
      <c r="K36" s="132">
        <f>47.6+27.5+56.8-31.8</f>
        <v>100.09999999999998</v>
      </c>
      <c r="L36" s="123">
        <v>82</v>
      </c>
      <c r="M36" s="123">
        <f t="shared" si="45"/>
        <v>81.918081918081924</v>
      </c>
      <c r="N36" s="123">
        <f>144.2+104.1+14.1</f>
        <v>262.39999999999998</v>
      </c>
      <c r="O36" s="123">
        <v>222.4</v>
      </c>
      <c r="P36" s="123">
        <f t="shared" si="46"/>
        <v>84.756097560975618</v>
      </c>
      <c r="Q36" s="123">
        <f>141.8+107.5+5.3+14.1+65.9+47.7-28.8</f>
        <v>353.5</v>
      </c>
      <c r="R36" s="123">
        <v>236.7</v>
      </c>
      <c r="S36" s="123">
        <f t="shared" si="47"/>
        <v>66.958981612446962</v>
      </c>
      <c r="T36" s="117">
        <f>197.2+5.3+195.8+40+78.2</f>
        <v>516.5</v>
      </c>
      <c r="U36" s="117">
        <v>278.7</v>
      </c>
      <c r="V36" s="117">
        <f>U36/T36*100</f>
        <v>53.95934172313649</v>
      </c>
      <c r="W36" s="117">
        <f>247.2+49+5.5+177.9</f>
        <v>479.6</v>
      </c>
      <c r="X36" s="117">
        <v>145.5</v>
      </c>
      <c r="Y36" s="117">
        <f>X36/W36*100</f>
        <v>30.337781484570474</v>
      </c>
      <c r="Z36" s="117">
        <f>167.2+99.2+5.4+178</f>
        <v>449.79999999999995</v>
      </c>
      <c r="AA36" s="117">
        <v>111.9</v>
      </c>
      <c r="AB36" s="117">
        <f t="shared" si="41"/>
        <v>24.877723432636731</v>
      </c>
      <c r="AC36" s="117">
        <f>135.4+96.6+5.3+97.9</f>
        <v>335.20000000000005</v>
      </c>
      <c r="AD36" s="117">
        <v>161.1</v>
      </c>
      <c r="AE36" s="117">
        <f>AD36/AC36*100</f>
        <v>48.06085918854415</v>
      </c>
      <c r="AF36" s="117">
        <f>125.4+133.5+5.3+14.1+77+3023.3-1581.7</f>
        <v>1796.9000000000003</v>
      </c>
      <c r="AG36" s="117">
        <v>289</v>
      </c>
      <c r="AH36" s="117">
        <f>AG36/AF36*100</f>
        <v>16.083254493850518</v>
      </c>
      <c r="AI36" s="123">
        <f>175.4+57.1+13.7+1610.5</f>
        <v>1856.7</v>
      </c>
      <c r="AJ36" s="123">
        <v>0</v>
      </c>
      <c r="AK36" s="123">
        <f>AJ36/AI36*100</f>
        <v>0</v>
      </c>
      <c r="AL36" s="117">
        <f>156.3+62.8</f>
        <v>219.10000000000002</v>
      </c>
      <c r="AM36" s="117">
        <v>0</v>
      </c>
      <c r="AN36" s="117">
        <f>AM36/AL36*100</f>
        <v>0</v>
      </c>
      <c r="AO36" s="123">
        <f>122+59.9+181.9-64.6</f>
        <v>299.20000000000005</v>
      </c>
      <c r="AP36" s="123">
        <v>0</v>
      </c>
      <c r="AQ36" s="123">
        <f>AP36/AO36*100</f>
        <v>0</v>
      </c>
      <c r="AR36" s="338"/>
      <c r="AS36" s="338"/>
      <c r="AT36" s="233"/>
      <c r="AU36" s="233"/>
      <c r="AV36" s="234"/>
      <c r="AX36" s="233"/>
    </row>
    <row r="37" spans="1:50" s="235" customFormat="1" ht="12.75">
      <c r="A37" s="458"/>
      <c r="B37" s="489"/>
      <c r="C37" s="489"/>
      <c r="D37" s="220" t="s">
        <v>461</v>
      </c>
      <c r="E37" s="123">
        <f t="shared" ref="E37:F38" si="55">H37+K37+N37+Q37+T37+W37+Z37+AC37+AF37+AI37+AL37+AO37</f>
        <v>4033.9000000000005</v>
      </c>
      <c r="F37" s="123">
        <f t="shared" si="55"/>
        <v>2358.8999999999996</v>
      </c>
      <c r="G37" s="123">
        <f>F37/E37*100</f>
        <v>58.476908202979729</v>
      </c>
      <c r="H37" s="123">
        <v>22.7</v>
      </c>
      <c r="I37" s="123">
        <v>22.7</v>
      </c>
      <c r="J37" s="123">
        <f>I37/H37*100</f>
        <v>100</v>
      </c>
      <c r="K37" s="123">
        <f>162.2+110.5</f>
        <v>272.7</v>
      </c>
      <c r="L37" s="123">
        <v>187.8</v>
      </c>
      <c r="M37" s="123">
        <f>L37/K37*100</f>
        <v>68.86688668866887</v>
      </c>
      <c r="N37" s="123">
        <f>637.5+27.5-13.6-7.8-0.1</f>
        <v>643.5</v>
      </c>
      <c r="O37" s="123">
        <v>365.3</v>
      </c>
      <c r="P37" s="123">
        <f>O37/N37*100</f>
        <v>56.767676767676768</v>
      </c>
      <c r="Q37" s="123">
        <f>523.1+11+48.5-63.8</f>
        <v>518.80000000000007</v>
      </c>
      <c r="R37" s="123">
        <v>293.7</v>
      </c>
      <c r="S37" s="123">
        <f>R37/Q37*100</f>
        <v>56.611410948342325</v>
      </c>
      <c r="T37" s="117">
        <f>383.1+10.2+48.5+192.8-200</f>
        <v>434.6</v>
      </c>
      <c r="U37" s="117">
        <v>249.2</v>
      </c>
      <c r="V37" s="117">
        <f>U37/T37*100</f>
        <v>57.340082834790607</v>
      </c>
      <c r="W37" s="117">
        <f>591+10.3+48.5-200-55.4-0.1</f>
        <v>394.29999999999995</v>
      </c>
      <c r="X37" s="117">
        <v>167.6</v>
      </c>
      <c r="Y37" s="117">
        <f>X37/W37*100</f>
        <v>42.505706314988586</v>
      </c>
      <c r="Z37" s="123">
        <f>445.4+11+27.5-51.6</f>
        <v>432.29999999999995</v>
      </c>
      <c r="AA37" s="123">
        <v>432.3</v>
      </c>
      <c r="AB37" s="117">
        <f t="shared" si="41"/>
        <v>100.00000000000003</v>
      </c>
      <c r="AC37" s="117">
        <f>545.4+10.2+27.5-53.3</f>
        <v>529.80000000000007</v>
      </c>
      <c r="AD37" s="117">
        <v>529.79999999999995</v>
      </c>
      <c r="AE37" s="117">
        <f>AD37/AC37*100</f>
        <v>99.999999999999972</v>
      </c>
      <c r="AF37" s="117">
        <f>295.5+10.3+27.5+149.6+477.5-1098.4</f>
        <v>-138.00000000000011</v>
      </c>
      <c r="AG37" s="117">
        <v>110.5</v>
      </c>
      <c r="AH37" s="117">
        <f>AG37/AF37*100</f>
        <v>-80.072463768115881</v>
      </c>
      <c r="AI37" s="123">
        <f>249+28.1+407.5-150</f>
        <v>534.6</v>
      </c>
      <c r="AJ37" s="123">
        <v>0</v>
      </c>
      <c r="AK37" s="123">
        <v>0</v>
      </c>
      <c r="AL37" s="117">
        <v>335.1</v>
      </c>
      <c r="AM37" s="117">
        <v>0</v>
      </c>
      <c r="AN37" s="117">
        <v>0</v>
      </c>
      <c r="AO37" s="117">
        <f>351.3-298+0.2</f>
        <v>53.500000000000014</v>
      </c>
      <c r="AP37" s="123">
        <v>0</v>
      </c>
      <c r="AQ37" s="123">
        <f>AP37/AO37*100</f>
        <v>0</v>
      </c>
      <c r="AR37" s="338"/>
      <c r="AS37" s="338"/>
      <c r="AT37" s="233"/>
      <c r="AU37" s="233"/>
      <c r="AV37" s="234"/>
      <c r="AX37" s="233"/>
    </row>
    <row r="38" spans="1:50" s="235" customFormat="1" ht="24">
      <c r="A38" s="458"/>
      <c r="B38" s="489"/>
      <c r="C38" s="489"/>
      <c r="D38" s="143" t="s">
        <v>257</v>
      </c>
      <c r="E38" s="123">
        <f t="shared" si="55"/>
        <v>0</v>
      </c>
      <c r="F38" s="123">
        <f t="shared" si="55"/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23">
        <v>0</v>
      </c>
      <c r="AA38" s="123">
        <v>0</v>
      </c>
      <c r="AB38" s="123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23">
        <v>0</v>
      </c>
      <c r="AJ38" s="123">
        <v>0</v>
      </c>
      <c r="AK38" s="123">
        <v>0</v>
      </c>
      <c r="AL38" s="117">
        <v>0</v>
      </c>
      <c r="AM38" s="117">
        <v>0</v>
      </c>
      <c r="AN38" s="117">
        <v>0</v>
      </c>
      <c r="AO38" s="117">
        <v>0</v>
      </c>
      <c r="AP38" s="123">
        <v>0</v>
      </c>
      <c r="AQ38" s="123">
        <v>0</v>
      </c>
      <c r="AR38" s="338"/>
      <c r="AS38" s="338"/>
      <c r="AT38" s="233"/>
      <c r="AU38" s="233"/>
      <c r="AV38" s="234"/>
      <c r="AX38" s="233"/>
    </row>
    <row r="39" spans="1:50" s="235" customFormat="1" ht="24">
      <c r="A39" s="459"/>
      <c r="B39" s="490"/>
      <c r="C39" s="490"/>
      <c r="D39" s="143" t="s">
        <v>467</v>
      </c>
      <c r="E39" s="123">
        <f>H39+K39+N39+Q39+T39+W39+Z39+AC39+AF39+AI39+AL39+AO39</f>
        <v>0</v>
      </c>
      <c r="F39" s="123">
        <f>I39+L39+O39+R39+U39+X39+AA39+AD39+AG39+AJ39+AM39+AP39</f>
        <v>0</v>
      </c>
      <c r="G39" s="123">
        <v>0</v>
      </c>
      <c r="H39" s="123">
        <v>0</v>
      </c>
      <c r="I39" s="123">
        <v>0</v>
      </c>
      <c r="J39" s="123">
        <v>0</v>
      </c>
      <c r="K39" s="132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17">
        <v>0</v>
      </c>
      <c r="U39" s="117">
        <v>0</v>
      </c>
      <c r="V39" s="123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23">
        <v>0</v>
      </c>
      <c r="AI39" s="123">
        <v>0</v>
      </c>
      <c r="AJ39" s="123">
        <v>0</v>
      </c>
      <c r="AK39" s="123" t="e">
        <f t="shared" ref="AK39" si="56">AJ39/AI39*100</f>
        <v>#DIV/0!</v>
      </c>
      <c r="AL39" s="117">
        <v>0</v>
      </c>
      <c r="AM39" s="117">
        <v>0</v>
      </c>
      <c r="AN39" s="117" t="e">
        <f t="shared" ref="AN39" si="57">AM39/AL39*100</f>
        <v>#DIV/0!</v>
      </c>
      <c r="AO39" s="123">
        <v>0</v>
      </c>
      <c r="AP39" s="123"/>
      <c r="AQ39" s="123"/>
      <c r="AR39" s="339"/>
      <c r="AS39" s="339"/>
      <c r="AT39" s="233"/>
      <c r="AU39" s="233"/>
      <c r="AV39" s="234"/>
    </row>
    <row r="40" spans="1:50" s="235" customFormat="1" ht="12.75" customHeight="1">
      <c r="A40" s="457" t="s">
        <v>10</v>
      </c>
      <c r="B40" s="488" t="s">
        <v>472</v>
      </c>
      <c r="C40" s="488" t="s">
        <v>453</v>
      </c>
      <c r="D40" s="219" t="s">
        <v>444</v>
      </c>
      <c r="E40" s="123">
        <f>SUM(E41:E42)</f>
        <v>8360.0999999999985</v>
      </c>
      <c r="F40" s="123">
        <f>SUM(F41:F42)</f>
        <v>6195.5</v>
      </c>
      <c r="G40" s="123">
        <f>F40/E40*100</f>
        <v>74.107965215727106</v>
      </c>
      <c r="H40" s="123">
        <f>SUM(H41:H42)</f>
        <v>0</v>
      </c>
      <c r="I40" s="123">
        <f>SUM(I41:I42)</f>
        <v>0</v>
      </c>
      <c r="J40" s="123">
        <f>SUM(J41:J42)</f>
        <v>0</v>
      </c>
      <c r="K40" s="123">
        <f>SUM(K41:K42)</f>
        <v>86.5</v>
      </c>
      <c r="L40" s="123">
        <f>SUM(L41:L42)</f>
        <v>71.2</v>
      </c>
      <c r="M40" s="123">
        <f>L40/K40*100</f>
        <v>82.312138728323703</v>
      </c>
      <c r="N40" s="123">
        <f>SUM(N41:N42)</f>
        <v>1189</v>
      </c>
      <c r="O40" s="123">
        <f>SUM(O41:O42)</f>
        <v>169.4</v>
      </c>
      <c r="P40" s="123">
        <f>O40/N40*100</f>
        <v>14.247266610597139</v>
      </c>
      <c r="Q40" s="123">
        <f>SUM(Q41:Q42)</f>
        <v>3877.8</v>
      </c>
      <c r="R40" s="123">
        <f>SUM(R41:R42)</f>
        <v>4042.9</v>
      </c>
      <c r="S40" s="123">
        <f>R40/Q40*100</f>
        <v>104.25756872453454</v>
      </c>
      <c r="T40" s="123">
        <f>SUM(T41:T42)</f>
        <v>353.29999999999995</v>
      </c>
      <c r="U40" s="123">
        <f>SUM(U41:U42)</f>
        <v>352.8</v>
      </c>
      <c r="V40" s="123">
        <f>SUM(V41:V42)</f>
        <v>99.858477214831609</v>
      </c>
      <c r="W40" s="123">
        <f>SUM(W41:W42)</f>
        <v>301.70000000000005</v>
      </c>
      <c r="X40" s="123">
        <f>SUM(X41:X42)</f>
        <v>301.10000000000002</v>
      </c>
      <c r="Y40" s="117">
        <f>X40/W40*100</f>
        <v>99.801126947298641</v>
      </c>
      <c r="Z40" s="123">
        <f>SUM(Z41:Z42)</f>
        <v>638.4</v>
      </c>
      <c r="AA40" s="123">
        <f>SUM(AA41:AA42)</f>
        <v>448.9</v>
      </c>
      <c r="AB40" s="123">
        <f>AA40/Z40*100</f>
        <v>70.31641604010025</v>
      </c>
      <c r="AC40" s="123">
        <f>SUM(AC41:AC42)</f>
        <v>595.09999999999991</v>
      </c>
      <c r="AD40" s="123">
        <f>SUM(AD41:AD42)</f>
        <v>520.4</v>
      </c>
      <c r="AE40" s="117">
        <f>AD40/AC40*100</f>
        <v>87.447487817173595</v>
      </c>
      <c r="AF40" s="123">
        <f>SUM(AF41:AF42)</f>
        <v>551.69999999999993</v>
      </c>
      <c r="AG40" s="123">
        <f>SUM(AG41:AG42)</f>
        <v>288.8</v>
      </c>
      <c r="AH40" s="117">
        <f>AG40/AF40*100</f>
        <v>52.347290193945994</v>
      </c>
      <c r="AI40" s="123">
        <f t="shared" ref="AI40:AQ40" si="58">SUM(AI41:AI42)</f>
        <v>440.90000000000003</v>
      </c>
      <c r="AJ40" s="123">
        <f t="shared" si="58"/>
        <v>0</v>
      </c>
      <c r="AK40" s="123">
        <f t="shared" si="58"/>
        <v>0</v>
      </c>
      <c r="AL40" s="123">
        <f t="shared" si="58"/>
        <v>325.69999999999993</v>
      </c>
      <c r="AM40" s="123">
        <f t="shared" si="58"/>
        <v>0</v>
      </c>
      <c r="AN40" s="123">
        <f t="shared" si="58"/>
        <v>0</v>
      </c>
      <c r="AO40" s="123">
        <f t="shared" si="58"/>
        <v>0</v>
      </c>
      <c r="AP40" s="123">
        <f t="shared" si="58"/>
        <v>0</v>
      </c>
      <c r="AQ40" s="123">
        <f t="shared" si="58"/>
        <v>0</v>
      </c>
      <c r="AR40" s="337" t="s">
        <v>511</v>
      </c>
      <c r="AS40" s="337" t="s">
        <v>510</v>
      </c>
      <c r="AT40" s="233"/>
      <c r="AU40" s="233"/>
      <c r="AV40" s="234"/>
      <c r="AX40" s="233"/>
    </row>
    <row r="41" spans="1:50" s="235" customFormat="1" ht="48">
      <c r="A41" s="458"/>
      <c r="B41" s="489"/>
      <c r="C41" s="489"/>
      <c r="D41" s="220" t="s">
        <v>442</v>
      </c>
      <c r="E41" s="123">
        <f>H41+K41+N41+Q41+T41+W41+Z41+AC41+AF41+AI41+AL41+AO41</f>
        <v>0</v>
      </c>
      <c r="F41" s="123">
        <f>I41+L41+O41+R41+U41+X41+AA41+AD41+AG41+AJ41+AM41+AP41</f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23">
        <v>0</v>
      </c>
      <c r="AA41" s="123">
        <v>0</v>
      </c>
      <c r="AB41" s="123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23">
        <v>0</v>
      </c>
      <c r="AJ41" s="123">
        <v>0</v>
      </c>
      <c r="AK41" s="123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338"/>
      <c r="AS41" s="338"/>
      <c r="AT41" s="233"/>
      <c r="AU41" s="233"/>
      <c r="AV41" s="234"/>
      <c r="AX41" s="233"/>
    </row>
    <row r="42" spans="1:50" s="235" customFormat="1" ht="23.25" customHeight="1">
      <c r="A42" s="458"/>
      <c r="B42" s="489"/>
      <c r="C42" s="489"/>
      <c r="D42" s="220" t="s">
        <v>461</v>
      </c>
      <c r="E42" s="123">
        <f t="shared" ref="E42:F44" si="59">H42+K42+N42+Q42+T42+W42+Z42+AC42+AF42+AI42+AL42+AO42</f>
        <v>8360.0999999999985</v>
      </c>
      <c r="F42" s="123">
        <f t="shared" si="59"/>
        <v>6195.5</v>
      </c>
      <c r="G42" s="123">
        <f>F42/E42*100</f>
        <v>74.107965215727106</v>
      </c>
      <c r="H42" s="123">
        <v>0</v>
      </c>
      <c r="I42" s="123">
        <v>0</v>
      </c>
      <c r="J42" s="123">
        <v>0</v>
      </c>
      <c r="K42" s="123">
        <f>67.6+4.3+33-18.4</f>
        <v>86.5</v>
      </c>
      <c r="L42" s="123">
        <v>71.2</v>
      </c>
      <c r="M42" s="123">
        <f>L42/K42*100</f>
        <v>82.312138728323703</v>
      </c>
      <c r="N42" s="123">
        <f>757.1+31.9+67.6+4.3+33+295.1</f>
        <v>1189</v>
      </c>
      <c r="O42" s="123">
        <v>169.4</v>
      </c>
      <c r="P42" s="123">
        <f>O42/N42*100</f>
        <v>14.247266610597139</v>
      </c>
      <c r="Q42" s="123">
        <f>1321.5+121+4.3+35+1396+365+635</f>
        <v>3877.8</v>
      </c>
      <c r="R42" s="123">
        <v>4042.9</v>
      </c>
      <c r="S42" s="123">
        <f>R42/Q42*100</f>
        <v>104.25756872453454</v>
      </c>
      <c r="T42" s="117">
        <f>767.2+187.8+4.3+29-635</f>
        <v>353.29999999999995</v>
      </c>
      <c r="U42" s="117">
        <v>352.8</v>
      </c>
      <c r="V42" s="117">
        <f>U42/T42*100</f>
        <v>99.858477214831609</v>
      </c>
      <c r="W42" s="117">
        <f>451.6+187.8+4.3+23-365</f>
        <v>301.70000000000005</v>
      </c>
      <c r="X42" s="117">
        <v>301.10000000000002</v>
      </c>
      <c r="Y42" s="117">
        <f>X42/W42*100</f>
        <v>99.801126947298641</v>
      </c>
      <c r="Z42" s="123">
        <f>451.6+165.5+4.3+17</f>
        <v>638.4</v>
      </c>
      <c r="AA42" s="123">
        <v>448.9</v>
      </c>
      <c r="AB42" s="123">
        <f>AA42/Z42*100</f>
        <v>70.31641604010025</v>
      </c>
      <c r="AC42" s="117">
        <f>584.8+165.5+4.3+17-276.5+100</f>
        <v>595.09999999999991</v>
      </c>
      <c r="AD42" s="117">
        <v>520.4</v>
      </c>
      <c r="AE42" s="117">
        <f>AD42/AC42*100</f>
        <v>87.447487817173595</v>
      </c>
      <c r="AF42" s="117">
        <f>464.8+165.5+4.3+17.1-100</f>
        <v>551.69999999999993</v>
      </c>
      <c r="AG42" s="117">
        <v>288.8</v>
      </c>
      <c r="AH42" s="117">
        <f>AG42/AF42*100</f>
        <v>52.347290193945994</v>
      </c>
      <c r="AI42" s="123">
        <f>284+60+67.6+4.3+25</f>
        <v>440.90000000000003</v>
      </c>
      <c r="AJ42" s="123">
        <v>0</v>
      </c>
      <c r="AK42" s="123">
        <v>0</v>
      </c>
      <c r="AL42" s="117">
        <f>281.9+177.9+266.9+4.3+37-295.2-147.1</f>
        <v>325.69999999999993</v>
      </c>
      <c r="AM42" s="117">
        <v>0</v>
      </c>
      <c r="AN42" s="117">
        <v>0</v>
      </c>
      <c r="AO42" s="117">
        <f>327.5+152.4+8.8+117.3-606</f>
        <v>0</v>
      </c>
      <c r="AP42" s="117">
        <v>0</v>
      </c>
      <c r="AQ42" s="117">
        <v>0</v>
      </c>
      <c r="AR42" s="338"/>
      <c r="AS42" s="338"/>
      <c r="AT42" s="233"/>
      <c r="AU42" s="233"/>
      <c r="AV42" s="234"/>
      <c r="AX42" s="233"/>
    </row>
    <row r="43" spans="1:50" s="235" customFormat="1" ht="36">
      <c r="A43" s="458"/>
      <c r="B43" s="489"/>
      <c r="C43" s="489"/>
      <c r="D43" s="224" t="s">
        <v>457</v>
      </c>
      <c r="E43" s="123">
        <f t="shared" si="59"/>
        <v>0</v>
      </c>
      <c r="F43" s="123">
        <f t="shared" si="59"/>
        <v>183.9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183.9</v>
      </c>
      <c r="S43" s="123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23">
        <v>0</v>
      </c>
      <c r="AA43" s="123">
        <v>0</v>
      </c>
      <c r="AB43" s="123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23">
        <v>0</v>
      </c>
      <c r="AJ43" s="123">
        <v>0</v>
      </c>
      <c r="AK43" s="123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338"/>
      <c r="AS43" s="338"/>
      <c r="AT43" s="233"/>
      <c r="AU43" s="233"/>
      <c r="AV43" s="234"/>
      <c r="AX43" s="233"/>
    </row>
    <row r="44" spans="1:50" s="235" customFormat="1" ht="24">
      <c r="A44" s="458"/>
      <c r="B44" s="489"/>
      <c r="C44" s="489"/>
      <c r="D44" s="143" t="s">
        <v>257</v>
      </c>
      <c r="E44" s="123">
        <f t="shared" si="59"/>
        <v>0</v>
      </c>
      <c r="F44" s="123">
        <f t="shared" si="59"/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23">
        <v>0</v>
      </c>
      <c r="AA44" s="123">
        <v>0</v>
      </c>
      <c r="AB44" s="123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23">
        <v>0</v>
      </c>
      <c r="AJ44" s="123">
        <v>0</v>
      </c>
      <c r="AK44" s="123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338"/>
      <c r="AS44" s="338"/>
      <c r="AT44" s="233"/>
      <c r="AU44" s="233"/>
      <c r="AV44" s="234"/>
    </row>
    <row r="45" spans="1:50" s="235" customFormat="1" ht="24">
      <c r="A45" s="459"/>
      <c r="B45" s="490"/>
      <c r="C45" s="490"/>
      <c r="D45" s="143" t="s">
        <v>467</v>
      </c>
      <c r="E45" s="123">
        <f>H45+K45+N45+Q45+T45+W45+Z45+AC45+AF45+AI45+AL45+AO45</f>
        <v>0</v>
      </c>
      <c r="F45" s="123">
        <f>I45+L45+O45+R45+U45+X45+AA45+AD45+AG45+AJ45+AM45+AP45</f>
        <v>0</v>
      </c>
      <c r="G45" s="123">
        <v>0</v>
      </c>
      <c r="H45" s="123">
        <v>0</v>
      </c>
      <c r="I45" s="123">
        <v>0</v>
      </c>
      <c r="J45" s="123">
        <v>0</v>
      </c>
      <c r="K45" s="132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17">
        <v>0</v>
      </c>
      <c r="U45" s="117">
        <v>0</v>
      </c>
      <c r="V45" s="123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23">
        <v>0</v>
      </c>
      <c r="AI45" s="123">
        <v>0</v>
      </c>
      <c r="AJ45" s="123">
        <v>0</v>
      </c>
      <c r="AK45" s="123" t="e">
        <f t="shared" ref="AK45" si="60">AJ45/AI45*100</f>
        <v>#DIV/0!</v>
      </c>
      <c r="AL45" s="117">
        <v>0</v>
      </c>
      <c r="AM45" s="117">
        <v>0</v>
      </c>
      <c r="AN45" s="117" t="e">
        <f t="shared" ref="AN45" si="61">AM45/AL45*100</f>
        <v>#DIV/0!</v>
      </c>
      <c r="AO45" s="123">
        <v>0</v>
      </c>
      <c r="AP45" s="117"/>
      <c r="AQ45" s="117"/>
      <c r="AR45" s="339"/>
      <c r="AS45" s="339"/>
      <c r="AT45" s="233"/>
      <c r="AU45" s="233"/>
      <c r="AV45" s="234"/>
    </row>
    <row r="46" spans="1:50" s="235" customFormat="1" ht="12.75" customHeight="1">
      <c r="A46" s="457" t="s">
        <v>11</v>
      </c>
      <c r="B46" s="488" t="s">
        <v>473</v>
      </c>
      <c r="C46" s="488" t="s">
        <v>455</v>
      </c>
      <c r="D46" s="219" t="s">
        <v>444</v>
      </c>
      <c r="E46" s="123">
        <f>SUM(E47:E49)</f>
        <v>0</v>
      </c>
      <c r="F46" s="123">
        <f t="shared" ref="F46" si="62">SUM(F47:F49)</f>
        <v>0</v>
      </c>
      <c r="G46" s="123">
        <v>0</v>
      </c>
      <c r="H46" s="123">
        <f t="shared" ref="H46:I46" si="63">SUM(H47:H49)</f>
        <v>0</v>
      </c>
      <c r="I46" s="123">
        <f t="shared" si="63"/>
        <v>0</v>
      </c>
      <c r="J46" s="123">
        <v>0</v>
      </c>
      <c r="K46" s="123">
        <f t="shared" ref="K46:L46" si="64">SUM(K47:K49)</f>
        <v>0</v>
      </c>
      <c r="L46" s="123">
        <f t="shared" si="64"/>
        <v>0</v>
      </c>
      <c r="M46" s="123">
        <v>0</v>
      </c>
      <c r="N46" s="123">
        <f t="shared" ref="N46:O46" si="65">SUM(N47:N49)</f>
        <v>0</v>
      </c>
      <c r="O46" s="123">
        <f t="shared" si="65"/>
        <v>0</v>
      </c>
      <c r="P46" s="123">
        <v>0</v>
      </c>
      <c r="Q46" s="123">
        <f t="shared" ref="Q46:R46" si="66">SUM(Q47:Q49)</f>
        <v>0</v>
      </c>
      <c r="R46" s="123">
        <f t="shared" si="66"/>
        <v>0</v>
      </c>
      <c r="S46" s="123">
        <v>0</v>
      </c>
      <c r="T46" s="123">
        <f t="shared" ref="T46:AA46" si="67">SUM(T47:T49)</f>
        <v>0</v>
      </c>
      <c r="U46" s="123">
        <f t="shared" si="67"/>
        <v>0</v>
      </c>
      <c r="V46" s="123">
        <f t="shared" si="67"/>
        <v>0</v>
      </c>
      <c r="W46" s="123">
        <f t="shared" si="67"/>
        <v>0</v>
      </c>
      <c r="X46" s="123">
        <f t="shared" si="67"/>
        <v>0</v>
      </c>
      <c r="Y46" s="123">
        <f t="shared" si="67"/>
        <v>0</v>
      </c>
      <c r="Z46" s="123">
        <f t="shared" si="67"/>
        <v>0</v>
      </c>
      <c r="AA46" s="123">
        <f t="shared" si="67"/>
        <v>0</v>
      </c>
      <c r="AB46" s="117">
        <v>0</v>
      </c>
      <c r="AC46" s="123">
        <f t="shared" ref="AC46:AD46" si="68">SUM(AC47:AC49)</f>
        <v>0</v>
      </c>
      <c r="AD46" s="123">
        <f t="shared" si="68"/>
        <v>0</v>
      </c>
      <c r="AE46" s="123">
        <v>0</v>
      </c>
      <c r="AF46" s="123">
        <f t="shared" ref="AF46:AG46" si="69">SUM(AF47:AF49)</f>
        <v>0</v>
      </c>
      <c r="AG46" s="123">
        <f t="shared" si="69"/>
        <v>0</v>
      </c>
      <c r="AH46" s="123">
        <v>0</v>
      </c>
      <c r="AI46" s="123">
        <f t="shared" ref="AI46:AJ46" si="70">SUM(AI47:AI49)</f>
        <v>0</v>
      </c>
      <c r="AJ46" s="123">
        <f t="shared" si="70"/>
        <v>0</v>
      </c>
      <c r="AK46" s="123">
        <v>0</v>
      </c>
      <c r="AL46" s="123">
        <f t="shared" ref="AL46:AM46" si="71">SUM(AL47:AL49)</f>
        <v>0</v>
      </c>
      <c r="AM46" s="123">
        <f t="shared" si="71"/>
        <v>0</v>
      </c>
      <c r="AN46" s="117">
        <v>0</v>
      </c>
      <c r="AO46" s="123">
        <f t="shared" ref="AO46:AP46" si="72">SUM(AO47:AO49)</f>
        <v>0</v>
      </c>
      <c r="AP46" s="123">
        <f t="shared" si="72"/>
        <v>0</v>
      </c>
      <c r="AQ46" s="123">
        <v>0</v>
      </c>
      <c r="AR46" s="337"/>
      <c r="AS46" s="337"/>
      <c r="AT46" s="233"/>
      <c r="AU46" s="233"/>
      <c r="AV46" s="234"/>
    </row>
    <row r="47" spans="1:50" s="235" customFormat="1" ht="48">
      <c r="A47" s="458"/>
      <c r="B47" s="489"/>
      <c r="C47" s="489"/>
      <c r="D47" s="220" t="s">
        <v>442</v>
      </c>
      <c r="E47" s="123">
        <f>H47+K47+N47+Q47+T47+W47+Z47+AC47+AF47+AI47+AL47+AO47</f>
        <v>0</v>
      </c>
      <c r="F47" s="123">
        <f>I47+L47+O47+R47+U47+X47+AA47+AD47+AG47+AJ47+AM47+AP47</f>
        <v>0</v>
      </c>
      <c r="G47" s="123">
        <v>0</v>
      </c>
      <c r="H47" s="123">
        <v>0</v>
      </c>
      <c r="I47" s="123">
        <v>0</v>
      </c>
      <c r="J47" s="123">
        <v>0</v>
      </c>
      <c r="K47" s="132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23">
        <v>0</v>
      </c>
      <c r="AJ47" s="123">
        <v>0</v>
      </c>
      <c r="AK47" s="123">
        <v>0</v>
      </c>
      <c r="AL47" s="117">
        <v>0</v>
      </c>
      <c r="AM47" s="117">
        <v>0</v>
      </c>
      <c r="AN47" s="117">
        <v>0</v>
      </c>
      <c r="AO47" s="123">
        <v>0</v>
      </c>
      <c r="AP47" s="123">
        <v>0</v>
      </c>
      <c r="AQ47" s="123">
        <v>0</v>
      </c>
      <c r="AR47" s="338"/>
      <c r="AS47" s="338"/>
      <c r="AT47" s="233"/>
      <c r="AU47" s="233"/>
      <c r="AV47" s="234"/>
    </row>
    <row r="48" spans="1:50" s="235" customFormat="1" ht="12.75">
      <c r="A48" s="458"/>
      <c r="B48" s="489"/>
      <c r="C48" s="489"/>
      <c r="D48" s="220" t="s">
        <v>461</v>
      </c>
      <c r="E48" s="123">
        <f t="shared" ref="E48:F49" si="73">H48+K48+N48+Q48+T48+W48+Z48+AC48+AF48+AI48+AL48+AO48</f>
        <v>0</v>
      </c>
      <c r="F48" s="123">
        <f t="shared" si="73"/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23">
        <v>0</v>
      </c>
      <c r="AA48" s="123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23">
        <v>0</v>
      </c>
      <c r="AJ48" s="123">
        <v>0</v>
      </c>
      <c r="AK48" s="123">
        <v>0</v>
      </c>
      <c r="AL48" s="117">
        <v>0</v>
      </c>
      <c r="AM48" s="117">
        <v>0</v>
      </c>
      <c r="AN48" s="117">
        <v>0</v>
      </c>
      <c r="AO48" s="117">
        <v>0</v>
      </c>
      <c r="AP48" s="123">
        <v>0</v>
      </c>
      <c r="AQ48" s="123">
        <v>0</v>
      </c>
      <c r="AR48" s="338"/>
      <c r="AS48" s="338"/>
      <c r="AT48" s="233"/>
      <c r="AU48" s="233"/>
      <c r="AV48" s="234"/>
    </row>
    <row r="49" spans="1:50" s="235" customFormat="1" ht="24">
      <c r="A49" s="458"/>
      <c r="B49" s="489"/>
      <c r="C49" s="489"/>
      <c r="D49" s="143" t="s">
        <v>257</v>
      </c>
      <c r="E49" s="123">
        <f t="shared" si="73"/>
        <v>0</v>
      </c>
      <c r="F49" s="123">
        <f t="shared" si="73"/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23">
        <v>0</v>
      </c>
      <c r="AA49" s="123">
        <v>0</v>
      </c>
      <c r="AB49" s="123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23">
        <v>0</v>
      </c>
      <c r="AJ49" s="123">
        <v>0</v>
      </c>
      <c r="AK49" s="123">
        <v>0</v>
      </c>
      <c r="AL49" s="117">
        <v>0</v>
      </c>
      <c r="AM49" s="117">
        <v>0</v>
      </c>
      <c r="AN49" s="117">
        <v>0</v>
      </c>
      <c r="AO49" s="117">
        <v>0</v>
      </c>
      <c r="AP49" s="123">
        <v>0</v>
      </c>
      <c r="AQ49" s="123">
        <v>0</v>
      </c>
      <c r="AR49" s="338"/>
      <c r="AS49" s="338"/>
      <c r="AT49" s="233"/>
      <c r="AU49" s="233"/>
      <c r="AV49" s="234"/>
    </row>
    <row r="50" spans="1:50" s="235" customFormat="1" ht="24">
      <c r="A50" s="459"/>
      <c r="B50" s="490"/>
      <c r="C50" s="490"/>
      <c r="D50" s="143" t="s">
        <v>467</v>
      </c>
      <c r="E50" s="123">
        <f>H50+K50+N50+Q50+T50+W50+Z50+AC50+AF50+AI50+AL50+AO50</f>
        <v>0</v>
      </c>
      <c r="F50" s="123">
        <f>I50+L50+O50+R50+U50+X50+AA50+AD50+AG50+AJ50+AM50+AP50</f>
        <v>0</v>
      </c>
      <c r="G50" s="123">
        <v>0</v>
      </c>
      <c r="H50" s="123">
        <v>0</v>
      </c>
      <c r="I50" s="123">
        <v>0</v>
      </c>
      <c r="J50" s="123">
        <v>0</v>
      </c>
      <c r="K50" s="132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17">
        <v>0</v>
      </c>
      <c r="U50" s="117">
        <v>0</v>
      </c>
      <c r="V50" s="123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23">
        <v>0</v>
      </c>
      <c r="AI50" s="123">
        <v>0</v>
      </c>
      <c r="AJ50" s="123">
        <v>0</v>
      </c>
      <c r="AK50" s="123">
        <v>0</v>
      </c>
      <c r="AL50" s="117">
        <v>0</v>
      </c>
      <c r="AM50" s="117">
        <v>0</v>
      </c>
      <c r="AN50" s="117">
        <v>0</v>
      </c>
      <c r="AO50" s="123">
        <v>0</v>
      </c>
      <c r="AP50" s="123">
        <v>0</v>
      </c>
      <c r="AQ50" s="123">
        <v>0</v>
      </c>
      <c r="AR50" s="339"/>
      <c r="AS50" s="339"/>
      <c r="AT50" s="233"/>
      <c r="AU50" s="233"/>
      <c r="AV50" s="234"/>
    </row>
    <row r="51" spans="1:50" s="246" customFormat="1" ht="310.5" customHeight="1">
      <c r="A51" s="240" t="s">
        <v>465</v>
      </c>
      <c r="B51" s="143" t="s">
        <v>474</v>
      </c>
      <c r="C51" s="255" t="s">
        <v>456</v>
      </c>
      <c r="D51" s="143" t="s">
        <v>443</v>
      </c>
      <c r="E51" s="149" t="s">
        <v>279</v>
      </c>
      <c r="F51" s="149" t="s">
        <v>279</v>
      </c>
      <c r="G51" s="149" t="s">
        <v>279</v>
      </c>
      <c r="H51" s="149" t="s">
        <v>279</v>
      </c>
      <c r="I51" s="149" t="s">
        <v>279</v>
      </c>
      <c r="J51" s="149" t="s">
        <v>279</v>
      </c>
      <c r="K51" s="149" t="s">
        <v>279</v>
      </c>
      <c r="L51" s="149" t="s">
        <v>279</v>
      </c>
      <c r="M51" s="149" t="s">
        <v>279</v>
      </c>
      <c r="N51" s="149" t="s">
        <v>279</v>
      </c>
      <c r="O51" s="149" t="s">
        <v>279</v>
      </c>
      <c r="P51" s="149" t="s">
        <v>279</v>
      </c>
      <c r="Q51" s="149" t="s">
        <v>279</v>
      </c>
      <c r="R51" s="149" t="s">
        <v>279</v>
      </c>
      <c r="S51" s="149" t="s">
        <v>279</v>
      </c>
      <c r="T51" s="149" t="s">
        <v>279</v>
      </c>
      <c r="U51" s="149" t="s">
        <v>279</v>
      </c>
      <c r="V51" s="149" t="s">
        <v>279</v>
      </c>
      <c r="W51" s="149" t="s">
        <v>279</v>
      </c>
      <c r="X51" s="149" t="s">
        <v>279</v>
      </c>
      <c r="Y51" s="149" t="s">
        <v>279</v>
      </c>
      <c r="Z51" s="149" t="s">
        <v>279</v>
      </c>
      <c r="AA51" s="149" t="s">
        <v>279</v>
      </c>
      <c r="AB51" s="149" t="s">
        <v>279</v>
      </c>
      <c r="AC51" s="149" t="s">
        <v>279</v>
      </c>
      <c r="AD51" s="149" t="s">
        <v>279</v>
      </c>
      <c r="AE51" s="149" t="s">
        <v>279</v>
      </c>
      <c r="AF51" s="149" t="s">
        <v>279</v>
      </c>
      <c r="AG51" s="149" t="s">
        <v>279</v>
      </c>
      <c r="AH51" s="149" t="s">
        <v>279</v>
      </c>
      <c r="AI51" s="149" t="s">
        <v>279</v>
      </c>
      <c r="AJ51" s="149" t="s">
        <v>279</v>
      </c>
      <c r="AK51" s="149" t="s">
        <v>279</v>
      </c>
      <c r="AL51" s="149" t="s">
        <v>279</v>
      </c>
      <c r="AM51" s="149" t="s">
        <v>279</v>
      </c>
      <c r="AN51" s="149" t="s">
        <v>279</v>
      </c>
      <c r="AO51" s="149" t="s">
        <v>279</v>
      </c>
      <c r="AP51" s="149"/>
      <c r="AQ51" s="149"/>
      <c r="AR51" s="256" t="s">
        <v>504</v>
      </c>
      <c r="AS51" s="140"/>
      <c r="AT51" s="233"/>
      <c r="AU51" s="233"/>
      <c r="AV51" s="234"/>
    </row>
    <row r="52" spans="1:50" s="246" customFormat="1" ht="12.75" customHeight="1">
      <c r="A52" s="491" t="s">
        <v>466</v>
      </c>
      <c r="B52" s="494" t="s">
        <v>447</v>
      </c>
      <c r="C52" s="495"/>
      <c r="D52" s="216" t="s">
        <v>444</v>
      </c>
      <c r="E52" s="149">
        <f>E53+E54+E55</f>
        <v>36062.300000000003</v>
      </c>
      <c r="F52" s="149">
        <f t="shared" ref="F52:AP52" si="74">F53+F54+F55</f>
        <v>22311.8</v>
      </c>
      <c r="G52" s="149">
        <f>F52/E52*100</f>
        <v>61.870152486114307</v>
      </c>
      <c r="H52" s="149">
        <f t="shared" si="74"/>
        <v>612.1</v>
      </c>
      <c r="I52" s="149">
        <f t="shared" si="74"/>
        <v>612.1</v>
      </c>
      <c r="J52" s="149">
        <f>I52/H52*100</f>
        <v>100</v>
      </c>
      <c r="K52" s="149">
        <f t="shared" si="74"/>
        <v>2310.9</v>
      </c>
      <c r="L52" s="149">
        <f t="shared" si="74"/>
        <v>2310.1999999999998</v>
      </c>
      <c r="M52" s="149">
        <f>L52/K52*100</f>
        <v>99.969708771474302</v>
      </c>
      <c r="N52" s="149">
        <f t="shared" si="74"/>
        <v>2468</v>
      </c>
      <c r="O52" s="149">
        <f t="shared" si="74"/>
        <v>2206</v>
      </c>
      <c r="P52" s="149">
        <f>O52/N52*100</f>
        <v>89.38411669367909</v>
      </c>
      <c r="Q52" s="149">
        <f t="shared" si="74"/>
        <v>3235</v>
      </c>
      <c r="R52" s="149">
        <f t="shared" si="74"/>
        <v>3362.7</v>
      </c>
      <c r="S52" s="149">
        <f>R52/Q52*100</f>
        <v>103.94744976816072</v>
      </c>
      <c r="T52" s="149">
        <f t="shared" si="74"/>
        <v>2284</v>
      </c>
      <c r="U52" s="149">
        <f t="shared" si="74"/>
        <v>2359.6</v>
      </c>
      <c r="V52" s="149">
        <f>U52/T52*100</f>
        <v>103.30998248686514</v>
      </c>
      <c r="W52" s="149">
        <f t="shared" si="74"/>
        <v>2902</v>
      </c>
      <c r="X52" s="149">
        <f t="shared" si="74"/>
        <v>2896.3</v>
      </c>
      <c r="Y52" s="149">
        <f>X52/W52*100</f>
        <v>99.803583735354934</v>
      </c>
      <c r="Z52" s="149">
        <f t="shared" si="74"/>
        <v>3531</v>
      </c>
      <c r="AA52" s="149">
        <f t="shared" si="74"/>
        <v>3504.3</v>
      </c>
      <c r="AB52" s="149">
        <f>AA52/Z52*100</f>
        <v>99.243840271877659</v>
      </c>
      <c r="AC52" s="149">
        <f t="shared" si="74"/>
        <v>2810</v>
      </c>
      <c r="AD52" s="149">
        <f t="shared" si="74"/>
        <v>2685</v>
      </c>
      <c r="AE52" s="149">
        <f>AD52/AC52*100</f>
        <v>95.55160142348754</v>
      </c>
      <c r="AF52" s="149">
        <f t="shared" si="74"/>
        <v>2632</v>
      </c>
      <c r="AG52" s="149">
        <f t="shared" si="74"/>
        <v>2375.6</v>
      </c>
      <c r="AH52" s="149">
        <f>AG52/AF52*100</f>
        <v>90.258358662613986</v>
      </c>
      <c r="AI52" s="149">
        <f t="shared" si="74"/>
        <v>3026</v>
      </c>
      <c r="AJ52" s="149">
        <f t="shared" si="74"/>
        <v>0</v>
      </c>
      <c r="AK52" s="149">
        <f>AJ52/AI52*100</f>
        <v>0</v>
      </c>
      <c r="AL52" s="149">
        <f t="shared" si="74"/>
        <v>2526</v>
      </c>
      <c r="AM52" s="149">
        <f t="shared" si="74"/>
        <v>0</v>
      </c>
      <c r="AN52" s="149">
        <f>AM52/AL52*100</f>
        <v>0</v>
      </c>
      <c r="AO52" s="149">
        <f t="shared" si="74"/>
        <v>7725.3</v>
      </c>
      <c r="AP52" s="149">
        <f t="shared" si="74"/>
        <v>0</v>
      </c>
      <c r="AQ52" s="149">
        <f>AP52/AO52*100</f>
        <v>0</v>
      </c>
      <c r="AR52" s="479"/>
      <c r="AS52" s="482"/>
      <c r="AT52" s="233"/>
      <c r="AU52" s="233"/>
      <c r="AV52" s="234"/>
    </row>
    <row r="53" spans="1:50" s="246" customFormat="1" ht="48">
      <c r="A53" s="492"/>
      <c r="B53" s="496"/>
      <c r="C53" s="497"/>
      <c r="D53" s="217" t="s">
        <v>442</v>
      </c>
      <c r="E53" s="149">
        <f t="shared" ref="E53:F55" si="75">E59</f>
        <v>33417.4</v>
      </c>
      <c r="F53" s="149">
        <f t="shared" si="75"/>
        <v>20218.8</v>
      </c>
      <c r="G53" s="149">
        <f>F53/E53*100</f>
        <v>60.503809392711574</v>
      </c>
      <c r="H53" s="149">
        <f t="shared" ref="H53:I55" si="76">H59</f>
        <v>0</v>
      </c>
      <c r="I53" s="149">
        <f t="shared" si="76"/>
        <v>0</v>
      </c>
      <c r="J53" s="149">
        <v>0</v>
      </c>
      <c r="K53" s="149">
        <f t="shared" ref="K53:L55" si="77">K59</f>
        <v>1700</v>
      </c>
      <c r="L53" s="149">
        <f t="shared" si="77"/>
        <v>1699.3</v>
      </c>
      <c r="M53" s="149">
        <f t="shared" ref="M53:M54" si="78">L53/K53*100</f>
        <v>99.958823529411774</v>
      </c>
      <c r="N53" s="149">
        <f t="shared" ref="N53:O55" si="79">N59</f>
        <v>2468</v>
      </c>
      <c r="O53" s="149">
        <f t="shared" si="79"/>
        <v>2206</v>
      </c>
      <c r="P53" s="149">
        <f t="shared" ref="P53" si="80">O53/N53*100</f>
        <v>89.38411669367909</v>
      </c>
      <c r="Q53" s="149">
        <f t="shared" ref="Q53:R55" si="81">Q59</f>
        <v>3235</v>
      </c>
      <c r="R53" s="149">
        <f t="shared" si="81"/>
        <v>3362.7</v>
      </c>
      <c r="S53" s="149">
        <f t="shared" ref="S53" si="82">R53/Q53*100</f>
        <v>103.94744976816072</v>
      </c>
      <c r="T53" s="149">
        <f t="shared" ref="T53:AD55" si="83">T59</f>
        <v>2284</v>
      </c>
      <c r="U53" s="149">
        <f t="shared" si="83"/>
        <v>2359.6</v>
      </c>
      <c r="V53" s="149">
        <f t="shared" si="83"/>
        <v>103.30998248686514</v>
      </c>
      <c r="W53" s="149">
        <f t="shared" si="83"/>
        <v>2467</v>
      </c>
      <c r="X53" s="149">
        <f t="shared" si="83"/>
        <v>2461.3000000000002</v>
      </c>
      <c r="Y53" s="149">
        <f t="shared" si="83"/>
        <v>99.768950141872722</v>
      </c>
      <c r="Z53" s="149">
        <f t="shared" si="83"/>
        <v>3531</v>
      </c>
      <c r="AA53" s="149">
        <f t="shared" si="83"/>
        <v>3504.3</v>
      </c>
      <c r="AB53" s="149">
        <f t="shared" si="83"/>
        <v>99.243840271877659</v>
      </c>
      <c r="AC53" s="149">
        <f t="shared" si="83"/>
        <v>2375</v>
      </c>
      <c r="AD53" s="149">
        <f t="shared" si="83"/>
        <v>2250</v>
      </c>
      <c r="AE53" s="149">
        <f t="shared" ref="AE53:AE54" si="84">AD53/AC53*100</f>
        <v>94.73684210526315</v>
      </c>
      <c r="AF53" s="149">
        <f t="shared" ref="AF53:AQ55" si="85">AF59</f>
        <v>2632</v>
      </c>
      <c r="AG53" s="149">
        <f t="shared" si="85"/>
        <v>2375.6</v>
      </c>
      <c r="AH53" s="149">
        <f t="shared" si="85"/>
        <v>90.258358662613986</v>
      </c>
      <c r="AI53" s="149">
        <f t="shared" si="85"/>
        <v>2577.4</v>
      </c>
      <c r="AJ53" s="149">
        <f t="shared" si="85"/>
        <v>0</v>
      </c>
      <c r="AK53" s="149">
        <f t="shared" si="85"/>
        <v>0</v>
      </c>
      <c r="AL53" s="149">
        <f t="shared" si="85"/>
        <v>2526</v>
      </c>
      <c r="AM53" s="149">
        <f t="shared" si="85"/>
        <v>0</v>
      </c>
      <c r="AN53" s="149">
        <f t="shared" si="85"/>
        <v>0</v>
      </c>
      <c r="AO53" s="149">
        <f t="shared" si="85"/>
        <v>7622</v>
      </c>
      <c r="AP53" s="149">
        <f t="shared" si="85"/>
        <v>0</v>
      </c>
      <c r="AQ53" s="149">
        <f t="shared" si="85"/>
        <v>0</v>
      </c>
      <c r="AR53" s="480"/>
      <c r="AS53" s="483"/>
      <c r="AT53" s="233"/>
      <c r="AU53" s="233"/>
      <c r="AV53" s="234"/>
    </row>
    <row r="54" spans="1:50" s="246" customFormat="1" ht="12.75">
      <c r="A54" s="492"/>
      <c r="B54" s="496"/>
      <c r="C54" s="497"/>
      <c r="D54" s="217" t="s">
        <v>462</v>
      </c>
      <c r="E54" s="149">
        <f t="shared" si="75"/>
        <v>2644.9</v>
      </c>
      <c r="F54" s="149">
        <f t="shared" si="75"/>
        <v>2093</v>
      </c>
      <c r="G54" s="149">
        <f>F54/E54*100</f>
        <v>79.133426594578239</v>
      </c>
      <c r="H54" s="149">
        <f t="shared" si="76"/>
        <v>612.1</v>
      </c>
      <c r="I54" s="149">
        <f t="shared" si="76"/>
        <v>612.1</v>
      </c>
      <c r="J54" s="149">
        <f t="shared" ref="J54" si="86">I54/H54*100</f>
        <v>100</v>
      </c>
      <c r="K54" s="149">
        <f t="shared" si="77"/>
        <v>610.9</v>
      </c>
      <c r="L54" s="149">
        <f t="shared" si="77"/>
        <v>610.9</v>
      </c>
      <c r="M54" s="149">
        <f t="shared" si="78"/>
        <v>100</v>
      </c>
      <c r="N54" s="149">
        <f t="shared" si="79"/>
        <v>0</v>
      </c>
      <c r="O54" s="149">
        <f t="shared" si="79"/>
        <v>0</v>
      </c>
      <c r="P54" s="149">
        <v>0</v>
      </c>
      <c r="Q54" s="149">
        <f t="shared" si="81"/>
        <v>0</v>
      </c>
      <c r="R54" s="149">
        <f t="shared" si="81"/>
        <v>0</v>
      </c>
      <c r="S54" s="149">
        <v>0</v>
      </c>
      <c r="T54" s="149">
        <f t="shared" si="83"/>
        <v>0</v>
      </c>
      <c r="U54" s="149">
        <f t="shared" si="83"/>
        <v>0</v>
      </c>
      <c r="V54" s="149">
        <f t="shared" si="83"/>
        <v>0</v>
      </c>
      <c r="W54" s="149">
        <f t="shared" si="83"/>
        <v>435</v>
      </c>
      <c r="X54" s="149">
        <f t="shared" si="83"/>
        <v>435</v>
      </c>
      <c r="Y54" s="149">
        <f t="shared" si="83"/>
        <v>100</v>
      </c>
      <c r="Z54" s="149">
        <f t="shared" si="83"/>
        <v>0</v>
      </c>
      <c r="AA54" s="149">
        <f t="shared" si="83"/>
        <v>0</v>
      </c>
      <c r="AB54" s="149">
        <f t="shared" si="83"/>
        <v>0</v>
      </c>
      <c r="AC54" s="149">
        <f t="shared" si="83"/>
        <v>435</v>
      </c>
      <c r="AD54" s="149">
        <f t="shared" si="83"/>
        <v>435</v>
      </c>
      <c r="AE54" s="149">
        <f t="shared" si="84"/>
        <v>100</v>
      </c>
      <c r="AF54" s="149">
        <f t="shared" si="85"/>
        <v>0</v>
      </c>
      <c r="AG54" s="149">
        <f t="shared" si="85"/>
        <v>0</v>
      </c>
      <c r="AH54" s="149">
        <f t="shared" si="85"/>
        <v>0</v>
      </c>
      <c r="AI54" s="149">
        <f t="shared" si="85"/>
        <v>448.6</v>
      </c>
      <c r="AJ54" s="149">
        <f t="shared" si="85"/>
        <v>0</v>
      </c>
      <c r="AK54" s="149">
        <f t="shared" si="85"/>
        <v>0</v>
      </c>
      <c r="AL54" s="149">
        <f t="shared" si="85"/>
        <v>0</v>
      </c>
      <c r="AM54" s="149">
        <f t="shared" si="85"/>
        <v>0</v>
      </c>
      <c r="AN54" s="149">
        <f t="shared" si="85"/>
        <v>0</v>
      </c>
      <c r="AO54" s="149">
        <f t="shared" si="85"/>
        <v>103.3</v>
      </c>
      <c r="AP54" s="149">
        <f t="shared" si="85"/>
        <v>0</v>
      </c>
      <c r="AQ54" s="149">
        <f t="shared" si="85"/>
        <v>0</v>
      </c>
      <c r="AR54" s="480"/>
      <c r="AS54" s="483"/>
      <c r="AT54" s="233"/>
      <c r="AU54" s="233"/>
      <c r="AV54" s="234"/>
    </row>
    <row r="55" spans="1:50" s="246" customFormat="1" ht="24">
      <c r="A55" s="492"/>
      <c r="B55" s="496"/>
      <c r="C55" s="497"/>
      <c r="D55" s="218" t="s">
        <v>257</v>
      </c>
      <c r="E55" s="149">
        <f t="shared" si="75"/>
        <v>0</v>
      </c>
      <c r="F55" s="149">
        <f t="shared" si="75"/>
        <v>0</v>
      </c>
      <c r="G55" s="149">
        <v>0</v>
      </c>
      <c r="H55" s="149">
        <f t="shared" si="76"/>
        <v>0</v>
      </c>
      <c r="I55" s="149">
        <f t="shared" si="76"/>
        <v>0</v>
      </c>
      <c r="J55" s="149">
        <v>0</v>
      </c>
      <c r="K55" s="149">
        <f t="shared" si="77"/>
        <v>0</v>
      </c>
      <c r="L55" s="149">
        <f t="shared" si="77"/>
        <v>0</v>
      </c>
      <c r="M55" s="149">
        <v>0</v>
      </c>
      <c r="N55" s="149">
        <f t="shared" si="79"/>
        <v>0</v>
      </c>
      <c r="O55" s="149">
        <f t="shared" si="79"/>
        <v>0</v>
      </c>
      <c r="P55" s="149">
        <f>P61</f>
        <v>0</v>
      </c>
      <c r="Q55" s="149">
        <f t="shared" si="81"/>
        <v>0</v>
      </c>
      <c r="R55" s="149">
        <f t="shared" si="81"/>
        <v>0</v>
      </c>
      <c r="S55" s="149">
        <v>0</v>
      </c>
      <c r="T55" s="149">
        <f t="shared" si="83"/>
        <v>0</v>
      </c>
      <c r="U55" s="149">
        <f t="shared" si="83"/>
        <v>0</v>
      </c>
      <c r="V55" s="149">
        <f t="shared" si="83"/>
        <v>0</v>
      </c>
      <c r="W55" s="149">
        <f t="shared" si="83"/>
        <v>0</v>
      </c>
      <c r="X55" s="149">
        <f t="shared" si="83"/>
        <v>0</v>
      </c>
      <c r="Y55" s="149">
        <f t="shared" si="83"/>
        <v>0</v>
      </c>
      <c r="Z55" s="149">
        <f t="shared" si="83"/>
        <v>0</v>
      </c>
      <c r="AA55" s="149">
        <f t="shared" si="83"/>
        <v>0</v>
      </c>
      <c r="AB55" s="149">
        <f t="shared" si="83"/>
        <v>0</v>
      </c>
      <c r="AC55" s="149">
        <f t="shared" si="83"/>
        <v>0</v>
      </c>
      <c r="AD55" s="149">
        <f t="shared" si="83"/>
        <v>0</v>
      </c>
      <c r="AE55" s="149">
        <f>AE61</f>
        <v>0</v>
      </c>
      <c r="AF55" s="149">
        <f t="shared" si="85"/>
        <v>0</v>
      </c>
      <c r="AG55" s="149">
        <f t="shared" si="85"/>
        <v>0</v>
      </c>
      <c r="AH55" s="149">
        <f t="shared" si="85"/>
        <v>0</v>
      </c>
      <c r="AI55" s="149">
        <f t="shared" si="85"/>
        <v>0</v>
      </c>
      <c r="AJ55" s="149">
        <f t="shared" si="85"/>
        <v>0</v>
      </c>
      <c r="AK55" s="149">
        <f t="shared" si="85"/>
        <v>0</v>
      </c>
      <c r="AL55" s="149">
        <f t="shared" si="85"/>
        <v>0</v>
      </c>
      <c r="AM55" s="149">
        <f t="shared" si="85"/>
        <v>0</v>
      </c>
      <c r="AN55" s="149">
        <f t="shared" si="85"/>
        <v>0</v>
      </c>
      <c r="AO55" s="149">
        <f t="shared" si="85"/>
        <v>0</v>
      </c>
      <c r="AP55" s="149">
        <f t="shared" si="85"/>
        <v>0</v>
      </c>
      <c r="AQ55" s="149">
        <f t="shared" si="85"/>
        <v>0</v>
      </c>
      <c r="AR55" s="480"/>
      <c r="AS55" s="483"/>
      <c r="AT55" s="233"/>
      <c r="AU55" s="233"/>
      <c r="AV55" s="234"/>
    </row>
    <row r="56" spans="1:50" s="246" customFormat="1" ht="24">
      <c r="A56" s="493"/>
      <c r="B56" s="498"/>
      <c r="C56" s="499"/>
      <c r="D56" s="218" t="s">
        <v>467</v>
      </c>
      <c r="E56" s="149">
        <f>H56+K56+N56+Q56+T56+W56+Z56+AC56+AF56+AI56+AL56+AO56</f>
        <v>0</v>
      </c>
      <c r="F56" s="149">
        <f>I56+L56+O56+R56+U56+X56+AA56+AD56+AG56+AJ56+AM56+AP56</f>
        <v>0</v>
      </c>
      <c r="G56" s="149">
        <v>0</v>
      </c>
      <c r="H56" s="149">
        <v>0</v>
      </c>
      <c r="I56" s="149">
        <v>0</v>
      </c>
      <c r="J56" s="149">
        <v>0</v>
      </c>
      <c r="K56" s="254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226">
        <v>0</v>
      </c>
      <c r="U56" s="226">
        <v>0</v>
      </c>
      <c r="V56" s="149">
        <v>0</v>
      </c>
      <c r="W56" s="226">
        <v>0</v>
      </c>
      <c r="X56" s="226">
        <v>0</v>
      </c>
      <c r="Y56" s="226">
        <v>0</v>
      </c>
      <c r="Z56" s="226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  <c r="AF56" s="226">
        <v>0</v>
      </c>
      <c r="AG56" s="226">
        <v>0</v>
      </c>
      <c r="AH56" s="149">
        <v>0</v>
      </c>
      <c r="AI56" s="149">
        <v>0</v>
      </c>
      <c r="AJ56" s="149">
        <v>0</v>
      </c>
      <c r="AK56" s="149">
        <v>0</v>
      </c>
      <c r="AL56" s="226">
        <v>0</v>
      </c>
      <c r="AM56" s="226">
        <v>0</v>
      </c>
      <c r="AN56" s="226">
        <v>0</v>
      </c>
      <c r="AO56" s="149">
        <v>0</v>
      </c>
      <c r="AP56" s="149"/>
      <c r="AQ56" s="149"/>
      <c r="AR56" s="481"/>
      <c r="AS56" s="484"/>
      <c r="AT56" s="233"/>
      <c r="AU56" s="233"/>
      <c r="AV56" s="234"/>
    </row>
    <row r="57" spans="1:50" s="246" customFormat="1" ht="183" customHeight="1">
      <c r="A57" s="240" t="s">
        <v>7</v>
      </c>
      <c r="B57" s="143" t="s">
        <v>475</v>
      </c>
      <c r="C57" s="255" t="s">
        <v>349</v>
      </c>
      <c r="D57" s="143" t="s">
        <v>443</v>
      </c>
      <c r="E57" s="149" t="s">
        <v>279</v>
      </c>
      <c r="F57" s="149" t="s">
        <v>279</v>
      </c>
      <c r="G57" s="149" t="s">
        <v>279</v>
      </c>
      <c r="H57" s="149" t="s">
        <v>279</v>
      </c>
      <c r="I57" s="149" t="s">
        <v>279</v>
      </c>
      <c r="J57" s="149" t="s">
        <v>279</v>
      </c>
      <c r="K57" s="149" t="s">
        <v>279</v>
      </c>
      <c r="L57" s="149" t="s">
        <v>279</v>
      </c>
      <c r="M57" s="149" t="s">
        <v>279</v>
      </c>
      <c r="N57" s="149" t="s">
        <v>279</v>
      </c>
      <c r="O57" s="149" t="s">
        <v>279</v>
      </c>
      <c r="P57" s="149" t="s">
        <v>279</v>
      </c>
      <c r="Q57" s="149" t="s">
        <v>279</v>
      </c>
      <c r="R57" s="149" t="s">
        <v>279</v>
      </c>
      <c r="S57" s="149" t="s">
        <v>279</v>
      </c>
      <c r="T57" s="149" t="s">
        <v>279</v>
      </c>
      <c r="U57" s="149" t="s">
        <v>279</v>
      </c>
      <c r="V57" s="149" t="s">
        <v>279</v>
      </c>
      <c r="W57" s="149" t="s">
        <v>279</v>
      </c>
      <c r="X57" s="149" t="s">
        <v>279</v>
      </c>
      <c r="Y57" s="149" t="s">
        <v>279</v>
      </c>
      <c r="Z57" s="149" t="s">
        <v>279</v>
      </c>
      <c r="AA57" s="149" t="s">
        <v>279</v>
      </c>
      <c r="AB57" s="149" t="s">
        <v>279</v>
      </c>
      <c r="AC57" s="149" t="s">
        <v>279</v>
      </c>
      <c r="AD57" s="149" t="s">
        <v>279</v>
      </c>
      <c r="AE57" s="149" t="s">
        <v>279</v>
      </c>
      <c r="AF57" s="149" t="s">
        <v>279</v>
      </c>
      <c r="AG57" s="149" t="s">
        <v>279</v>
      </c>
      <c r="AH57" s="149" t="s">
        <v>279</v>
      </c>
      <c r="AI57" s="149" t="s">
        <v>279</v>
      </c>
      <c r="AJ57" s="149" t="s">
        <v>279</v>
      </c>
      <c r="AK57" s="149" t="s">
        <v>279</v>
      </c>
      <c r="AL57" s="149" t="s">
        <v>279</v>
      </c>
      <c r="AM57" s="149" t="s">
        <v>279</v>
      </c>
      <c r="AN57" s="149" t="s">
        <v>279</v>
      </c>
      <c r="AO57" s="149" t="s">
        <v>279</v>
      </c>
      <c r="AP57" s="149"/>
      <c r="AQ57" s="149"/>
      <c r="AR57" s="256" t="s">
        <v>502</v>
      </c>
      <c r="AS57" s="140"/>
      <c r="AT57" s="233"/>
      <c r="AU57" s="233"/>
      <c r="AV57" s="234"/>
    </row>
    <row r="58" spans="1:50" s="235" customFormat="1" ht="29.25" customHeight="1">
      <c r="A58" s="454" t="s">
        <v>8</v>
      </c>
      <c r="B58" s="488" t="s">
        <v>476</v>
      </c>
      <c r="C58" s="337" t="s">
        <v>454</v>
      </c>
      <c r="D58" s="219" t="s">
        <v>444</v>
      </c>
      <c r="E58" s="123">
        <f>SUM(E59:E61)</f>
        <v>36062.300000000003</v>
      </c>
      <c r="F58" s="123">
        <f t="shared" ref="F58" si="87">SUM(F59:F61)</f>
        <v>22311.8</v>
      </c>
      <c r="G58" s="123">
        <f>F58/E58*100</f>
        <v>61.870152486114307</v>
      </c>
      <c r="H58" s="132">
        <f>H59+H60+H61</f>
        <v>612.1</v>
      </c>
      <c r="I58" s="132">
        <f>I59+I60+I61</f>
        <v>612.1</v>
      </c>
      <c r="J58" s="123">
        <f t="shared" ref="J58:J60" si="88">I58/H58*100</f>
        <v>100</v>
      </c>
      <c r="K58" s="132">
        <f>K59+K60+K61</f>
        <v>2310.9</v>
      </c>
      <c r="L58" s="132">
        <f>L59+L60+L61</f>
        <v>2310.1999999999998</v>
      </c>
      <c r="M58" s="132">
        <f>L58/K58*100</f>
        <v>99.969708771474302</v>
      </c>
      <c r="N58" s="132">
        <f>N59+N60+N61</f>
        <v>2468</v>
      </c>
      <c r="O58" s="132">
        <f>O59+O60+O61</f>
        <v>2206</v>
      </c>
      <c r="P58" s="123">
        <f t="shared" ref="P58" si="89">O58/N58*100</f>
        <v>89.38411669367909</v>
      </c>
      <c r="Q58" s="132">
        <f>Q59+Q60+Q61</f>
        <v>3235</v>
      </c>
      <c r="R58" s="132">
        <f>R59+R60+R61</f>
        <v>3362.7</v>
      </c>
      <c r="S58" s="132">
        <f>R58/Q58*100</f>
        <v>103.94744976816072</v>
      </c>
      <c r="T58" s="132">
        <f t="shared" ref="T58:AP58" si="90">T59+T60+T61</f>
        <v>2284</v>
      </c>
      <c r="U58" s="132">
        <f t="shared" si="90"/>
        <v>2359.6</v>
      </c>
      <c r="V58" s="132">
        <f>U58/T58*100</f>
        <v>103.30998248686514</v>
      </c>
      <c r="W58" s="132">
        <f t="shared" si="90"/>
        <v>2902</v>
      </c>
      <c r="X58" s="132">
        <f t="shared" si="90"/>
        <v>2896.3</v>
      </c>
      <c r="Y58" s="132">
        <f>X58/W58*100</f>
        <v>99.803583735354934</v>
      </c>
      <c r="Z58" s="132">
        <f t="shared" si="90"/>
        <v>3531</v>
      </c>
      <c r="AA58" s="132">
        <f t="shared" si="90"/>
        <v>3504.3</v>
      </c>
      <c r="AB58" s="132">
        <f>AA58/Z58*100</f>
        <v>99.243840271877659</v>
      </c>
      <c r="AC58" s="132">
        <f t="shared" si="90"/>
        <v>2810</v>
      </c>
      <c r="AD58" s="132">
        <f t="shared" si="90"/>
        <v>2685</v>
      </c>
      <c r="AE58" s="132">
        <f>AD58/AC58*100</f>
        <v>95.55160142348754</v>
      </c>
      <c r="AF58" s="132">
        <f t="shared" si="90"/>
        <v>2632</v>
      </c>
      <c r="AG58" s="132">
        <f t="shared" si="90"/>
        <v>2375.6</v>
      </c>
      <c r="AH58" s="117">
        <f>AG58/AF58*100</f>
        <v>90.258358662613986</v>
      </c>
      <c r="AI58" s="132">
        <f t="shared" si="90"/>
        <v>3026</v>
      </c>
      <c r="AJ58" s="132">
        <f t="shared" si="90"/>
        <v>0</v>
      </c>
      <c r="AK58" s="132">
        <f t="shared" si="90"/>
        <v>0</v>
      </c>
      <c r="AL58" s="132">
        <f t="shared" si="90"/>
        <v>2526</v>
      </c>
      <c r="AM58" s="132">
        <f t="shared" si="90"/>
        <v>0</v>
      </c>
      <c r="AN58" s="132">
        <f>AN59+AN60+AN61</f>
        <v>0</v>
      </c>
      <c r="AO58" s="132">
        <f t="shared" si="90"/>
        <v>7725.3</v>
      </c>
      <c r="AP58" s="132">
        <f t="shared" si="90"/>
        <v>0</v>
      </c>
      <c r="AQ58" s="123">
        <f>AP58/AO58*100</f>
        <v>0</v>
      </c>
      <c r="AR58" s="419" t="s">
        <v>503</v>
      </c>
      <c r="AS58" s="337"/>
      <c r="AT58" s="233"/>
      <c r="AU58" s="233"/>
      <c r="AV58" s="234"/>
      <c r="AX58" s="233"/>
    </row>
    <row r="59" spans="1:50" s="235" customFormat="1" ht="69" customHeight="1">
      <c r="A59" s="455"/>
      <c r="B59" s="489"/>
      <c r="C59" s="338"/>
      <c r="D59" s="220" t="s">
        <v>442</v>
      </c>
      <c r="E59" s="123">
        <f>H59+K59+N59+Q59+T59+W59+Z59+AC59+AF59+AI59+AL59+AO59</f>
        <v>33417.4</v>
      </c>
      <c r="F59" s="123">
        <f>I59+L59+O59+R59+U59+X59+AA59+AD59+AG59+AJ59+AM59+AP59</f>
        <v>20218.8</v>
      </c>
      <c r="G59" s="123">
        <f>F59/E59*100</f>
        <v>60.503809392711574</v>
      </c>
      <c r="H59" s="123">
        <v>0</v>
      </c>
      <c r="I59" s="123">
        <v>0</v>
      </c>
      <c r="J59" s="123">
        <v>0</v>
      </c>
      <c r="K59" s="132">
        <v>1700</v>
      </c>
      <c r="L59" s="123">
        <v>1699.3</v>
      </c>
      <c r="M59" s="243">
        <f>L59/K59*100</f>
        <v>99.958823529411774</v>
      </c>
      <c r="N59" s="123">
        <v>2468</v>
      </c>
      <c r="O59" s="123">
        <v>2206</v>
      </c>
      <c r="P59" s="123">
        <f>O59/N59*100</f>
        <v>89.38411669367909</v>
      </c>
      <c r="Q59" s="123">
        <v>3235</v>
      </c>
      <c r="R59" s="123">
        <v>3362.7</v>
      </c>
      <c r="S59" s="132">
        <f t="shared" ref="S59" si="91">R59/Q59*100</f>
        <v>103.94744976816072</v>
      </c>
      <c r="T59" s="117">
        <v>2284</v>
      </c>
      <c r="U59" s="117">
        <v>2359.6</v>
      </c>
      <c r="V59" s="132">
        <f t="shared" ref="V59" si="92">U59/T59*100</f>
        <v>103.30998248686514</v>
      </c>
      <c r="W59" s="117">
        <v>2467</v>
      </c>
      <c r="X59" s="117">
        <v>2461.3000000000002</v>
      </c>
      <c r="Y59" s="117">
        <f>X59/W59*100</f>
        <v>99.768950141872722</v>
      </c>
      <c r="Z59" s="117">
        <v>3531</v>
      </c>
      <c r="AA59" s="117">
        <v>3504.3</v>
      </c>
      <c r="AB59" s="117">
        <f>AA59/Z59*100</f>
        <v>99.243840271877659</v>
      </c>
      <c r="AC59" s="117">
        <v>2375</v>
      </c>
      <c r="AD59" s="117">
        <v>2250</v>
      </c>
      <c r="AE59" s="117">
        <f>AD59/AC59*100</f>
        <v>94.73684210526315</v>
      </c>
      <c r="AF59" s="117">
        <v>2632</v>
      </c>
      <c r="AG59" s="117">
        <v>2375.6</v>
      </c>
      <c r="AH59" s="117">
        <f>AG59/AF59*100</f>
        <v>90.258358662613986</v>
      </c>
      <c r="AI59" s="123">
        <v>2577.4</v>
      </c>
      <c r="AJ59" s="123">
        <v>0</v>
      </c>
      <c r="AK59" s="123">
        <f>AJ59/AI59*100</f>
        <v>0</v>
      </c>
      <c r="AL59" s="117">
        <v>2526</v>
      </c>
      <c r="AM59" s="117">
        <v>0</v>
      </c>
      <c r="AN59" s="117">
        <f>AM59/AL59*100</f>
        <v>0</v>
      </c>
      <c r="AO59" s="123">
        <f>6857.1+764.9</f>
        <v>7622</v>
      </c>
      <c r="AP59" s="123">
        <v>0</v>
      </c>
      <c r="AQ59" s="123">
        <f>AP59/AO59*100</f>
        <v>0</v>
      </c>
      <c r="AR59" s="420"/>
      <c r="AS59" s="338"/>
      <c r="AT59" s="233"/>
      <c r="AU59" s="233"/>
      <c r="AV59" s="234"/>
      <c r="AX59" s="233"/>
    </row>
    <row r="60" spans="1:50" s="235" customFormat="1" ht="33.75" customHeight="1">
      <c r="A60" s="455"/>
      <c r="B60" s="489"/>
      <c r="C60" s="338"/>
      <c r="D60" s="220" t="s">
        <v>462</v>
      </c>
      <c r="E60" s="123">
        <f t="shared" ref="E60:F61" si="93">H60+K60+N60+Q60+T60+W60+Z60+AC60+AF60+AI60+AL60+AO60</f>
        <v>2644.9</v>
      </c>
      <c r="F60" s="123">
        <f t="shared" si="93"/>
        <v>2093</v>
      </c>
      <c r="G60" s="123">
        <f>F60/E60*100</f>
        <v>79.133426594578239</v>
      </c>
      <c r="H60" s="123">
        <f>823-210.9</f>
        <v>612.1</v>
      </c>
      <c r="I60" s="123">
        <v>612.1</v>
      </c>
      <c r="J60" s="123">
        <f t="shared" si="88"/>
        <v>100</v>
      </c>
      <c r="K60" s="132">
        <f>400+210.9</f>
        <v>610.9</v>
      </c>
      <c r="L60" s="123">
        <v>610.9</v>
      </c>
      <c r="M60" s="243">
        <f t="shared" ref="M60" si="94">L60/K60*100</f>
        <v>100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32">
        <v>0</v>
      </c>
      <c r="T60" s="117">
        <v>0</v>
      </c>
      <c r="U60" s="117">
        <v>0</v>
      </c>
      <c r="V60" s="132">
        <v>0</v>
      </c>
      <c r="W60" s="117">
        <v>435</v>
      </c>
      <c r="X60" s="117">
        <v>435</v>
      </c>
      <c r="Y60" s="117">
        <f>X60/W60*100</f>
        <v>100</v>
      </c>
      <c r="Z60" s="117">
        <v>0</v>
      </c>
      <c r="AA60" s="117">
        <v>0</v>
      </c>
      <c r="AB60" s="117">
        <v>0</v>
      </c>
      <c r="AC60" s="117">
        <v>435</v>
      </c>
      <c r="AD60" s="117">
        <v>435</v>
      </c>
      <c r="AE60" s="117">
        <f>AD60/AC60*100</f>
        <v>100</v>
      </c>
      <c r="AF60" s="117">
        <v>0</v>
      </c>
      <c r="AG60" s="117">
        <v>0</v>
      </c>
      <c r="AH60" s="117">
        <v>0</v>
      </c>
      <c r="AI60" s="123">
        <v>448.6</v>
      </c>
      <c r="AJ60" s="123">
        <v>0</v>
      </c>
      <c r="AK60" s="123">
        <v>0</v>
      </c>
      <c r="AL60" s="117">
        <v>0</v>
      </c>
      <c r="AM60" s="117">
        <v>0</v>
      </c>
      <c r="AN60" s="117">
        <v>0</v>
      </c>
      <c r="AO60" s="123">
        <v>103.3</v>
      </c>
      <c r="AP60" s="123">
        <v>0</v>
      </c>
      <c r="AQ60" s="123">
        <f>AP60/AO60*100</f>
        <v>0</v>
      </c>
      <c r="AR60" s="420"/>
      <c r="AS60" s="338"/>
      <c r="AT60" s="233"/>
      <c r="AU60" s="233"/>
      <c r="AV60" s="234"/>
      <c r="AX60" s="233"/>
    </row>
    <row r="61" spans="1:50" s="235" customFormat="1" ht="41.25" customHeight="1">
      <c r="A61" s="455"/>
      <c r="B61" s="489"/>
      <c r="C61" s="338"/>
      <c r="D61" s="143" t="s">
        <v>257</v>
      </c>
      <c r="E61" s="123">
        <f t="shared" si="93"/>
        <v>0</v>
      </c>
      <c r="F61" s="123">
        <f t="shared" si="93"/>
        <v>0</v>
      </c>
      <c r="G61" s="123">
        <v>0</v>
      </c>
      <c r="H61" s="123">
        <v>0</v>
      </c>
      <c r="I61" s="123">
        <v>0</v>
      </c>
      <c r="J61" s="123">
        <v>0</v>
      </c>
      <c r="K61" s="132">
        <v>0</v>
      </c>
      <c r="L61" s="123">
        <v>0</v>
      </c>
      <c r="M61" s="123">
        <v>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243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23">
        <v>0</v>
      </c>
      <c r="AJ61" s="123">
        <v>0</v>
      </c>
      <c r="AK61" s="123">
        <v>0</v>
      </c>
      <c r="AL61" s="117">
        <v>0</v>
      </c>
      <c r="AM61" s="117">
        <v>0</v>
      </c>
      <c r="AN61" s="117">
        <v>0</v>
      </c>
      <c r="AO61" s="123">
        <v>0</v>
      </c>
      <c r="AP61" s="123">
        <v>0</v>
      </c>
      <c r="AQ61" s="123">
        <v>0</v>
      </c>
      <c r="AR61" s="420"/>
      <c r="AS61" s="338"/>
      <c r="AT61" s="233"/>
      <c r="AU61" s="233"/>
      <c r="AV61" s="234"/>
      <c r="AX61" s="233"/>
    </row>
    <row r="62" spans="1:50" s="235" customFormat="1" ht="57" customHeight="1">
      <c r="A62" s="456"/>
      <c r="B62" s="490"/>
      <c r="C62" s="339"/>
      <c r="D62" s="143" t="s">
        <v>467</v>
      </c>
      <c r="E62" s="123">
        <f>H62+K62+N62+Q62+T62+W62+Z62+AC62+AF62+AI62+AL62+AO62</f>
        <v>0</v>
      </c>
      <c r="F62" s="123">
        <f>I62+L62+O62+R62+U62+X62+AA62+AD62+AG62+AJ62+AM62+AP62</f>
        <v>0</v>
      </c>
      <c r="G62" s="123">
        <v>0</v>
      </c>
      <c r="H62" s="123">
        <v>0</v>
      </c>
      <c r="I62" s="123">
        <v>0</v>
      </c>
      <c r="J62" s="123">
        <v>0</v>
      </c>
      <c r="K62" s="132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17">
        <v>0</v>
      </c>
      <c r="U62" s="117">
        <v>0</v>
      </c>
      <c r="V62" s="123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23">
        <v>0</v>
      </c>
      <c r="AI62" s="123">
        <v>0</v>
      </c>
      <c r="AJ62" s="123">
        <v>0</v>
      </c>
      <c r="AK62" s="123">
        <v>0</v>
      </c>
      <c r="AL62" s="117">
        <v>0</v>
      </c>
      <c r="AM62" s="117">
        <v>0</v>
      </c>
      <c r="AN62" s="117">
        <v>0</v>
      </c>
      <c r="AO62" s="123">
        <v>0</v>
      </c>
      <c r="AP62" s="123">
        <v>0</v>
      </c>
      <c r="AQ62" s="123">
        <v>0</v>
      </c>
      <c r="AR62" s="421"/>
      <c r="AS62" s="339"/>
      <c r="AT62" s="233"/>
      <c r="AU62" s="233"/>
      <c r="AV62" s="234"/>
    </row>
    <row r="63" spans="1:50" s="246" customFormat="1" ht="12.75" customHeight="1">
      <c r="A63" s="491" t="s">
        <v>477</v>
      </c>
      <c r="B63" s="494" t="s">
        <v>448</v>
      </c>
      <c r="C63" s="495"/>
      <c r="D63" s="216" t="s">
        <v>444</v>
      </c>
      <c r="E63" s="149">
        <f>E64+E65+E66</f>
        <v>599.4</v>
      </c>
      <c r="F63" s="149">
        <f t="shared" ref="F63:AQ63" si="95">F64+F65+F66</f>
        <v>340</v>
      </c>
      <c r="G63" s="149">
        <f>F63/E63*100</f>
        <v>56.723390056723389</v>
      </c>
      <c r="H63" s="149">
        <f t="shared" si="95"/>
        <v>38.6</v>
      </c>
      <c r="I63" s="149">
        <f t="shared" si="95"/>
        <v>38.6</v>
      </c>
      <c r="J63" s="149">
        <f>I63/H63*100</f>
        <v>100</v>
      </c>
      <c r="K63" s="149">
        <f t="shared" si="95"/>
        <v>130</v>
      </c>
      <c r="L63" s="149">
        <f t="shared" si="95"/>
        <v>106.1</v>
      </c>
      <c r="M63" s="149">
        <f>L63/K63*100</f>
        <v>81.615384615384613</v>
      </c>
      <c r="N63" s="149">
        <f t="shared" si="95"/>
        <v>84.9</v>
      </c>
      <c r="O63" s="149">
        <f t="shared" si="95"/>
        <v>18.5</v>
      </c>
      <c r="P63" s="149">
        <f>O63/N63*100</f>
        <v>21.790341578327443</v>
      </c>
      <c r="Q63" s="149">
        <f t="shared" si="95"/>
        <v>100</v>
      </c>
      <c r="R63" s="149">
        <f t="shared" si="95"/>
        <v>0</v>
      </c>
      <c r="S63" s="149">
        <f t="shared" ref="F63:AQ66" si="96">S70</f>
        <v>0</v>
      </c>
      <c r="T63" s="149">
        <f t="shared" si="95"/>
        <v>73</v>
      </c>
      <c r="U63" s="149">
        <f t="shared" si="95"/>
        <v>0</v>
      </c>
      <c r="V63" s="149">
        <f t="shared" si="95"/>
        <v>0</v>
      </c>
      <c r="W63" s="149">
        <f t="shared" si="95"/>
        <v>0</v>
      </c>
      <c r="X63" s="149">
        <f t="shared" si="95"/>
        <v>0</v>
      </c>
      <c r="Y63" s="149">
        <f t="shared" si="95"/>
        <v>0</v>
      </c>
      <c r="Z63" s="149">
        <f t="shared" si="95"/>
        <v>0</v>
      </c>
      <c r="AA63" s="149">
        <f t="shared" si="95"/>
        <v>0</v>
      </c>
      <c r="AB63" s="149">
        <f t="shared" si="95"/>
        <v>0</v>
      </c>
      <c r="AC63" s="149">
        <f t="shared" si="95"/>
        <v>28</v>
      </c>
      <c r="AD63" s="149">
        <f t="shared" si="95"/>
        <v>51.7</v>
      </c>
      <c r="AE63" s="149">
        <f t="shared" si="95"/>
        <v>184.64285714285717</v>
      </c>
      <c r="AF63" s="149">
        <f t="shared" si="95"/>
        <v>58.5</v>
      </c>
      <c r="AG63" s="149">
        <f t="shared" si="95"/>
        <v>125.1</v>
      </c>
      <c r="AH63" s="149">
        <f t="shared" si="95"/>
        <v>213.84615384615384</v>
      </c>
      <c r="AI63" s="149">
        <f t="shared" si="95"/>
        <v>86.4</v>
      </c>
      <c r="AJ63" s="149">
        <f t="shared" si="95"/>
        <v>0</v>
      </c>
      <c r="AK63" s="149">
        <f t="shared" si="95"/>
        <v>0</v>
      </c>
      <c r="AL63" s="149">
        <f t="shared" si="95"/>
        <v>0</v>
      </c>
      <c r="AM63" s="149">
        <f t="shared" si="95"/>
        <v>0</v>
      </c>
      <c r="AN63" s="149">
        <f t="shared" si="95"/>
        <v>0</v>
      </c>
      <c r="AO63" s="149">
        <f t="shared" si="95"/>
        <v>0</v>
      </c>
      <c r="AP63" s="149">
        <f t="shared" si="95"/>
        <v>0</v>
      </c>
      <c r="AQ63" s="149">
        <f t="shared" si="95"/>
        <v>0</v>
      </c>
      <c r="AR63" s="479"/>
      <c r="AS63" s="482"/>
      <c r="AT63" s="233"/>
      <c r="AU63" s="233"/>
      <c r="AV63" s="234"/>
    </row>
    <row r="64" spans="1:50" s="246" customFormat="1" ht="48">
      <c r="A64" s="492"/>
      <c r="B64" s="496"/>
      <c r="C64" s="497"/>
      <c r="D64" s="217" t="s">
        <v>442</v>
      </c>
      <c r="E64" s="149">
        <f>E71</f>
        <v>0</v>
      </c>
      <c r="F64" s="149">
        <f t="shared" si="96"/>
        <v>0</v>
      </c>
      <c r="G64" s="149">
        <v>0</v>
      </c>
      <c r="H64" s="149">
        <f t="shared" si="96"/>
        <v>0</v>
      </c>
      <c r="I64" s="149">
        <f t="shared" si="96"/>
        <v>0</v>
      </c>
      <c r="J64" s="149">
        <v>0</v>
      </c>
      <c r="K64" s="149">
        <f t="shared" si="96"/>
        <v>0</v>
      </c>
      <c r="L64" s="149">
        <f t="shared" si="96"/>
        <v>0</v>
      </c>
      <c r="M64" s="149">
        <v>0</v>
      </c>
      <c r="N64" s="149">
        <f t="shared" si="96"/>
        <v>0</v>
      </c>
      <c r="O64" s="149">
        <f t="shared" si="96"/>
        <v>0</v>
      </c>
      <c r="P64" s="149">
        <v>0</v>
      </c>
      <c r="Q64" s="149">
        <f t="shared" si="96"/>
        <v>0</v>
      </c>
      <c r="R64" s="149">
        <f t="shared" si="96"/>
        <v>0</v>
      </c>
      <c r="S64" s="149">
        <f t="shared" si="96"/>
        <v>0</v>
      </c>
      <c r="T64" s="149">
        <f t="shared" si="96"/>
        <v>0</v>
      </c>
      <c r="U64" s="149">
        <f t="shared" si="96"/>
        <v>0</v>
      </c>
      <c r="V64" s="149">
        <f t="shared" si="96"/>
        <v>0</v>
      </c>
      <c r="W64" s="149">
        <f t="shared" si="96"/>
        <v>0</v>
      </c>
      <c r="X64" s="149">
        <f t="shared" si="96"/>
        <v>0</v>
      </c>
      <c r="Y64" s="149">
        <f t="shared" si="96"/>
        <v>0</v>
      </c>
      <c r="Z64" s="149">
        <f t="shared" si="96"/>
        <v>0</v>
      </c>
      <c r="AA64" s="149">
        <f t="shared" si="96"/>
        <v>0</v>
      </c>
      <c r="AB64" s="149">
        <f t="shared" si="96"/>
        <v>0</v>
      </c>
      <c r="AC64" s="149">
        <f t="shared" si="96"/>
        <v>0</v>
      </c>
      <c r="AD64" s="149">
        <f t="shared" si="96"/>
        <v>0</v>
      </c>
      <c r="AE64" s="149">
        <f t="shared" si="96"/>
        <v>0</v>
      </c>
      <c r="AF64" s="149">
        <f t="shared" si="96"/>
        <v>0</v>
      </c>
      <c r="AG64" s="149">
        <f t="shared" si="96"/>
        <v>0</v>
      </c>
      <c r="AH64" s="149">
        <f t="shared" si="96"/>
        <v>0</v>
      </c>
      <c r="AI64" s="149">
        <f t="shared" si="96"/>
        <v>0</v>
      </c>
      <c r="AJ64" s="149">
        <f t="shared" si="96"/>
        <v>0</v>
      </c>
      <c r="AK64" s="149">
        <f t="shared" si="96"/>
        <v>0</v>
      </c>
      <c r="AL64" s="149">
        <f t="shared" si="96"/>
        <v>0</v>
      </c>
      <c r="AM64" s="149">
        <f t="shared" si="96"/>
        <v>0</v>
      </c>
      <c r="AN64" s="149">
        <f t="shared" si="96"/>
        <v>0</v>
      </c>
      <c r="AO64" s="149">
        <f t="shared" si="96"/>
        <v>0</v>
      </c>
      <c r="AP64" s="149">
        <f t="shared" si="96"/>
        <v>0</v>
      </c>
      <c r="AQ64" s="149">
        <f t="shared" si="96"/>
        <v>0</v>
      </c>
      <c r="AR64" s="480"/>
      <c r="AS64" s="483"/>
      <c r="AT64" s="233"/>
      <c r="AU64" s="233"/>
      <c r="AV64" s="234"/>
    </row>
    <row r="65" spans="1:50" s="246" customFormat="1" ht="12.75">
      <c r="A65" s="492"/>
      <c r="B65" s="496"/>
      <c r="C65" s="497"/>
      <c r="D65" s="217" t="s">
        <v>462</v>
      </c>
      <c r="E65" s="149">
        <f>E72</f>
        <v>599.4</v>
      </c>
      <c r="F65" s="149">
        <f t="shared" si="96"/>
        <v>340</v>
      </c>
      <c r="G65" s="149">
        <f>F65/E65*100</f>
        <v>56.723390056723389</v>
      </c>
      <c r="H65" s="149">
        <f t="shared" si="96"/>
        <v>38.6</v>
      </c>
      <c r="I65" s="149">
        <f t="shared" si="96"/>
        <v>38.6</v>
      </c>
      <c r="J65" s="149">
        <f>I65/H65*100</f>
        <v>100</v>
      </c>
      <c r="K65" s="149">
        <f t="shared" si="96"/>
        <v>130</v>
      </c>
      <c r="L65" s="149">
        <f t="shared" si="96"/>
        <v>106.1</v>
      </c>
      <c r="M65" s="149">
        <f>L65/K65*100</f>
        <v>81.615384615384613</v>
      </c>
      <c r="N65" s="149">
        <f t="shared" si="96"/>
        <v>84.9</v>
      </c>
      <c r="O65" s="149">
        <f t="shared" si="96"/>
        <v>18.5</v>
      </c>
      <c r="P65" s="149">
        <f>O65/N65*100</f>
        <v>21.790341578327443</v>
      </c>
      <c r="Q65" s="149">
        <f t="shared" si="96"/>
        <v>100</v>
      </c>
      <c r="R65" s="149">
        <f t="shared" si="96"/>
        <v>0</v>
      </c>
      <c r="S65" s="149">
        <f t="shared" si="96"/>
        <v>0</v>
      </c>
      <c r="T65" s="149">
        <f t="shared" si="96"/>
        <v>73</v>
      </c>
      <c r="U65" s="149">
        <f t="shared" si="96"/>
        <v>0</v>
      </c>
      <c r="V65" s="149">
        <f t="shared" si="96"/>
        <v>0</v>
      </c>
      <c r="W65" s="149">
        <f t="shared" si="96"/>
        <v>0</v>
      </c>
      <c r="X65" s="149">
        <f t="shared" si="96"/>
        <v>0</v>
      </c>
      <c r="Y65" s="149">
        <f t="shared" si="96"/>
        <v>0</v>
      </c>
      <c r="Z65" s="149">
        <f t="shared" si="96"/>
        <v>0</v>
      </c>
      <c r="AA65" s="149">
        <f t="shared" si="96"/>
        <v>0</v>
      </c>
      <c r="AB65" s="149">
        <f t="shared" si="96"/>
        <v>0</v>
      </c>
      <c r="AC65" s="149">
        <f t="shared" si="96"/>
        <v>28</v>
      </c>
      <c r="AD65" s="149">
        <f t="shared" si="96"/>
        <v>51.7</v>
      </c>
      <c r="AE65" s="149">
        <f t="shared" si="96"/>
        <v>184.64285714285717</v>
      </c>
      <c r="AF65" s="149">
        <f t="shared" si="96"/>
        <v>58.5</v>
      </c>
      <c r="AG65" s="149">
        <f t="shared" si="96"/>
        <v>125.1</v>
      </c>
      <c r="AH65" s="149">
        <f t="shared" si="96"/>
        <v>213.84615384615384</v>
      </c>
      <c r="AI65" s="149">
        <f>AI72</f>
        <v>86.4</v>
      </c>
      <c r="AJ65" s="149">
        <f t="shared" si="96"/>
        <v>0</v>
      </c>
      <c r="AK65" s="149">
        <f t="shared" si="96"/>
        <v>0</v>
      </c>
      <c r="AL65" s="149">
        <f t="shared" si="96"/>
        <v>0</v>
      </c>
      <c r="AM65" s="149">
        <f t="shared" si="96"/>
        <v>0</v>
      </c>
      <c r="AN65" s="149">
        <f t="shared" si="96"/>
        <v>0</v>
      </c>
      <c r="AO65" s="149">
        <f t="shared" si="96"/>
        <v>0</v>
      </c>
      <c r="AP65" s="149">
        <f t="shared" si="96"/>
        <v>0</v>
      </c>
      <c r="AQ65" s="149">
        <f t="shared" si="96"/>
        <v>0</v>
      </c>
      <c r="AR65" s="480"/>
      <c r="AS65" s="483"/>
      <c r="AT65" s="233"/>
      <c r="AU65" s="233"/>
      <c r="AV65" s="234"/>
    </row>
    <row r="66" spans="1:50" s="246" customFormat="1" ht="24">
      <c r="A66" s="492"/>
      <c r="B66" s="496"/>
      <c r="C66" s="497"/>
      <c r="D66" s="218" t="s">
        <v>257</v>
      </c>
      <c r="E66" s="149">
        <f>E73</f>
        <v>0</v>
      </c>
      <c r="F66" s="149">
        <f t="shared" si="96"/>
        <v>0</v>
      </c>
      <c r="G66" s="149">
        <v>0</v>
      </c>
      <c r="H66" s="149">
        <f t="shared" si="96"/>
        <v>0</v>
      </c>
      <c r="I66" s="149">
        <f t="shared" si="96"/>
        <v>0</v>
      </c>
      <c r="J66" s="149">
        <f t="shared" si="96"/>
        <v>0</v>
      </c>
      <c r="K66" s="149">
        <f t="shared" si="96"/>
        <v>0</v>
      </c>
      <c r="L66" s="149">
        <f t="shared" si="96"/>
        <v>0</v>
      </c>
      <c r="M66" s="149">
        <v>0</v>
      </c>
      <c r="N66" s="149">
        <f t="shared" si="96"/>
        <v>0</v>
      </c>
      <c r="O66" s="149">
        <f t="shared" si="96"/>
        <v>0</v>
      </c>
      <c r="P66" s="149">
        <f t="shared" si="96"/>
        <v>0</v>
      </c>
      <c r="Q66" s="149">
        <f t="shared" si="96"/>
        <v>0</v>
      </c>
      <c r="R66" s="149">
        <f t="shared" si="96"/>
        <v>0</v>
      </c>
      <c r="S66" s="149">
        <f t="shared" si="96"/>
        <v>0</v>
      </c>
      <c r="T66" s="149">
        <f t="shared" si="96"/>
        <v>0</v>
      </c>
      <c r="U66" s="149">
        <f t="shared" si="96"/>
        <v>0</v>
      </c>
      <c r="V66" s="149">
        <f t="shared" si="96"/>
        <v>0</v>
      </c>
      <c r="W66" s="149">
        <f t="shared" si="96"/>
        <v>0</v>
      </c>
      <c r="X66" s="149">
        <f t="shared" si="96"/>
        <v>0</v>
      </c>
      <c r="Y66" s="149">
        <f t="shared" si="96"/>
        <v>0</v>
      </c>
      <c r="Z66" s="149">
        <f t="shared" si="96"/>
        <v>0</v>
      </c>
      <c r="AA66" s="149">
        <f t="shared" si="96"/>
        <v>0</v>
      </c>
      <c r="AB66" s="149">
        <f t="shared" si="96"/>
        <v>0</v>
      </c>
      <c r="AC66" s="149">
        <f t="shared" si="96"/>
        <v>0</v>
      </c>
      <c r="AD66" s="149">
        <f t="shared" si="96"/>
        <v>0</v>
      </c>
      <c r="AE66" s="149">
        <f t="shared" si="96"/>
        <v>0</v>
      </c>
      <c r="AF66" s="149">
        <f t="shared" si="96"/>
        <v>0</v>
      </c>
      <c r="AG66" s="149">
        <f t="shared" si="96"/>
        <v>0</v>
      </c>
      <c r="AH66" s="149">
        <f t="shared" si="96"/>
        <v>0</v>
      </c>
      <c r="AI66" s="149">
        <f t="shared" si="96"/>
        <v>0</v>
      </c>
      <c r="AJ66" s="149">
        <f t="shared" si="96"/>
        <v>0</v>
      </c>
      <c r="AK66" s="149">
        <f t="shared" si="96"/>
        <v>0</v>
      </c>
      <c r="AL66" s="149">
        <f t="shared" si="96"/>
        <v>0</v>
      </c>
      <c r="AM66" s="149">
        <f t="shared" si="96"/>
        <v>0</v>
      </c>
      <c r="AN66" s="149">
        <f t="shared" si="96"/>
        <v>0</v>
      </c>
      <c r="AO66" s="149">
        <f t="shared" si="96"/>
        <v>0</v>
      </c>
      <c r="AP66" s="149">
        <f t="shared" si="96"/>
        <v>0</v>
      </c>
      <c r="AQ66" s="149">
        <f t="shared" si="96"/>
        <v>0</v>
      </c>
      <c r="AR66" s="480"/>
      <c r="AS66" s="483"/>
      <c r="AT66" s="233"/>
      <c r="AU66" s="233"/>
      <c r="AV66" s="234"/>
    </row>
    <row r="67" spans="1:50" s="246" customFormat="1" ht="24">
      <c r="A67" s="493"/>
      <c r="B67" s="498"/>
      <c r="C67" s="499"/>
      <c r="D67" s="218" t="s">
        <v>467</v>
      </c>
      <c r="E67" s="149">
        <f>H67+K67+N67+Q67+T67+W67+Z67+AC67+AF67+AI67+AL67+AO67</f>
        <v>0</v>
      </c>
      <c r="F67" s="149">
        <f>I67+L67+O67+R67+U67+X67+AA67+AD67+AG67+AJ67+AM67+AP67</f>
        <v>0</v>
      </c>
      <c r="G67" s="149">
        <v>0</v>
      </c>
      <c r="H67" s="149">
        <v>0</v>
      </c>
      <c r="I67" s="149">
        <v>0</v>
      </c>
      <c r="J67" s="149">
        <v>0</v>
      </c>
      <c r="K67" s="254">
        <v>0</v>
      </c>
      <c r="L67" s="149">
        <v>0</v>
      </c>
      <c r="M67" s="149">
        <v>0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226">
        <v>0</v>
      </c>
      <c r="U67" s="226">
        <v>0</v>
      </c>
      <c r="V67" s="149">
        <v>0</v>
      </c>
      <c r="W67" s="226">
        <v>0</v>
      </c>
      <c r="X67" s="226">
        <v>0</v>
      </c>
      <c r="Y67" s="226">
        <v>0</v>
      </c>
      <c r="Z67" s="226">
        <v>0</v>
      </c>
      <c r="AA67" s="226">
        <v>0</v>
      </c>
      <c r="AB67" s="226">
        <v>0</v>
      </c>
      <c r="AC67" s="226">
        <v>0</v>
      </c>
      <c r="AD67" s="226">
        <v>0</v>
      </c>
      <c r="AE67" s="226">
        <v>0</v>
      </c>
      <c r="AF67" s="226">
        <v>0</v>
      </c>
      <c r="AG67" s="226">
        <v>0</v>
      </c>
      <c r="AH67" s="149">
        <v>0</v>
      </c>
      <c r="AI67" s="149">
        <v>0</v>
      </c>
      <c r="AJ67" s="149">
        <v>0</v>
      </c>
      <c r="AK67" s="149">
        <v>0</v>
      </c>
      <c r="AL67" s="226">
        <v>0</v>
      </c>
      <c r="AM67" s="226">
        <v>0</v>
      </c>
      <c r="AN67" s="226">
        <v>0</v>
      </c>
      <c r="AO67" s="149">
        <v>0</v>
      </c>
      <c r="AP67" s="149"/>
      <c r="AQ67" s="149"/>
      <c r="AR67" s="481"/>
      <c r="AS67" s="484"/>
      <c r="AT67" s="233"/>
      <c r="AU67" s="233"/>
      <c r="AV67" s="234"/>
    </row>
    <row r="68" spans="1:50" s="246" customFormat="1" ht="96">
      <c r="A68" s="223" t="s">
        <v>17</v>
      </c>
      <c r="B68" s="143" t="s">
        <v>480</v>
      </c>
      <c r="C68" s="255" t="s">
        <v>492</v>
      </c>
      <c r="D68" s="143" t="s">
        <v>443</v>
      </c>
      <c r="E68" s="149" t="s">
        <v>279</v>
      </c>
      <c r="F68" s="149" t="s">
        <v>279</v>
      </c>
      <c r="G68" s="149" t="s">
        <v>279</v>
      </c>
      <c r="H68" s="149" t="s">
        <v>279</v>
      </c>
      <c r="I68" s="149" t="s">
        <v>279</v>
      </c>
      <c r="J68" s="149" t="s">
        <v>279</v>
      </c>
      <c r="K68" s="149" t="s">
        <v>279</v>
      </c>
      <c r="L68" s="149" t="s">
        <v>279</v>
      </c>
      <c r="M68" s="149" t="s">
        <v>279</v>
      </c>
      <c r="N68" s="149" t="s">
        <v>279</v>
      </c>
      <c r="O68" s="149" t="s">
        <v>279</v>
      </c>
      <c r="P68" s="149" t="s">
        <v>279</v>
      </c>
      <c r="Q68" s="149" t="s">
        <v>279</v>
      </c>
      <c r="R68" s="149" t="s">
        <v>279</v>
      </c>
      <c r="S68" s="149" t="s">
        <v>279</v>
      </c>
      <c r="T68" s="149" t="s">
        <v>279</v>
      </c>
      <c r="U68" s="149" t="s">
        <v>279</v>
      </c>
      <c r="V68" s="149" t="s">
        <v>279</v>
      </c>
      <c r="W68" s="149" t="s">
        <v>279</v>
      </c>
      <c r="X68" s="149" t="s">
        <v>279</v>
      </c>
      <c r="Y68" s="149" t="s">
        <v>279</v>
      </c>
      <c r="Z68" s="149" t="s">
        <v>279</v>
      </c>
      <c r="AA68" s="149" t="s">
        <v>279</v>
      </c>
      <c r="AB68" s="149" t="s">
        <v>279</v>
      </c>
      <c r="AC68" s="149" t="s">
        <v>279</v>
      </c>
      <c r="AD68" s="149" t="s">
        <v>279</v>
      </c>
      <c r="AE68" s="149" t="s">
        <v>279</v>
      </c>
      <c r="AF68" s="149" t="s">
        <v>279</v>
      </c>
      <c r="AG68" s="149" t="s">
        <v>279</v>
      </c>
      <c r="AH68" s="149" t="s">
        <v>279</v>
      </c>
      <c r="AI68" s="149" t="s">
        <v>279</v>
      </c>
      <c r="AJ68" s="149" t="s">
        <v>279</v>
      </c>
      <c r="AK68" s="149" t="s">
        <v>279</v>
      </c>
      <c r="AL68" s="149" t="s">
        <v>279</v>
      </c>
      <c r="AM68" s="149" t="s">
        <v>279</v>
      </c>
      <c r="AN68" s="149" t="s">
        <v>279</v>
      </c>
      <c r="AO68" s="149" t="s">
        <v>279</v>
      </c>
      <c r="AP68" s="149" t="s">
        <v>279</v>
      </c>
      <c r="AQ68" s="149" t="s">
        <v>279</v>
      </c>
      <c r="AR68" s="257" t="s">
        <v>501</v>
      </c>
      <c r="AS68" s="139"/>
      <c r="AT68" s="233"/>
      <c r="AU68" s="233"/>
      <c r="AV68" s="234"/>
    </row>
    <row r="69" spans="1:50" s="246" customFormat="1" ht="48">
      <c r="A69" s="240" t="s">
        <v>478</v>
      </c>
      <c r="B69" s="143" t="s">
        <v>481</v>
      </c>
      <c r="C69" s="255" t="s">
        <v>492</v>
      </c>
      <c r="D69" s="143" t="s">
        <v>443</v>
      </c>
      <c r="E69" s="149" t="s">
        <v>279</v>
      </c>
      <c r="F69" s="149" t="s">
        <v>279</v>
      </c>
      <c r="G69" s="149" t="s">
        <v>279</v>
      </c>
      <c r="H69" s="149" t="s">
        <v>279</v>
      </c>
      <c r="I69" s="149" t="s">
        <v>279</v>
      </c>
      <c r="J69" s="149" t="s">
        <v>279</v>
      </c>
      <c r="K69" s="149" t="s">
        <v>279</v>
      </c>
      <c r="L69" s="149" t="s">
        <v>279</v>
      </c>
      <c r="M69" s="149" t="s">
        <v>279</v>
      </c>
      <c r="N69" s="149" t="s">
        <v>279</v>
      </c>
      <c r="O69" s="149" t="s">
        <v>279</v>
      </c>
      <c r="P69" s="149" t="s">
        <v>279</v>
      </c>
      <c r="Q69" s="149" t="s">
        <v>279</v>
      </c>
      <c r="R69" s="149" t="s">
        <v>279</v>
      </c>
      <c r="S69" s="149" t="s">
        <v>279</v>
      </c>
      <c r="T69" s="149" t="s">
        <v>279</v>
      </c>
      <c r="U69" s="149" t="s">
        <v>279</v>
      </c>
      <c r="V69" s="149" t="s">
        <v>279</v>
      </c>
      <c r="W69" s="149" t="s">
        <v>279</v>
      </c>
      <c r="X69" s="149" t="s">
        <v>279</v>
      </c>
      <c r="Y69" s="149" t="s">
        <v>279</v>
      </c>
      <c r="Z69" s="149" t="s">
        <v>279</v>
      </c>
      <c r="AA69" s="149" t="s">
        <v>279</v>
      </c>
      <c r="AB69" s="149" t="s">
        <v>279</v>
      </c>
      <c r="AC69" s="149" t="s">
        <v>279</v>
      </c>
      <c r="AD69" s="149" t="s">
        <v>279</v>
      </c>
      <c r="AE69" s="149" t="s">
        <v>279</v>
      </c>
      <c r="AF69" s="149" t="s">
        <v>279</v>
      </c>
      <c r="AG69" s="149" t="s">
        <v>279</v>
      </c>
      <c r="AH69" s="149" t="s">
        <v>279</v>
      </c>
      <c r="AI69" s="149" t="s">
        <v>279</v>
      </c>
      <c r="AJ69" s="149" t="s">
        <v>279</v>
      </c>
      <c r="AK69" s="149" t="s">
        <v>279</v>
      </c>
      <c r="AL69" s="149" t="s">
        <v>279</v>
      </c>
      <c r="AM69" s="149" t="s">
        <v>279</v>
      </c>
      <c r="AN69" s="149" t="s">
        <v>279</v>
      </c>
      <c r="AO69" s="149" t="s">
        <v>279</v>
      </c>
      <c r="AP69" s="149" t="s">
        <v>279</v>
      </c>
      <c r="AQ69" s="149" t="s">
        <v>279</v>
      </c>
      <c r="AR69" s="238" t="s">
        <v>494</v>
      </c>
      <c r="AS69" s="140"/>
      <c r="AT69" s="233"/>
      <c r="AU69" s="233"/>
      <c r="AV69" s="234"/>
    </row>
    <row r="70" spans="1:50" s="235" customFormat="1" ht="12.75" customHeight="1">
      <c r="A70" s="453" t="s">
        <v>479</v>
      </c>
      <c r="B70" s="501" t="s">
        <v>482</v>
      </c>
      <c r="C70" s="501" t="s">
        <v>493</v>
      </c>
      <c r="D70" s="219" t="s">
        <v>444</v>
      </c>
      <c r="E70" s="123">
        <f>SUM(E71:E73)</f>
        <v>599.4</v>
      </c>
      <c r="F70" s="123">
        <f t="shared" ref="F70" si="97">SUM(F71:F73)</f>
        <v>340</v>
      </c>
      <c r="G70" s="123">
        <f>F70/E70*100</f>
        <v>56.723390056723389</v>
      </c>
      <c r="H70" s="132">
        <f t="shared" ref="H70:AQ70" si="98">H71+H72+H73</f>
        <v>38.6</v>
      </c>
      <c r="I70" s="132">
        <f t="shared" si="98"/>
        <v>38.6</v>
      </c>
      <c r="J70" s="123">
        <f>I70/H70*100</f>
        <v>100</v>
      </c>
      <c r="K70" s="132">
        <f t="shared" si="98"/>
        <v>130</v>
      </c>
      <c r="L70" s="132">
        <f t="shared" si="98"/>
        <v>106.1</v>
      </c>
      <c r="M70" s="243">
        <f>L70/K70*100</f>
        <v>81.615384615384613</v>
      </c>
      <c r="N70" s="132">
        <f t="shared" si="98"/>
        <v>84.9</v>
      </c>
      <c r="O70" s="132">
        <f t="shared" si="98"/>
        <v>18.5</v>
      </c>
      <c r="P70" s="123">
        <f>O70/N70*100</f>
        <v>21.790341578327443</v>
      </c>
      <c r="Q70" s="132">
        <f t="shared" si="98"/>
        <v>100</v>
      </c>
      <c r="R70" s="132">
        <f t="shared" si="98"/>
        <v>0</v>
      </c>
      <c r="S70" s="123">
        <f>R70/Q70*100</f>
        <v>0</v>
      </c>
      <c r="T70" s="132">
        <f t="shared" si="98"/>
        <v>73</v>
      </c>
      <c r="U70" s="132">
        <f t="shared" si="98"/>
        <v>0</v>
      </c>
      <c r="V70" s="123">
        <f>U70/T70*100</f>
        <v>0</v>
      </c>
      <c r="W70" s="132">
        <f t="shared" si="98"/>
        <v>0</v>
      </c>
      <c r="X70" s="132">
        <f t="shared" si="98"/>
        <v>0</v>
      </c>
      <c r="Y70" s="132">
        <f t="shared" si="98"/>
        <v>0</v>
      </c>
      <c r="Z70" s="132">
        <f t="shared" si="98"/>
        <v>0</v>
      </c>
      <c r="AA70" s="132">
        <f t="shared" si="98"/>
        <v>0</v>
      </c>
      <c r="AB70" s="132">
        <f t="shared" si="98"/>
        <v>0</v>
      </c>
      <c r="AC70" s="132">
        <f t="shared" si="98"/>
        <v>28</v>
      </c>
      <c r="AD70" s="132">
        <f t="shared" si="98"/>
        <v>51.7</v>
      </c>
      <c r="AE70" s="123">
        <f>AD70/AC70*100</f>
        <v>184.64285714285717</v>
      </c>
      <c r="AF70" s="132">
        <f t="shared" si="98"/>
        <v>58.5</v>
      </c>
      <c r="AG70" s="132">
        <f t="shared" si="98"/>
        <v>125.1</v>
      </c>
      <c r="AH70" s="117">
        <f>AG70/AF70*100</f>
        <v>213.84615384615384</v>
      </c>
      <c r="AI70" s="132">
        <f t="shared" si="98"/>
        <v>86.4</v>
      </c>
      <c r="AJ70" s="132">
        <f t="shared" si="98"/>
        <v>0</v>
      </c>
      <c r="AK70" s="132">
        <f t="shared" si="98"/>
        <v>0</v>
      </c>
      <c r="AL70" s="132">
        <f t="shared" si="98"/>
        <v>0</v>
      </c>
      <c r="AM70" s="132">
        <f t="shared" si="98"/>
        <v>0</v>
      </c>
      <c r="AN70" s="132">
        <f t="shared" si="98"/>
        <v>0</v>
      </c>
      <c r="AO70" s="132">
        <f t="shared" si="98"/>
        <v>0</v>
      </c>
      <c r="AP70" s="132">
        <f t="shared" si="98"/>
        <v>0</v>
      </c>
      <c r="AQ70" s="132">
        <f t="shared" si="98"/>
        <v>0</v>
      </c>
      <c r="AR70" s="337" t="s">
        <v>500</v>
      </c>
      <c r="AS70" s="337" t="s">
        <v>497</v>
      </c>
      <c r="AT70" s="233"/>
      <c r="AU70" s="233"/>
      <c r="AV70" s="234"/>
      <c r="AX70" s="233"/>
    </row>
    <row r="71" spans="1:50" s="235" customFormat="1" ht="48">
      <c r="A71" s="453"/>
      <c r="B71" s="501"/>
      <c r="C71" s="501"/>
      <c r="D71" s="220" t="s">
        <v>442</v>
      </c>
      <c r="E71" s="123">
        <f>H71+K71+N71+Q71+T71+W71+Z71+AC71+AF71+AI71+AL71+AO71</f>
        <v>0</v>
      </c>
      <c r="F71" s="123">
        <f>I71+L71+O71+R71+U71+X71+AA71+AD71+AG71+AJ71+AM71+AP71</f>
        <v>0</v>
      </c>
      <c r="G71" s="123">
        <v>0</v>
      </c>
      <c r="H71" s="123">
        <v>0</v>
      </c>
      <c r="I71" s="123">
        <v>0</v>
      </c>
      <c r="J71" s="123">
        <v>0</v>
      </c>
      <c r="K71" s="132">
        <v>0</v>
      </c>
      <c r="L71" s="123">
        <v>0</v>
      </c>
      <c r="M71" s="243">
        <v>0</v>
      </c>
      <c r="N71" s="123">
        <v>0</v>
      </c>
      <c r="O71" s="123">
        <v>0</v>
      </c>
      <c r="P71" s="123">
        <v>0</v>
      </c>
      <c r="Q71" s="123">
        <v>0</v>
      </c>
      <c r="R71" s="123">
        <v>0</v>
      </c>
      <c r="S71" s="123">
        <v>0</v>
      </c>
      <c r="T71" s="117">
        <v>0</v>
      </c>
      <c r="U71" s="117">
        <v>0</v>
      </c>
      <c r="V71" s="117">
        <v>0</v>
      </c>
      <c r="W71" s="117">
        <v>0</v>
      </c>
      <c r="X71" s="117">
        <v>0</v>
      </c>
      <c r="Y71" s="117">
        <v>0</v>
      </c>
      <c r="Z71" s="117">
        <v>0</v>
      </c>
      <c r="AA71" s="117">
        <v>0</v>
      </c>
      <c r="AB71" s="117">
        <v>0</v>
      </c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17">
        <v>0</v>
      </c>
      <c r="AI71" s="123">
        <v>0</v>
      </c>
      <c r="AJ71" s="123">
        <v>0</v>
      </c>
      <c r="AK71" s="123">
        <v>0</v>
      </c>
      <c r="AL71" s="117">
        <v>0</v>
      </c>
      <c r="AM71" s="117">
        <v>0</v>
      </c>
      <c r="AN71" s="117">
        <v>0</v>
      </c>
      <c r="AO71" s="123">
        <v>0</v>
      </c>
      <c r="AP71" s="123">
        <v>0</v>
      </c>
      <c r="AQ71" s="123">
        <v>0</v>
      </c>
      <c r="AR71" s="338"/>
      <c r="AS71" s="338"/>
      <c r="AT71" s="233"/>
      <c r="AU71" s="233"/>
      <c r="AV71" s="234"/>
      <c r="AX71" s="233"/>
    </row>
    <row r="72" spans="1:50" s="235" customFormat="1" ht="12.75">
      <c r="A72" s="453"/>
      <c r="B72" s="501"/>
      <c r="C72" s="501"/>
      <c r="D72" s="220" t="s">
        <v>462</v>
      </c>
      <c r="E72" s="123">
        <f t="shared" ref="E72:F73" si="99">H72+K72+N72+Q72+T72+W72+Z72+AC72+AF72+AI72+AL72+AO72</f>
        <v>599.4</v>
      </c>
      <c r="F72" s="123">
        <f t="shared" si="99"/>
        <v>340</v>
      </c>
      <c r="G72" s="123">
        <f>F72/E72*100</f>
        <v>56.723390056723389</v>
      </c>
      <c r="H72" s="123">
        <v>38.6</v>
      </c>
      <c r="I72" s="123">
        <v>38.6</v>
      </c>
      <c r="J72" s="123">
        <f>I72/H72*100</f>
        <v>100</v>
      </c>
      <c r="K72" s="132">
        <f>80+50</f>
        <v>130</v>
      </c>
      <c r="L72" s="123">
        <v>106.1</v>
      </c>
      <c r="M72" s="243">
        <f>L72/K72*100</f>
        <v>81.615384615384613</v>
      </c>
      <c r="N72" s="123">
        <f>173.5-38.6-50</f>
        <v>84.9</v>
      </c>
      <c r="O72" s="123">
        <v>18.5</v>
      </c>
      <c r="P72" s="123">
        <f>O72/N72*100</f>
        <v>21.790341578327443</v>
      </c>
      <c r="Q72" s="123">
        <v>100</v>
      </c>
      <c r="R72" s="123">
        <v>0</v>
      </c>
      <c r="S72" s="123">
        <f>R72/Q72*100</f>
        <v>0</v>
      </c>
      <c r="T72" s="117">
        <v>73</v>
      </c>
      <c r="U72" s="117">
        <v>0</v>
      </c>
      <c r="V72" s="123">
        <f>U72/T72*100</f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28</v>
      </c>
      <c r="AD72" s="117">
        <v>51.7</v>
      </c>
      <c r="AE72" s="123">
        <f>AD72/AC72*100</f>
        <v>184.64285714285717</v>
      </c>
      <c r="AF72" s="117">
        <v>58.5</v>
      </c>
      <c r="AG72" s="117">
        <v>125.1</v>
      </c>
      <c r="AH72" s="117">
        <f>AG72/AF72*100</f>
        <v>213.84615384615384</v>
      </c>
      <c r="AI72" s="123">
        <f>166.4-80</f>
        <v>86.4</v>
      </c>
      <c r="AJ72" s="123">
        <v>0</v>
      </c>
      <c r="AK72" s="123">
        <f>AJ72/AI72*100</f>
        <v>0</v>
      </c>
      <c r="AL72" s="117">
        <v>0</v>
      </c>
      <c r="AM72" s="117">
        <v>0</v>
      </c>
      <c r="AN72" s="117">
        <v>0</v>
      </c>
      <c r="AO72" s="123">
        <v>0</v>
      </c>
      <c r="AP72" s="123">
        <v>0</v>
      </c>
      <c r="AQ72" s="123">
        <v>0</v>
      </c>
      <c r="AR72" s="338"/>
      <c r="AS72" s="338"/>
      <c r="AT72" s="233"/>
      <c r="AU72" s="233"/>
      <c r="AV72" s="234"/>
      <c r="AX72" s="233"/>
    </row>
    <row r="73" spans="1:50" s="235" customFormat="1" ht="24">
      <c r="A73" s="453"/>
      <c r="B73" s="501"/>
      <c r="C73" s="501"/>
      <c r="D73" s="143" t="s">
        <v>257</v>
      </c>
      <c r="E73" s="123">
        <f t="shared" si="99"/>
        <v>0</v>
      </c>
      <c r="F73" s="123">
        <f t="shared" si="99"/>
        <v>0</v>
      </c>
      <c r="G73" s="123">
        <v>0</v>
      </c>
      <c r="H73" s="123">
        <v>0</v>
      </c>
      <c r="I73" s="123">
        <v>0</v>
      </c>
      <c r="J73" s="123">
        <v>0</v>
      </c>
      <c r="K73" s="132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17">
        <v>0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23">
        <v>0</v>
      </c>
      <c r="AJ73" s="123">
        <v>0</v>
      </c>
      <c r="AK73" s="123">
        <v>0</v>
      </c>
      <c r="AL73" s="117">
        <v>0</v>
      </c>
      <c r="AM73" s="117">
        <v>0</v>
      </c>
      <c r="AN73" s="117">
        <v>0</v>
      </c>
      <c r="AO73" s="123">
        <v>0</v>
      </c>
      <c r="AP73" s="123">
        <v>0</v>
      </c>
      <c r="AQ73" s="123">
        <v>0</v>
      </c>
      <c r="AR73" s="338"/>
      <c r="AS73" s="338"/>
      <c r="AT73" s="233"/>
      <c r="AU73" s="233"/>
      <c r="AV73" s="234"/>
      <c r="AX73" s="233"/>
    </row>
    <row r="74" spans="1:50" s="235" customFormat="1" ht="24">
      <c r="A74" s="453"/>
      <c r="B74" s="501"/>
      <c r="C74" s="501"/>
      <c r="D74" s="143" t="s">
        <v>467</v>
      </c>
      <c r="E74" s="123">
        <f>H74+K74+N74+Q74+T74+W74+Z74+AC74+AF74+AI74+AL74+AO74</f>
        <v>0</v>
      </c>
      <c r="F74" s="123">
        <f>I74+L74+O74+R74+U74+X74+AA74+AD74+AG74+AJ74+AM74+AP74</f>
        <v>0</v>
      </c>
      <c r="G74" s="123">
        <v>0</v>
      </c>
      <c r="H74" s="123">
        <v>0</v>
      </c>
      <c r="I74" s="123">
        <v>0</v>
      </c>
      <c r="J74" s="123">
        <v>0</v>
      </c>
      <c r="K74" s="132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17">
        <v>0</v>
      </c>
      <c r="U74" s="117">
        <v>0</v>
      </c>
      <c r="V74" s="123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23">
        <v>0</v>
      </c>
      <c r="AI74" s="123">
        <v>0</v>
      </c>
      <c r="AJ74" s="123">
        <v>0</v>
      </c>
      <c r="AK74" s="123">
        <v>0</v>
      </c>
      <c r="AL74" s="117">
        <v>0</v>
      </c>
      <c r="AM74" s="117">
        <v>0</v>
      </c>
      <c r="AN74" s="117">
        <v>0</v>
      </c>
      <c r="AO74" s="123">
        <v>0</v>
      </c>
      <c r="AP74" s="123">
        <v>0</v>
      </c>
      <c r="AQ74" s="123">
        <v>0</v>
      </c>
      <c r="AR74" s="339"/>
      <c r="AS74" s="339"/>
      <c r="AT74" s="233"/>
      <c r="AU74" s="233"/>
      <c r="AV74" s="234"/>
    </row>
    <row r="75" spans="1:50" s="246" customFormat="1" ht="12.75">
      <c r="A75" s="443" t="s">
        <v>445</v>
      </c>
      <c r="B75" s="443"/>
      <c r="C75" s="443"/>
      <c r="D75" s="218" t="s">
        <v>444</v>
      </c>
      <c r="E75" s="149">
        <f>E76+E77+E78</f>
        <v>456146.2</v>
      </c>
      <c r="F75" s="149">
        <f>F76+F77+F78</f>
        <v>294454.60000000003</v>
      </c>
      <c r="G75" s="149">
        <f>F75/E75*100</f>
        <v>64.552680697548297</v>
      </c>
      <c r="H75" s="149">
        <f t="shared" ref="H75:I75" si="100">H76+H77+H78</f>
        <v>8477.0999999999985</v>
      </c>
      <c r="I75" s="149">
        <f t="shared" si="100"/>
        <v>7765.9000000000005</v>
      </c>
      <c r="J75" s="149">
        <f>I75/H75*100</f>
        <v>91.610338441212221</v>
      </c>
      <c r="K75" s="149">
        <f t="shared" ref="K75:L75" si="101">K76+K77+K78</f>
        <v>34385.200000000004</v>
      </c>
      <c r="L75" s="149">
        <f t="shared" si="101"/>
        <v>33814.899999999994</v>
      </c>
      <c r="M75" s="149">
        <f>L75/K75*100</f>
        <v>98.341437595244443</v>
      </c>
      <c r="N75" s="149">
        <f t="shared" ref="N75:O75" si="102">N76+N77+N78</f>
        <v>51887.299999999996</v>
      </c>
      <c r="O75" s="149">
        <f t="shared" si="102"/>
        <v>40965.100000000006</v>
      </c>
      <c r="P75" s="149">
        <f>O75/N75*100</f>
        <v>78.950147724009554</v>
      </c>
      <c r="Q75" s="149">
        <f t="shared" ref="Q75:R75" si="103">Q76+Q77+Q78</f>
        <v>43087.899999999994</v>
      </c>
      <c r="R75" s="149">
        <f t="shared" si="103"/>
        <v>42308.200000000004</v>
      </c>
      <c r="S75" s="149">
        <f>R75/Q75*100</f>
        <v>98.190443256691566</v>
      </c>
      <c r="T75" s="149">
        <f t="shared" ref="T75:U75" si="104">T76+T77+T78</f>
        <v>35024</v>
      </c>
      <c r="U75" s="149">
        <f t="shared" si="104"/>
        <v>34593.5</v>
      </c>
      <c r="V75" s="149">
        <f>U75/T75*100</f>
        <v>98.770842850616731</v>
      </c>
      <c r="W75" s="149">
        <f t="shared" ref="W75:X75" si="105">W76+W77+W78</f>
        <v>38481.9</v>
      </c>
      <c r="X75" s="149">
        <f t="shared" si="105"/>
        <v>34731.600000000006</v>
      </c>
      <c r="Y75" s="149">
        <f>X75/W75*100</f>
        <v>90.254379331581873</v>
      </c>
      <c r="Z75" s="149">
        <f t="shared" ref="Z75:AA75" si="106">Z76+Z77+Z78</f>
        <v>45793.700000000004</v>
      </c>
      <c r="AA75" s="149">
        <f t="shared" si="106"/>
        <v>39703.200000000004</v>
      </c>
      <c r="AB75" s="149">
        <f>AA75/Z75*100</f>
        <v>86.700135608173184</v>
      </c>
      <c r="AC75" s="149">
        <f t="shared" ref="AC75:AD75" si="107">AC76+AC77+AC78</f>
        <v>36180.5</v>
      </c>
      <c r="AD75" s="149">
        <f t="shared" si="107"/>
        <v>31679.599999999999</v>
      </c>
      <c r="AE75" s="149">
        <f>AD75/AC75*100</f>
        <v>87.559873412473564</v>
      </c>
      <c r="AF75" s="149">
        <f t="shared" ref="AF75:AG75" si="108">AF76+AF77+AF78</f>
        <v>48307.1</v>
      </c>
      <c r="AG75" s="149">
        <f t="shared" si="108"/>
        <v>28892.599999999995</v>
      </c>
      <c r="AH75" s="149">
        <f>AG75/AF75*100</f>
        <v>59.810255635299981</v>
      </c>
      <c r="AI75" s="149">
        <f t="shared" ref="AI75:AJ75" si="109">AI76+AI77+AI78</f>
        <v>36168.9</v>
      </c>
      <c r="AJ75" s="149">
        <f t="shared" si="109"/>
        <v>0</v>
      </c>
      <c r="AK75" s="149">
        <f>AJ75/AI75*100</f>
        <v>0</v>
      </c>
      <c r="AL75" s="149">
        <f t="shared" ref="AL75:AM75" si="110">AL76+AL77+AL78</f>
        <v>31647</v>
      </c>
      <c r="AM75" s="149">
        <f t="shared" si="110"/>
        <v>0</v>
      </c>
      <c r="AN75" s="149">
        <f>AM75/AL75*100</f>
        <v>0</v>
      </c>
      <c r="AO75" s="149">
        <f t="shared" ref="AO75:AP75" si="111">AO76+AO77+AO78</f>
        <v>46705.600000000006</v>
      </c>
      <c r="AP75" s="149">
        <f t="shared" si="111"/>
        <v>0</v>
      </c>
      <c r="AQ75" s="227">
        <f>AP75/AO75*100</f>
        <v>0</v>
      </c>
      <c r="AR75" s="477"/>
      <c r="AS75" s="500"/>
      <c r="AT75" s="233"/>
      <c r="AU75" s="233"/>
      <c r="AV75" s="234"/>
    </row>
    <row r="76" spans="1:50" s="246" customFormat="1" ht="48">
      <c r="A76" s="443"/>
      <c r="B76" s="443"/>
      <c r="C76" s="443"/>
      <c r="D76" s="217" t="s">
        <v>442</v>
      </c>
      <c r="E76" s="149">
        <f>E14+E53+E64</f>
        <v>126968.4</v>
      </c>
      <c r="F76" s="149">
        <f>F14+F53+F64</f>
        <v>77603.3</v>
      </c>
      <c r="G76" s="149">
        <f>F76/E76*100</f>
        <v>61.12016848286661</v>
      </c>
      <c r="H76" s="149">
        <f>H14+H53+H64</f>
        <v>219.99999999999997</v>
      </c>
      <c r="I76" s="149">
        <f>I14+I53+I64</f>
        <v>190.6</v>
      </c>
      <c r="J76" s="149">
        <f t="shared" ref="J76:J77" si="112">I76/H76*100</f>
        <v>86.63636363636364</v>
      </c>
      <c r="K76" s="149">
        <f>K14+K53+K64</f>
        <v>8464.7999999999993</v>
      </c>
      <c r="L76" s="149">
        <f>L14+L53+L64</f>
        <v>8256.6999999999989</v>
      </c>
      <c r="M76" s="149">
        <f t="shared" ref="M76:M78" si="113">L76/K76*100</f>
        <v>97.541583971269247</v>
      </c>
      <c r="N76" s="149">
        <f>N14+N53+N64</f>
        <v>10772.499999999998</v>
      </c>
      <c r="O76" s="149">
        <f>O14+O53+O64</f>
        <v>10141.299999999999</v>
      </c>
      <c r="P76" s="149">
        <f t="shared" ref="P76:P78" si="114">O76/N76*100</f>
        <v>94.140635878394065</v>
      </c>
      <c r="Q76" s="149">
        <f>Q14+Q53+Q64</f>
        <v>11073.5</v>
      </c>
      <c r="R76" s="149">
        <f>R14+R53+R64</f>
        <v>10456.5</v>
      </c>
      <c r="S76" s="149">
        <f t="shared" ref="S76:S78" si="115">R76/Q76*100</f>
        <v>94.428139251365877</v>
      </c>
      <c r="T76" s="149">
        <f>T14+T53+T64</f>
        <v>9168.7000000000007</v>
      </c>
      <c r="U76" s="149">
        <f>U14+U53+U64</f>
        <v>9008.5</v>
      </c>
      <c r="V76" s="149">
        <f t="shared" ref="V76:V78" si="116">U76/T76*100</f>
        <v>98.252751207913875</v>
      </c>
      <c r="W76" s="149">
        <f>W14+W53+W64</f>
        <v>10616.2</v>
      </c>
      <c r="X76" s="149">
        <f>X14+X53+X64</f>
        <v>9950.7999999999993</v>
      </c>
      <c r="Y76" s="149">
        <f t="shared" ref="Y76:Y78" si="117">X76/W76*100</f>
        <v>93.732220568565012</v>
      </c>
      <c r="Z76" s="149">
        <f>Z14+Z53+Z64</f>
        <v>11985.499999999998</v>
      </c>
      <c r="AA76" s="149">
        <f>AA14+AA53+AA64</f>
        <v>11620.9</v>
      </c>
      <c r="AB76" s="149">
        <f t="shared" ref="AB76:AB78" si="118">AA76/Z76*100</f>
        <v>96.957990905677704</v>
      </c>
      <c r="AC76" s="149">
        <f>AC14+AC53+AC64</f>
        <v>9206.2000000000007</v>
      </c>
      <c r="AD76" s="149">
        <f>AD14+AD53+AD64</f>
        <v>8907.1</v>
      </c>
      <c r="AE76" s="149">
        <f t="shared" ref="AE76:AE78" si="119">AD76/AC76*100</f>
        <v>96.751102517868389</v>
      </c>
      <c r="AF76" s="149">
        <f>AF14+AF53+AF64</f>
        <v>11990.7</v>
      </c>
      <c r="AG76" s="149">
        <f>AG14+AG53+AG64</f>
        <v>9070.9</v>
      </c>
      <c r="AH76" s="149">
        <f t="shared" ref="AH76:AH78" si="120">AG76/AF76*100</f>
        <v>75.64946166612458</v>
      </c>
      <c r="AI76" s="149">
        <f>AI14+AI53+AI64</f>
        <v>11202.5</v>
      </c>
      <c r="AJ76" s="149">
        <f>AJ14+AJ53+AJ64</f>
        <v>0</v>
      </c>
      <c r="AK76" s="149">
        <f t="shared" ref="AK76:AK78" si="121">AJ76/AI76*100</f>
        <v>0</v>
      </c>
      <c r="AL76" s="149">
        <f>AL14+AL53+AL64</f>
        <v>8940.7000000000007</v>
      </c>
      <c r="AM76" s="149">
        <f>AM14+AM53+AM64</f>
        <v>0</v>
      </c>
      <c r="AN76" s="149">
        <f t="shared" ref="AN76:AN78" si="122">AM76/AL76*100</f>
        <v>0</v>
      </c>
      <c r="AO76" s="149">
        <f>AO14+AO53+AO64</f>
        <v>23327.1</v>
      </c>
      <c r="AP76" s="149">
        <f>AP14+AP53+AP64</f>
        <v>0</v>
      </c>
      <c r="AQ76" s="227">
        <f t="shared" ref="AQ76:AQ78" si="123">AP76/AO76*100</f>
        <v>0</v>
      </c>
      <c r="AR76" s="477"/>
      <c r="AS76" s="500"/>
      <c r="AT76" s="233"/>
      <c r="AU76" s="233"/>
      <c r="AV76" s="234"/>
    </row>
    <row r="77" spans="1:50" s="246" customFormat="1" ht="12.75">
      <c r="A77" s="443"/>
      <c r="B77" s="443"/>
      <c r="C77" s="443"/>
      <c r="D77" s="217" t="s">
        <v>462</v>
      </c>
      <c r="E77" s="149">
        <f>E15+E54+E65</f>
        <v>323583.50000000006</v>
      </c>
      <c r="F77" s="149">
        <f>F15+F54+F65</f>
        <v>213269.40000000002</v>
      </c>
      <c r="G77" s="149">
        <f>F77/E77*100</f>
        <v>65.908614005349463</v>
      </c>
      <c r="H77" s="149">
        <f>H15+H54+H65</f>
        <v>8257.0999999999985</v>
      </c>
      <c r="I77" s="149">
        <f>I15+I54+I65</f>
        <v>7575.3</v>
      </c>
      <c r="J77" s="149">
        <f t="shared" si="112"/>
        <v>91.742863717285744</v>
      </c>
      <c r="K77" s="149">
        <f>K15+K54+K65</f>
        <v>25388.400000000005</v>
      </c>
      <c r="L77" s="149">
        <f>L15+L54+L65</f>
        <v>25005.699999999997</v>
      </c>
      <c r="M77" s="149">
        <f t="shared" si="113"/>
        <v>98.492618676245812</v>
      </c>
      <c r="N77" s="149">
        <f>N15+N54+N65</f>
        <v>40737.1</v>
      </c>
      <c r="O77" s="149">
        <f>O15+O54+O65</f>
        <v>30499.500000000004</v>
      </c>
      <c r="P77" s="149">
        <f t="shared" si="114"/>
        <v>74.869099665906518</v>
      </c>
      <c r="Q77" s="149">
        <f>Q15+Q54+Q65</f>
        <v>31683.699999999997</v>
      </c>
      <c r="R77" s="149">
        <f>R15+R54+R65</f>
        <v>31521.800000000003</v>
      </c>
      <c r="S77" s="149">
        <f t="shared" si="115"/>
        <v>99.489011700022417</v>
      </c>
      <c r="T77" s="149">
        <f>T15+T54+T65</f>
        <v>25314.999999999996</v>
      </c>
      <c r="U77" s="149">
        <f>U15+U54+U65</f>
        <v>25054.1</v>
      </c>
      <c r="V77" s="149">
        <f t="shared" si="116"/>
        <v>98.969385739680035</v>
      </c>
      <c r="W77" s="149">
        <f>W15+W54+W65</f>
        <v>27361.800000000003</v>
      </c>
      <c r="X77" s="149">
        <f>X15+X54+X65</f>
        <v>24303</v>
      </c>
      <c r="Y77" s="149">
        <f t="shared" si="117"/>
        <v>88.820910904984302</v>
      </c>
      <c r="Z77" s="149">
        <f>Z15+Z54+Z65</f>
        <v>33229.9</v>
      </c>
      <c r="AA77" s="149">
        <f>AA15+AA54+AA65</f>
        <v>27504.000000000004</v>
      </c>
      <c r="AB77" s="149">
        <f t="shared" si="118"/>
        <v>82.768831684717682</v>
      </c>
      <c r="AC77" s="149">
        <f>AC15+AC54+AC65</f>
        <v>26470.499999999996</v>
      </c>
      <c r="AD77" s="149">
        <f>AD15+AD54+AD65</f>
        <v>22268.5</v>
      </c>
      <c r="AE77" s="149">
        <f t="shared" si="119"/>
        <v>84.125724863527324</v>
      </c>
      <c r="AF77" s="149">
        <f>AF15+AF54+AF65</f>
        <v>36032</v>
      </c>
      <c r="AG77" s="149">
        <f>AG15+AG54+AG65</f>
        <v>19537.499999999996</v>
      </c>
      <c r="AH77" s="149">
        <f t="shared" si="120"/>
        <v>54.222635435168733</v>
      </c>
      <c r="AI77" s="149">
        <f>AI15+AI54+AI65</f>
        <v>24245.9</v>
      </c>
      <c r="AJ77" s="149">
        <f>AJ15+AJ54+AJ65</f>
        <v>0</v>
      </c>
      <c r="AK77" s="149">
        <f t="shared" si="121"/>
        <v>0</v>
      </c>
      <c r="AL77" s="149">
        <f>AL15+AL54+AL65</f>
        <v>22337.899999999998</v>
      </c>
      <c r="AM77" s="149">
        <f>AM15+AM54+AM65</f>
        <v>0</v>
      </c>
      <c r="AN77" s="149">
        <f t="shared" si="122"/>
        <v>0</v>
      </c>
      <c r="AO77" s="149">
        <f>AO15+AO54+AO65</f>
        <v>22524.2</v>
      </c>
      <c r="AP77" s="149">
        <f>AP15+AP54+AP65</f>
        <v>0</v>
      </c>
      <c r="AQ77" s="227">
        <f t="shared" si="123"/>
        <v>0</v>
      </c>
      <c r="AR77" s="477"/>
      <c r="AS77" s="500"/>
      <c r="AT77" s="233"/>
      <c r="AU77" s="233"/>
      <c r="AV77" s="234"/>
    </row>
    <row r="78" spans="1:50" s="246" customFormat="1" ht="24">
      <c r="A78" s="443"/>
      <c r="B78" s="443"/>
      <c r="C78" s="443"/>
      <c r="D78" s="218" t="s">
        <v>257</v>
      </c>
      <c r="E78" s="149">
        <f t="shared" ref="E78:F78" si="124">E17+E55+E66</f>
        <v>5594.3</v>
      </c>
      <c r="F78" s="149">
        <f t="shared" si="124"/>
        <v>3581.8999999999996</v>
      </c>
      <c r="G78" s="149">
        <f>F78/E78*100</f>
        <v>64.027671022290534</v>
      </c>
      <c r="H78" s="149">
        <f t="shared" ref="H78:I78" si="125">H17+H55+H66</f>
        <v>0</v>
      </c>
      <c r="I78" s="149">
        <f t="shared" si="125"/>
        <v>0</v>
      </c>
      <c r="J78" s="149">
        <v>0</v>
      </c>
      <c r="K78" s="149">
        <f t="shared" ref="K78:L78" si="126">K17+K55+K66</f>
        <v>532</v>
      </c>
      <c r="L78" s="149">
        <f t="shared" si="126"/>
        <v>552.5</v>
      </c>
      <c r="M78" s="149">
        <f t="shared" si="113"/>
        <v>103.8533834586466</v>
      </c>
      <c r="N78" s="149">
        <f t="shared" ref="N78:O78" si="127">N17+N55+N66</f>
        <v>377.70000000000005</v>
      </c>
      <c r="O78" s="149">
        <f t="shared" si="127"/>
        <v>324.3</v>
      </c>
      <c r="P78" s="149">
        <f t="shared" si="114"/>
        <v>85.861795075456698</v>
      </c>
      <c r="Q78" s="149">
        <f t="shared" ref="Q78:R78" si="128">Q17+Q55+Q66</f>
        <v>330.70000000000005</v>
      </c>
      <c r="R78" s="149">
        <f t="shared" si="128"/>
        <v>329.9</v>
      </c>
      <c r="S78" s="149">
        <f t="shared" si="115"/>
        <v>99.758088902328382</v>
      </c>
      <c r="T78" s="149">
        <f t="shared" ref="T78:U78" si="129">T17+T55+T66</f>
        <v>540.30000000000007</v>
      </c>
      <c r="U78" s="149">
        <f t="shared" si="129"/>
        <v>530.9</v>
      </c>
      <c r="V78" s="149">
        <f t="shared" si="116"/>
        <v>98.260225800481194</v>
      </c>
      <c r="W78" s="149">
        <f t="shared" ref="W78:X78" si="130">W17+W55+W66</f>
        <v>503.90000000000003</v>
      </c>
      <c r="X78" s="149">
        <f t="shared" si="130"/>
        <v>477.8</v>
      </c>
      <c r="Y78" s="149">
        <f t="shared" si="117"/>
        <v>94.820400873189129</v>
      </c>
      <c r="Z78" s="149">
        <f t="shared" ref="Z78:AA78" si="131">Z17+Z55+Z66</f>
        <v>578.29999999999995</v>
      </c>
      <c r="AA78" s="149">
        <f t="shared" si="131"/>
        <v>578.29999999999995</v>
      </c>
      <c r="AB78" s="149">
        <f t="shared" si="118"/>
        <v>100</v>
      </c>
      <c r="AC78" s="149">
        <f t="shared" ref="AC78:AD78" si="132">AC17+AC55+AC66</f>
        <v>503.8</v>
      </c>
      <c r="AD78" s="149">
        <f t="shared" si="132"/>
        <v>504</v>
      </c>
      <c r="AE78" s="149">
        <f t="shared" si="119"/>
        <v>100.03969829297338</v>
      </c>
      <c r="AF78" s="149">
        <f t="shared" ref="AF78:AG78" si="133">AF17+AF55+AF66</f>
        <v>284.40000000000003</v>
      </c>
      <c r="AG78" s="149">
        <f t="shared" si="133"/>
        <v>284.2</v>
      </c>
      <c r="AH78" s="149">
        <f t="shared" si="120"/>
        <v>99.92967651195498</v>
      </c>
      <c r="AI78" s="149">
        <f t="shared" ref="AI78:AJ78" si="134">AI17+AI55+AI66</f>
        <v>720.5</v>
      </c>
      <c r="AJ78" s="149">
        <f t="shared" si="134"/>
        <v>0</v>
      </c>
      <c r="AK78" s="149">
        <f t="shared" si="121"/>
        <v>0</v>
      </c>
      <c r="AL78" s="149">
        <f t="shared" ref="AL78:AM78" si="135">AL17+AL55+AL66</f>
        <v>368.4</v>
      </c>
      <c r="AM78" s="149">
        <f t="shared" si="135"/>
        <v>0</v>
      </c>
      <c r="AN78" s="149">
        <f t="shared" si="122"/>
        <v>0</v>
      </c>
      <c r="AO78" s="149">
        <f t="shared" ref="AO78:AP78" si="136">AO17+AO55+AO66</f>
        <v>854.30000000000007</v>
      </c>
      <c r="AP78" s="149">
        <f t="shared" si="136"/>
        <v>0</v>
      </c>
      <c r="AQ78" s="227">
        <f t="shared" si="123"/>
        <v>0</v>
      </c>
      <c r="AR78" s="477"/>
      <c r="AS78" s="500"/>
      <c r="AT78" s="233"/>
      <c r="AU78" s="233"/>
      <c r="AV78" s="234"/>
    </row>
    <row r="79" spans="1:50" s="235" customFormat="1" ht="48">
      <c r="A79" s="443"/>
      <c r="B79" s="443"/>
      <c r="C79" s="443"/>
      <c r="D79" s="224" t="s">
        <v>441</v>
      </c>
      <c r="E79" s="123">
        <f t="shared" ref="E79" si="137">H79+K79+N79+Q79+T79+W79+Z79+AC79+AF79+AI79+AL79+AO79</f>
        <v>0</v>
      </c>
      <c r="F79" s="123">
        <f>I79+L79+O79+R79+U79+X79+AA79+AD79+AG79+AJ79+AM79+AP79</f>
        <v>349.70000000000005</v>
      </c>
      <c r="G79" s="123">
        <v>0</v>
      </c>
      <c r="H79" s="123">
        <v>0</v>
      </c>
      <c r="I79" s="123">
        <f>I43+I27</f>
        <v>0</v>
      </c>
      <c r="J79" s="123">
        <v>0</v>
      </c>
      <c r="K79" s="123">
        <v>0</v>
      </c>
      <c r="L79" s="123">
        <f>L43+L27</f>
        <v>0</v>
      </c>
      <c r="M79" s="123">
        <v>0</v>
      </c>
      <c r="N79" s="123">
        <v>0</v>
      </c>
      <c r="O79" s="123">
        <f>O43+O27</f>
        <v>165.8</v>
      </c>
      <c r="P79" s="123">
        <v>0</v>
      </c>
      <c r="Q79" s="123">
        <v>0</v>
      </c>
      <c r="R79" s="123">
        <f>R43</f>
        <v>183.9</v>
      </c>
      <c r="S79" s="123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  <c r="Y79" s="117">
        <v>0</v>
      </c>
      <c r="Z79" s="123">
        <v>0</v>
      </c>
      <c r="AA79" s="123">
        <v>0</v>
      </c>
      <c r="AB79" s="123">
        <v>0</v>
      </c>
      <c r="AC79" s="117">
        <v>0</v>
      </c>
      <c r="AD79" s="117">
        <v>0</v>
      </c>
      <c r="AE79" s="117">
        <v>0</v>
      </c>
      <c r="AF79" s="117">
        <v>0</v>
      </c>
      <c r="AG79" s="117">
        <v>0</v>
      </c>
      <c r="AH79" s="117">
        <v>0</v>
      </c>
      <c r="AI79" s="123">
        <v>0</v>
      </c>
      <c r="AJ79" s="123"/>
      <c r="AK79" s="123"/>
      <c r="AL79" s="117">
        <v>0</v>
      </c>
      <c r="AM79" s="117"/>
      <c r="AN79" s="117"/>
      <c r="AO79" s="117">
        <v>0</v>
      </c>
      <c r="AP79" s="123">
        <v>0</v>
      </c>
      <c r="AQ79" s="228">
        <v>0</v>
      </c>
      <c r="AR79" s="477"/>
      <c r="AS79" s="500"/>
      <c r="AT79" s="233"/>
      <c r="AU79" s="233"/>
      <c r="AV79" s="234"/>
    </row>
    <row r="80" spans="1:50" s="235" customFormat="1" ht="24">
      <c r="A80" s="443"/>
      <c r="B80" s="443"/>
      <c r="C80" s="443"/>
      <c r="D80" s="218" t="s">
        <v>467</v>
      </c>
      <c r="E80" s="149">
        <f>H80+K80+N80+Q80+T80+W80+Z80+AC80+AF80+AI80+AL80+AO80</f>
        <v>0</v>
      </c>
      <c r="F80" s="149">
        <f>I80+L80+O80+R80+U80+X80+AA80+AD80+AG80+AJ80+AM80+AP80</f>
        <v>0</v>
      </c>
      <c r="G80" s="149">
        <v>0</v>
      </c>
      <c r="H80" s="149">
        <v>0</v>
      </c>
      <c r="I80" s="149">
        <v>0</v>
      </c>
      <c r="J80" s="149">
        <v>0</v>
      </c>
      <c r="K80" s="254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226">
        <v>0</v>
      </c>
      <c r="U80" s="226">
        <v>0</v>
      </c>
      <c r="V80" s="149">
        <v>0</v>
      </c>
      <c r="W80" s="226">
        <v>0</v>
      </c>
      <c r="X80" s="226">
        <v>0</v>
      </c>
      <c r="Y80" s="226">
        <v>0</v>
      </c>
      <c r="Z80" s="226">
        <v>0</v>
      </c>
      <c r="AA80" s="226">
        <v>0</v>
      </c>
      <c r="AB80" s="226">
        <v>0</v>
      </c>
      <c r="AC80" s="226">
        <v>0</v>
      </c>
      <c r="AD80" s="226">
        <v>0</v>
      </c>
      <c r="AE80" s="226">
        <v>0</v>
      </c>
      <c r="AF80" s="226">
        <v>0</v>
      </c>
      <c r="AG80" s="226">
        <v>0</v>
      </c>
      <c r="AH80" s="149">
        <v>0</v>
      </c>
      <c r="AI80" s="149">
        <v>0</v>
      </c>
      <c r="AJ80" s="149">
        <v>0</v>
      </c>
      <c r="AK80" s="149">
        <v>0</v>
      </c>
      <c r="AL80" s="226">
        <v>0</v>
      </c>
      <c r="AM80" s="226">
        <v>0</v>
      </c>
      <c r="AN80" s="226">
        <v>0</v>
      </c>
      <c r="AO80" s="149">
        <v>0</v>
      </c>
      <c r="AP80" s="149">
        <v>0</v>
      </c>
      <c r="AQ80" s="149">
        <v>0</v>
      </c>
      <c r="AR80" s="477"/>
      <c r="AS80" s="500"/>
      <c r="AT80" s="233"/>
      <c r="AU80" s="233"/>
      <c r="AV80" s="234"/>
    </row>
    <row r="81" spans="1:50" s="246" customFormat="1" ht="12.75">
      <c r="A81" s="443" t="s">
        <v>483</v>
      </c>
      <c r="B81" s="443"/>
      <c r="C81" s="443"/>
      <c r="D81" s="218" t="s">
        <v>444</v>
      </c>
      <c r="E81" s="149">
        <f>E82+E83+E84</f>
        <v>0</v>
      </c>
      <c r="F81" s="149">
        <f>F82+F83+F84</f>
        <v>0</v>
      </c>
      <c r="G81" s="149">
        <v>0</v>
      </c>
      <c r="H81" s="149">
        <f t="shared" ref="H81:I81" si="138">H82+H83+H84</f>
        <v>0</v>
      </c>
      <c r="I81" s="149">
        <f t="shared" si="138"/>
        <v>0</v>
      </c>
      <c r="J81" s="149">
        <v>0</v>
      </c>
      <c r="K81" s="149">
        <f t="shared" ref="K81:L81" si="139">K82+K83+K84</f>
        <v>0</v>
      </c>
      <c r="L81" s="149">
        <f t="shared" si="139"/>
        <v>0</v>
      </c>
      <c r="M81" s="149">
        <v>0</v>
      </c>
      <c r="N81" s="149">
        <f t="shared" ref="N81:O81" si="140">N82+N83+N84</f>
        <v>0</v>
      </c>
      <c r="O81" s="149">
        <f t="shared" si="140"/>
        <v>0</v>
      </c>
      <c r="P81" s="149">
        <v>0</v>
      </c>
      <c r="Q81" s="149">
        <f t="shared" ref="Q81:R81" si="141">Q82+Q83+Q84</f>
        <v>0</v>
      </c>
      <c r="R81" s="149">
        <f t="shared" si="141"/>
        <v>0</v>
      </c>
      <c r="S81" s="149">
        <v>0</v>
      </c>
      <c r="T81" s="149">
        <f t="shared" ref="T81:U81" si="142">T82+T83+T84</f>
        <v>0</v>
      </c>
      <c r="U81" s="149">
        <f t="shared" si="142"/>
        <v>0</v>
      </c>
      <c r="V81" s="149">
        <v>0</v>
      </c>
      <c r="W81" s="149">
        <f t="shared" ref="W81:X81" si="143">W82+W83+W84</f>
        <v>0</v>
      </c>
      <c r="X81" s="149">
        <f t="shared" si="143"/>
        <v>0</v>
      </c>
      <c r="Y81" s="149">
        <v>0</v>
      </c>
      <c r="Z81" s="149">
        <f t="shared" ref="Z81:AA81" si="144">Z82+Z83+Z84</f>
        <v>0</v>
      </c>
      <c r="AA81" s="149">
        <f t="shared" si="144"/>
        <v>0</v>
      </c>
      <c r="AB81" s="149">
        <v>0</v>
      </c>
      <c r="AC81" s="149">
        <f t="shared" ref="AC81:AD81" si="145">AC82+AC83+AC84</f>
        <v>0</v>
      </c>
      <c r="AD81" s="149">
        <f t="shared" si="145"/>
        <v>0</v>
      </c>
      <c r="AE81" s="149">
        <v>0</v>
      </c>
      <c r="AF81" s="149">
        <f t="shared" ref="AF81:AG81" si="146">AF82+AF83+AF84</f>
        <v>0</v>
      </c>
      <c r="AG81" s="149">
        <f t="shared" si="146"/>
        <v>0</v>
      </c>
      <c r="AH81" s="149">
        <v>0</v>
      </c>
      <c r="AI81" s="149">
        <f t="shared" ref="AI81:AJ81" si="147">AI82+AI83+AI84</f>
        <v>0</v>
      </c>
      <c r="AJ81" s="149">
        <f t="shared" si="147"/>
        <v>0</v>
      </c>
      <c r="AK81" s="149">
        <v>0</v>
      </c>
      <c r="AL81" s="149">
        <f t="shared" ref="AL81:AM81" si="148">AL82+AL83+AL84</f>
        <v>0</v>
      </c>
      <c r="AM81" s="149">
        <f t="shared" si="148"/>
        <v>0</v>
      </c>
      <c r="AN81" s="149">
        <v>0</v>
      </c>
      <c r="AO81" s="149">
        <f t="shared" ref="AO81:AP81" si="149">AO82+AO83+AO84</f>
        <v>0</v>
      </c>
      <c r="AP81" s="149">
        <f t="shared" si="149"/>
        <v>0</v>
      </c>
      <c r="AQ81" s="149">
        <v>0</v>
      </c>
      <c r="AR81" s="477"/>
      <c r="AS81" s="500"/>
      <c r="AT81" s="233"/>
      <c r="AU81" s="233"/>
      <c r="AV81" s="234"/>
    </row>
    <row r="82" spans="1:50" s="246" customFormat="1" ht="48">
      <c r="A82" s="443"/>
      <c r="B82" s="443"/>
      <c r="C82" s="443"/>
      <c r="D82" s="217" t="s">
        <v>442</v>
      </c>
      <c r="E82" s="149">
        <f>H82+K82+N82+Q82+T82+W82+Z82+AC82+AF82+AI82+AL82+AO82</f>
        <v>0</v>
      </c>
      <c r="F82" s="149">
        <f>I82+L82+O82+R82+U82+X82+AA82+AD82+AG82+AJ82+AM82+AP82</f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49">
        <v>0</v>
      </c>
      <c r="AO82" s="149">
        <v>0</v>
      </c>
      <c r="AP82" s="149">
        <v>0</v>
      </c>
      <c r="AQ82" s="149">
        <v>0</v>
      </c>
      <c r="AR82" s="477"/>
      <c r="AS82" s="500"/>
      <c r="AT82" s="233"/>
      <c r="AU82" s="233"/>
      <c r="AV82" s="234"/>
    </row>
    <row r="83" spans="1:50" s="246" customFormat="1" ht="12.75">
      <c r="A83" s="443"/>
      <c r="B83" s="443"/>
      <c r="C83" s="443"/>
      <c r="D83" s="217" t="s">
        <v>462</v>
      </c>
      <c r="E83" s="149">
        <f t="shared" ref="E83:F84" si="150">H83+K83+N83+Q83+T83+W83+Z83+AC83+AF83+AI83+AL83+AO83</f>
        <v>0</v>
      </c>
      <c r="F83" s="149">
        <f t="shared" si="150"/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49">
        <v>0</v>
      </c>
      <c r="AO83" s="149">
        <v>0</v>
      </c>
      <c r="AP83" s="149">
        <v>0</v>
      </c>
      <c r="AQ83" s="149">
        <v>0</v>
      </c>
      <c r="AR83" s="477"/>
      <c r="AS83" s="500"/>
      <c r="AT83" s="233"/>
      <c r="AU83" s="233"/>
      <c r="AV83" s="234"/>
    </row>
    <row r="84" spans="1:50" s="246" customFormat="1" ht="24">
      <c r="A84" s="443"/>
      <c r="B84" s="443"/>
      <c r="C84" s="443"/>
      <c r="D84" s="218" t="s">
        <v>257</v>
      </c>
      <c r="E84" s="149">
        <f t="shared" si="150"/>
        <v>0</v>
      </c>
      <c r="F84" s="149">
        <f t="shared" si="150"/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49">
        <v>0</v>
      </c>
      <c r="AC84" s="149">
        <v>0</v>
      </c>
      <c r="AD84" s="149">
        <v>0</v>
      </c>
      <c r="AE84" s="149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477"/>
      <c r="AS84" s="500"/>
      <c r="AT84" s="233"/>
      <c r="AU84" s="233"/>
      <c r="AV84" s="234"/>
    </row>
    <row r="85" spans="1:50" s="235" customFormat="1" ht="24">
      <c r="A85" s="443"/>
      <c r="B85" s="443"/>
      <c r="C85" s="443"/>
      <c r="D85" s="218" t="s">
        <v>467</v>
      </c>
      <c r="E85" s="149">
        <f>H85+K85+N85+Q85+T85+W85+Z85+AC85+AF85+AI85+AL85+AO85</f>
        <v>0</v>
      </c>
      <c r="F85" s="149">
        <f>I85+L85+O85+R85+U85+X85+AA85+AD85+AG85+AJ85+AM85+AP85</f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9">
        <v>0</v>
      </c>
      <c r="AL85" s="149">
        <v>0</v>
      </c>
      <c r="AM85" s="149">
        <v>0</v>
      </c>
      <c r="AN85" s="149">
        <v>0</v>
      </c>
      <c r="AO85" s="149">
        <v>0</v>
      </c>
      <c r="AP85" s="149">
        <v>0</v>
      </c>
      <c r="AQ85" s="149">
        <v>0</v>
      </c>
      <c r="AR85" s="477"/>
      <c r="AS85" s="500"/>
      <c r="AT85" s="233"/>
      <c r="AU85" s="233"/>
      <c r="AV85" s="234"/>
    </row>
    <row r="86" spans="1:50" s="246" customFormat="1" ht="12.75">
      <c r="A86" s="443" t="s">
        <v>484</v>
      </c>
      <c r="B86" s="443"/>
      <c r="C86" s="443"/>
      <c r="D86" s="218" t="s">
        <v>444</v>
      </c>
      <c r="E86" s="149">
        <f>E87+E88+E90</f>
        <v>456146.2</v>
      </c>
      <c r="F86" s="149">
        <f>F87+F88+F90</f>
        <v>294454.59999999998</v>
      </c>
      <c r="G86" s="149">
        <f>F86/E86*100</f>
        <v>64.552680697548283</v>
      </c>
      <c r="H86" s="149">
        <f t="shared" ref="H86:I86" si="151">H87+H88+H90</f>
        <v>8477.0999999999985</v>
      </c>
      <c r="I86" s="149">
        <f t="shared" si="151"/>
        <v>7765.9000000000005</v>
      </c>
      <c r="J86" s="149">
        <f>I86/H86*100</f>
        <v>91.610338441212221</v>
      </c>
      <c r="K86" s="149">
        <f t="shared" ref="K86:L86" si="152">K87+K88+K90</f>
        <v>34385.200000000004</v>
      </c>
      <c r="L86" s="149">
        <f t="shared" si="152"/>
        <v>33814.899999999994</v>
      </c>
      <c r="M86" s="149">
        <f>L86/K86*100</f>
        <v>98.341437595244443</v>
      </c>
      <c r="N86" s="149">
        <f t="shared" ref="N86:O86" si="153">N87+N88+N90</f>
        <v>51887.299999999996</v>
      </c>
      <c r="O86" s="149">
        <f t="shared" si="153"/>
        <v>40965.100000000006</v>
      </c>
      <c r="P86" s="149">
        <f>O86/N86*100</f>
        <v>78.950147724009554</v>
      </c>
      <c r="Q86" s="149">
        <f t="shared" ref="Q86" si="154">Q87+Q88+Q90</f>
        <v>43087.899999999994</v>
      </c>
      <c r="R86" s="149">
        <f>R87+R88+R90</f>
        <v>42308.200000000004</v>
      </c>
      <c r="S86" s="149">
        <f>R86/Q86*100</f>
        <v>98.190443256691566</v>
      </c>
      <c r="T86" s="149">
        <f t="shared" ref="T86:U86" si="155">T87+T88+T90</f>
        <v>35024</v>
      </c>
      <c r="U86" s="149">
        <f t="shared" si="155"/>
        <v>34593.5</v>
      </c>
      <c r="V86" s="149">
        <f>U86/T86*100</f>
        <v>98.770842850616731</v>
      </c>
      <c r="W86" s="149">
        <f t="shared" ref="W86:X86" si="156">W87+W88+W90</f>
        <v>38481.9</v>
      </c>
      <c r="X86" s="149">
        <f t="shared" si="156"/>
        <v>34731.600000000006</v>
      </c>
      <c r="Y86" s="149">
        <f>X86/W86*100</f>
        <v>90.254379331581873</v>
      </c>
      <c r="Z86" s="149">
        <f t="shared" ref="Z86:AA86" si="157">Z87+Z88+Z90</f>
        <v>45793.700000000004</v>
      </c>
      <c r="AA86" s="149">
        <f t="shared" si="157"/>
        <v>39703.200000000004</v>
      </c>
      <c r="AB86" s="149">
        <f>AA86/Z86*100</f>
        <v>86.700135608173184</v>
      </c>
      <c r="AC86" s="149">
        <f t="shared" ref="AC86:AD86" si="158">AC87+AC88+AC90</f>
        <v>36180.5</v>
      </c>
      <c r="AD86" s="149">
        <f t="shared" si="158"/>
        <v>31679.599999999999</v>
      </c>
      <c r="AE86" s="149">
        <f>AD86/AC86*100</f>
        <v>87.559873412473564</v>
      </c>
      <c r="AF86" s="149">
        <f t="shared" ref="AF86:AG86" si="159">AF87+AF88+AF90</f>
        <v>48307.1</v>
      </c>
      <c r="AG86" s="149">
        <f t="shared" si="159"/>
        <v>28892.599999999995</v>
      </c>
      <c r="AH86" s="149">
        <f>AG86/AF86*100</f>
        <v>59.810255635299981</v>
      </c>
      <c r="AI86" s="149">
        <f t="shared" ref="AI86:AJ86" si="160">AI87+AI88+AI90</f>
        <v>36168.9</v>
      </c>
      <c r="AJ86" s="149">
        <f t="shared" si="160"/>
        <v>0</v>
      </c>
      <c r="AK86" s="149">
        <f>AJ86/AI86*100</f>
        <v>0</v>
      </c>
      <c r="AL86" s="149">
        <f t="shared" ref="AL86:AM86" si="161">AL87+AL88+AL90</f>
        <v>31647</v>
      </c>
      <c r="AM86" s="149">
        <f t="shared" si="161"/>
        <v>0</v>
      </c>
      <c r="AN86" s="149">
        <f>AM86/AL86*100</f>
        <v>0</v>
      </c>
      <c r="AO86" s="149">
        <f t="shared" ref="AO86:AP86" si="162">AO87+AO88+AO90</f>
        <v>46705.600000000006</v>
      </c>
      <c r="AP86" s="149">
        <f t="shared" si="162"/>
        <v>0</v>
      </c>
      <c r="AQ86" s="227">
        <f>AP86/AO86*100</f>
        <v>0</v>
      </c>
      <c r="AR86" s="477"/>
      <c r="AS86" s="500"/>
      <c r="AT86" s="233"/>
      <c r="AU86" s="233"/>
      <c r="AV86" s="234"/>
    </row>
    <row r="87" spans="1:50" s="246" customFormat="1" ht="48">
      <c r="A87" s="443"/>
      <c r="B87" s="443"/>
      <c r="C87" s="443"/>
      <c r="D87" s="217" t="s">
        <v>442</v>
      </c>
      <c r="E87" s="149">
        <f>H87+K87+N87+Q87+T87+W87+Z87+AC87+AF87+AI87+AL87+AO87</f>
        <v>126968.4</v>
      </c>
      <c r="F87" s="149">
        <f>I87+L87+O87+R87+U87+X87+AA87+AD87+AG87+AJ87+AM87+AP87</f>
        <v>77603.299999999988</v>
      </c>
      <c r="G87" s="149">
        <f>F87/E87*100</f>
        <v>61.120168482866596</v>
      </c>
      <c r="H87" s="149">
        <f>H76-H82</f>
        <v>219.99999999999997</v>
      </c>
      <c r="I87" s="149">
        <f>I76-I82</f>
        <v>190.6</v>
      </c>
      <c r="J87" s="149">
        <f t="shared" ref="J87:J88" si="163">I87/H87*100</f>
        <v>86.63636363636364</v>
      </c>
      <c r="K87" s="149">
        <f>K76-K82</f>
        <v>8464.7999999999993</v>
      </c>
      <c r="L87" s="149">
        <f>L76-L82</f>
        <v>8256.6999999999989</v>
      </c>
      <c r="M87" s="149">
        <f t="shared" ref="M87:M90" si="164">L87/K87*100</f>
        <v>97.541583971269247</v>
      </c>
      <c r="N87" s="149">
        <f>N76-N82</f>
        <v>10772.499999999998</v>
      </c>
      <c r="O87" s="149">
        <f>O76-O82</f>
        <v>10141.299999999999</v>
      </c>
      <c r="P87" s="149">
        <f t="shared" ref="P87:P90" si="165">O87/N87*100</f>
        <v>94.140635878394065</v>
      </c>
      <c r="Q87" s="149">
        <f>Q76-Q82</f>
        <v>11073.5</v>
      </c>
      <c r="R87" s="149">
        <f>R76-R82</f>
        <v>10456.5</v>
      </c>
      <c r="S87" s="149">
        <f t="shared" ref="S87:S90" si="166">R87/Q87*100</f>
        <v>94.428139251365877</v>
      </c>
      <c r="T87" s="149">
        <f>T76-T82</f>
        <v>9168.7000000000007</v>
      </c>
      <c r="U87" s="149">
        <f>U76-U82</f>
        <v>9008.5</v>
      </c>
      <c r="V87" s="149">
        <f t="shared" ref="V87:V90" si="167">U87/T87*100</f>
        <v>98.252751207913875</v>
      </c>
      <c r="W87" s="149">
        <f>W76-W82</f>
        <v>10616.2</v>
      </c>
      <c r="X87" s="149">
        <f>X76-X82</f>
        <v>9950.7999999999993</v>
      </c>
      <c r="Y87" s="149">
        <f t="shared" ref="Y87:Y90" si="168">X87/W87*100</f>
        <v>93.732220568565012</v>
      </c>
      <c r="Z87" s="149">
        <f>Z76-Z82</f>
        <v>11985.499999999998</v>
      </c>
      <c r="AA87" s="149">
        <f>AA76-AA82</f>
        <v>11620.9</v>
      </c>
      <c r="AB87" s="149">
        <f t="shared" ref="AB87:AB90" si="169">AA87/Z87*100</f>
        <v>96.957990905677704</v>
      </c>
      <c r="AC87" s="149">
        <f>AC76-AC82</f>
        <v>9206.2000000000007</v>
      </c>
      <c r="AD87" s="149">
        <f>AD76-AD82</f>
        <v>8907.1</v>
      </c>
      <c r="AE87" s="149">
        <f t="shared" ref="AE87:AE90" si="170">AD87/AC87*100</f>
        <v>96.751102517868389</v>
      </c>
      <c r="AF87" s="149">
        <f>AF76-AF82</f>
        <v>11990.7</v>
      </c>
      <c r="AG87" s="149">
        <f>AG76-AG82</f>
        <v>9070.9</v>
      </c>
      <c r="AH87" s="149">
        <f t="shared" ref="AH87:AH90" si="171">AG87/AF87*100</f>
        <v>75.64946166612458</v>
      </c>
      <c r="AI87" s="149">
        <f>AI76-AI82</f>
        <v>11202.5</v>
      </c>
      <c r="AJ87" s="149">
        <f>AJ76-AJ82</f>
        <v>0</v>
      </c>
      <c r="AK87" s="149">
        <f t="shared" ref="AK87:AK90" si="172">AJ87/AI87*100</f>
        <v>0</v>
      </c>
      <c r="AL87" s="149">
        <f>AL76-AL82</f>
        <v>8940.7000000000007</v>
      </c>
      <c r="AM87" s="149">
        <f>AM76-AM82</f>
        <v>0</v>
      </c>
      <c r="AN87" s="149">
        <f t="shared" ref="AN87:AN90" si="173">AM87/AL87*100</f>
        <v>0</v>
      </c>
      <c r="AO87" s="149">
        <f>AO76-AO82</f>
        <v>23327.1</v>
      </c>
      <c r="AP87" s="149">
        <f>AP76-AP82</f>
        <v>0</v>
      </c>
      <c r="AQ87" s="227">
        <f t="shared" ref="AQ87:AQ90" si="174">AP87/AO87*100</f>
        <v>0</v>
      </c>
      <c r="AR87" s="477"/>
      <c r="AS87" s="500"/>
      <c r="AT87" s="233"/>
      <c r="AU87" s="233"/>
      <c r="AV87" s="234"/>
    </row>
    <row r="88" spans="1:50" s="246" customFormat="1" ht="12.75">
      <c r="A88" s="443"/>
      <c r="B88" s="443"/>
      <c r="C88" s="443"/>
      <c r="D88" s="217" t="s">
        <v>462</v>
      </c>
      <c r="E88" s="149">
        <f t="shared" ref="E88:F90" si="175">H88+K88+N88+Q88+T88+W88+Z88+AC88+AF88+AI88+AL88+AO88</f>
        <v>323583.5</v>
      </c>
      <c r="F88" s="149">
        <f t="shared" si="175"/>
        <v>213269.4</v>
      </c>
      <c r="G88" s="149">
        <f>F88/E88*100</f>
        <v>65.908614005349463</v>
      </c>
      <c r="H88" s="149">
        <f t="shared" ref="H88:I88" si="176">H77-H83</f>
        <v>8257.0999999999985</v>
      </c>
      <c r="I88" s="149">
        <f t="shared" si="176"/>
        <v>7575.3</v>
      </c>
      <c r="J88" s="149">
        <f t="shared" si="163"/>
        <v>91.742863717285744</v>
      </c>
      <c r="K88" s="149">
        <f t="shared" ref="K88:L88" si="177">K77-K83</f>
        <v>25388.400000000005</v>
      </c>
      <c r="L88" s="149">
        <f t="shared" si="177"/>
        <v>25005.699999999997</v>
      </c>
      <c r="M88" s="149">
        <f t="shared" si="164"/>
        <v>98.492618676245812</v>
      </c>
      <c r="N88" s="149">
        <f t="shared" ref="N88:O88" si="178">N77-N83</f>
        <v>40737.1</v>
      </c>
      <c r="O88" s="149">
        <f t="shared" si="178"/>
        <v>30499.500000000004</v>
      </c>
      <c r="P88" s="149">
        <f t="shared" si="165"/>
        <v>74.869099665906518</v>
      </c>
      <c r="Q88" s="149">
        <f t="shared" ref="Q88:R88" si="179">Q77-Q83</f>
        <v>31683.699999999997</v>
      </c>
      <c r="R88" s="149">
        <f t="shared" si="179"/>
        <v>31521.800000000003</v>
      </c>
      <c r="S88" s="149">
        <f t="shared" si="166"/>
        <v>99.489011700022417</v>
      </c>
      <c r="T88" s="149">
        <f t="shared" ref="T88:U88" si="180">T77-T83</f>
        <v>25314.999999999996</v>
      </c>
      <c r="U88" s="149">
        <f t="shared" si="180"/>
        <v>25054.1</v>
      </c>
      <c r="V88" s="149">
        <f t="shared" si="167"/>
        <v>98.969385739680035</v>
      </c>
      <c r="W88" s="149">
        <f t="shared" ref="W88:X88" si="181">W77-W83</f>
        <v>27361.800000000003</v>
      </c>
      <c r="X88" s="149">
        <f t="shared" si="181"/>
        <v>24303</v>
      </c>
      <c r="Y88" s="149">
        <f t="shared" si="168"/>
        <v>88.820910904984302</v>
      </c>
      <c r="Z88" s="149">
        <f t="shared" ref="Z88:AA88" si="182">Z77-Z83</f>
        <v>33229.9</v>
      </c>
      <c r="AA88" s="149">
        <f t="shared" si="182"/>
        <v>27504.000000000004</v>
      </c>
      <c r="AB88" s="149">
        <f t="shared" si="169"/>
        <v>82.768831684717682</v>
      </c>
      <c r="AC88" s="149">
        <f t="shared" ref="AC88:AD88" si="183">AC77-AC83</f>
        <v>26470.499999999996</v>
      </c>
      <c r="AD88" s="149">
        <f t="shared" si="183"/>
        <v>22268.5</v>
      </c>
      <c r="AE88" s="149">
        <f t="shared" si="170"/>
        <v>84.125724863527324</v>
      </c>
      <c r="AF88" s="149">
        <f t="shared" ref="AF88:AG88" si="184">AF77-AF83</f>
        <v>36032</v>
      </c>
      <c r="AG88" s="149">
        <f t="shared" si="184"/>
        <v>19537.499999999996</v>
      </c>
      <c r="AH88" s="149">
        <f t="shared" si="171"/>
        <v>54.222635435168733</v>
      </c>
      <c r="AI88" s="149">
        <f t="shared" ref="AI88:AJ88" si="185">AI77-AI83</f>
        <v>24245.9</v>
      </c>
      <c r="AJ88" s="149">
        <f t="shared" si="185"/>
        <v>0</v>
      </c>
      <c r="AK88" s="149">
        <f t="shared" si="172"/>
        <v>0</v>
      </c>
      <c r="AL88" s="149">
        <f t="shared" ref="AL88:AM88" si="186">AL77-AL83</f>
        <v>22337.899999999998</v>
      </c>
      <c r="AM88" s="149">
        <f t="shared" si="186"/>
        <v>0</v>
      </c>
      <c r="AN88" s="149">
        <f t="shared" si="173"/>
        <v>0</v>
      </c>
      <c r="AO88" s="149">
        <f t="shared" ref="AO88:AP88" si="187">AO77-AO83</f>
        <v>22524.2</v>
      </c>
      <c r="AP88" s="149">
        <f t="shared" si="187"/>
        <v>0</v>
      </c>
      <c r="AQ88" s="227">
        <f t="shared" si="174"/>
        <v>0</v>
      </c>
      <c r="AR88" s="477"/>
      <c r="AS88" s="500"/>
      <c r="AT88" s="233"/>
      <c r="AU88" s="233"/>
      <c r="AV88" s="234"/>
    </row>
    <row r="89" spans="1:50" s="236" customFormat="1" ht="36">
      <c r="A89" s="443"/>
      <c r="B89" s="443"/>
      <c r="C89" s="443"/>
      <c r="D89" s="224" t="s">
        <v>457</v>
      </c>
      <c r="E89" s="229">
        <f t="shared" si="175"/>
        <v>0</v>
      </c>
      <c r="F89" s="229">
        <f t="shared" si="175"/>
        <v>349.70000000000005</v>
      </c>
      <c r="G89" s="229">
        <v>0</v>
      </c>
      <c r="H89" s="229">
        <v>0</v>
      </c>
      <c r="I89" s="229">
        <v>0</v>
      </c>
      <c r="J89" s="229">
        <v>0</v>
      </c>
      <c r="K89" s="229">
        <v>0</v>
      </c>
      <c r="L89" s="229">
        <v>0</v>
      </c>
      <c r="M89" s="229">
        <v>0</v>
      </c>
      <c r="N89" s="229">
        <v>0</v>
      </c>
      <c r="O89" s="229">
        <v>165.8</v>
      </c>
      <c r="P89" s="229">
        <v>0</v>
      </c>
      <c r="Q89" s="229">
        <v>0</v>
      </c>
      <c r="R89" s="229">
        <f>R79</f>
        <v>183.9</v>
      </c>
      <c r="S89" s="229">
        <v>0</v>
      </c>
      <c r="T89" s="230">
        <v>0</v>
      </c>
      <c r="U89" s="230">
        <v>0</v>
      </c>
      <c r="V89" s="230">
        <v>0</v>
      </c>
      <c r="W89" s="230">
        <v>0</v>
      </c>
      <c r="X89" s="230">
        <v>0</v>
      </c>
      <c r="Y89" s="230">
        <v>0</v>
      </c>
      <c r="Z89" s="229">
        <v>0</v>
      </c>
      <c r="AA89" s="229">
        <v>0</v>
      </c>
      <c r="AB89" s="229">
        <v>0</v>
      </c>
      <c r="AC89" s="230">
        <v>0</v>
      </c>
      <c r="AD89" s="230">
        <v>0</v>
      </c>
      <c r="AE89" s="230">
        <v>0</v>
      </c>
      <c r="AF89" s="230">
        <v>0</v>
      </c>
      <c r="AG89" s="230">
        <v>0</v>
      </c>
      <c r="AH89" s="230">
        <v>0</v>
      </c>
      <c r="AI89" s="229">
        <v>0</v>
      </c>
      <c r="AJ89" s="229">
        <v>0</v>
      </c>
      <c r="AK89" s="229">
        <v>0</v>
      </c>
      <c r="AL89" s="230">
        <v>0</v>
      </c>
      <c r="AM89" s="230">
        <v>0</v>
      </c>
      <c r="AN89" s="230">
        <v>0</v>
      </c>
      <c r="AO89" s="230">
        <v>0</v>
      </c>
      <c r="AP89" s="229"/>
      <c r="AQ89" s="229"/>
      <c r="AR89" s="477"/>
      <c r="AS89" s="500"/>
      <c r="AT89" s="232"/>
      <c r="AU89" s="233"/>
      <c r="AV89" s="234"/>
      <c r="AW89" s="235"/>
      <c r="AX89" s="233"/>
    </row>
    <row r="90" spans="1:50" s="246" customFormat="1" ht="24">
      <c r="A90" s="443"/>
      <c r="B90" s="443"/>
      <c r="C90" s="443"/>
      <c r="D90" s="218" t="s">
        <v>257</v>
      </c>
      <c r="E90" s="149">
        <f>H90+K90+N90+Q90+T90+W90+Z90+AC90+AF90+AI90+AL90+AO90</f>
        <v>5594.3</v>
      </c>
      <c r="F90" s="149">
        <f t="shared" si="175"/>
        <v>3581.8999999999996</v>
      </c>
      <c r="G90" s="149">
        <f>F90/E90*100</f>
        <v>64.027671022290534</v>
      </c>
      <c r="H90" s="149">
        <f>H78-H84</f>
        <v>0</v>
      </c>
      <c r="I90" s="149">
        <f>I78-I84</f>
        <v>0</v>
      </c>
      <c r="J90" s="149">
        <v>0</v>
      </c>
      <c r="K90" s="149">
        <f>K78-K84</f>
        <v>532</v>
      </c>
      <c r="L90" s="149">
        <f>L78-L84</f>
        <v>552.5</v>
      </c>
      <c r="M90" s="149">
        <f t="shared" si="164"/>
        <v>103.8533834586466</v>
      </c>
      <c r="N90" s="149">
        <f>N78-N84</f>
        <v>377.70000000000005</v>
      </c>
      <c r="O90" s="149">
        <f>O78-O84</f>
        <v>324.3</v>
      </c>
      <c r="P90" s="149">
        <f t="shared" si="165"/>
        <v>85.861795075456698</v>
      </c>
      <c r="Q90" s="149">
        <f>Q78-Q84</f>
        <v>330.70000000000005</v>
      </c>
      <c r="R90" s="149">
        <f>R78-R84</f>
        <v>329.9</v>
      </c>
      <c r="S90" s="149">
        <f t="shared" si="166"/>
        <v>99.758088902328382</v>
      </c>
      <c r="T90" s="149">
        <f>T78-T84</f>
        <v>540.30000000000007</v>
      </c>
      <c r="U90" s="149">
        <f>U78-U84</f>
        <v>530.9</v>
      </c>
      <c r="V90" s="149">
        <f t="shared" si="167"/>
        <v>98.260225800481194</v>
      </c>
      <c r="W90" s="149">
        <f>W78-W84</f>
        <v>503.90000000000003</v>
      </c>
      <c r="X90" s="149">
        <f>X78-X84</f>
        <v>477.8</v>
      </c>
      <c r="Y90" s="149">
        <f t="shared" si="168"/>
        <v>94.820400873189129</v>
      </c>
      <c r="Z90" s="149">
        <f>Z78-Z84</f>
        <v>578.29999999999995</v>
      </c>
      <c r="AA90" s="149">
        <f>AA78-AA84</f>
        <v>578.29999999999995</v>
      </c>
      <c r="AB90" s="149">
        <f t="shared" si="169"/>
        <v>100</v>
      </c>
      <c r="AC90" s="149">
        <f>AC78-AC84</f>
        <v>503.8</v>
      </c>
      <c r="AD90" s="149">
        <f>AD78-AD84</f>
        <v>504</v>
      </c>
      <c r="AE90" s="149">
        <f t="shared" si="170"/>
        <v>100.03969829297338</v>
      </c>
      <c r="AF90" s="149">
        <f>AF78-AF84</f>
        <v>284.40000000000003</v>
      </c>
      <c r="AG90" s="149">
        <f>AG78-AG84</f>
        <v>284.2</v>
      </c>
      <c r="AH90" s="149">
        <f t="shared" si="171"/>
        <v>99.92967651195498</v>
      </c>
      <c r="AI90" s="149">
        <f>AI78-AI84</f>
        <v>720.5</v>
      </c>
      <c r="AJ90" s="149">
        <f>AJ78-AJ84</f>
        <v>0</v>
      </c>
      <c r="AK90" s="149">
        <f t="shared" si="172"/>
        <v>0</v>
      </c>
      <c r="AL90" s="149">
        <f>AL78-AL84</f>
        <v>368.4</v>
      </c>
      <c r="AM90" s="149">
        <f>AM78-AM84</f>
        <v>0</v>
      </c>
      <c r="AN90" s="149">
        <f t="shared" si="173"/>
        <v>0</v>
      </c>
      <c r="AO90" s="149">
        <f>AO78-AO84</f>
        <v>854.30000000000007</v>
      </c>
      <c r="AP90" s="149">
        <f>AP78-AP84</f>
        <v>0</v>
      </c>
      <c r="AQ90" s="227">
        <f t="shared" si="174"/>
        <v>0</v>
      </c>
      <c r="AR90" s="477"/>
      <c r="AS90" s="500"/>
      <c r="AT90" s="233"/>
      <c r="AU90" s="233"/>
      <c r="AV90" s="234"/>
    </row>
    <row r="91" spans="1:50" s="235" customFormat="1" ht="24">
      <c r="A91" s="443"/>
      <c r="B91" s="443"/>
      <c r="C91" s="443"/>
      <c r="D91" s="218" t="s">
        <v>467</v>
      </c>
      <c r="E91" s="149">
        <f>H91+K91+N91+Q91+T91+W91+Z91+AC91+AF91+AI91+AL91+AO91</f>
        <v>0</v>
      </c>
      <c r="F91" s="149">
        <f>I91+L91+O91+R91+U91+X91+AA91+AD91+AG91+AJ91+AM91+AP91</f>
        <v>0</v>
      </c>
      <c r="G91" s="149">
        <v>0</v>
      </c>
      <c r="H91" s="149">
        <v>0</v>
      </c>
      <c r="I91" s="149">
        <v>0</v>
      </c>
      <c r="J91" s="149">
        <v>0</v>
      </c>
      <c r="K91" s="254">
        <v>0</v>
      </c>
      <c r="L91" s="149">
        <v>0</v>
      </c>
      <c r="M91" s="149">
        <v>0</v>
      </c>
      <c r="N91" s="149">
        <v>0</v>
      </c>
      <c r="O91" s="149">
        <v>0</v>
      </c>
      <c r="P91" s="149">
        <v>0</v>
      </c>
      <c r="Q91" s="149">
        <v>0</v>
      </c>
      <c r="R91" s="149">
        <v>0</v>
      </c>
      <c r="S91" s="149">
        <v>0</v>
      </c>
      <c r="T91" s="226">
        <v>0</v>
      </c>
      <c r="U91" s="226">
        <v>0</v>
      </c>
      <c r="V91" s="149">
        <v>0</v>
      </c>
      <c r="W91" s="226">
        <v>0</v>
      </c>
      <c r="X91" s="226">
        <v>0</v>
      </c>
      <c r="Y91" s="226">
        <v>0</v>
      </c>
      <c r="Z91" s="226">
        <v>0</v>
      </c>
      <c r="AA91" s="226">
        <v>0</v>
      </c>
      <c r="AB91" s="226">
        <v>0</v>
      </c>
      <c r="AC91" s="226">
        <v>0</v>
      </c>
      <c r="AD91" s="226">
        <v>0</v>
      </c>
      <c r="AE91" s="226">
        <v>0</v>
      </c>
      <c r="AF91" s="226">
        <v>0</v>
      </c>
      <c r="AG91" s="226">
        <v>0</v>
      </c>
      <c r="AH91" s="149">
        <v>0</v>
      </c>
      <c r="AI91" s="149">
        <v>0</v>
      </c>
      <c r="AJ91" s="149">
        <v>0</v>
      </c>
      <c r="AK91" s="149">
        <v>0</v>
      </c>
      <c r="AL91" s="226">
        <v>0</v>
      </c>
      <c r="AM91" s="226">
        <v>0</v>
      </c>
      <c r="AN91" s="226">
        <v>0</v>
      </c>
      <c r="AO91" s="149">
        <v>0</v>
      </c>
      <c r="AP91" s="149">
        <v>0</v>
      </c>
      <c r="AQ91" s="149">
        <v>0</v>
      </c>
      <c r="AR91" s="477"/>
      <c r="AS91" s="500"/>
      <c r="AT91" s="233"/>
      <c r="AU91" s="233"/>
      <c r="AV91" s="234"/>
    </row>
    <row r="92" spans="1:50">
      <c r="A92" s="502" t="s">
        <v>37</v>
      </c>
      <c r="B92" s="502"/>
      <c r="C92" s="502"/>
      <c r="AR92" s="260"/>
    </row>
    <row r="93" spans="1:50" s="235" customFormat="1" ht="12.75" customHeight="1">
      <c r="A93" s="444" t="s">
        <v>485</v>
      </c>
      <c r="B93" s="445"/>
      <c r="C93" s="446"/>
      <c r="D93" s="143" t="s">
        <v>444</v>
      </c>
      <c r="E93" s="123">
        <f>E94+E95+E96</f>
        <v>245306.09999999998</v>
      </c>
      <c r="F93" s="123">
        <f>F94+F95+F96</f>
        <v>164176.79999999996</v>
      </c>
      <c r="G93" s="123">
        <f>F93/E93*100</f>
        <v>66.92732060066993</v>
      </c>
      <c r="H93" s="123">
        <f t="shared" ref="H93:I93" si="188">H94+H95+H96</f>
        <v>6195.3999999999987</v>
      </c>
      <c r="I93" s="123">
        <f t="shared" si="188"/>
        <v>5484.2000000000007</v>
      </c>
      <c r="J93" s="123">
        <f>I93/H93*100</f>
        <v>88.520515220970424</v>
      </c>
      <c r="K93" s="123">
        <f t="shared" ref="K93:L93" si="189">K94+K95+K96</f>
        <v>20001.2</v>
      </c>
      <c r="L93" s="123">
        <f t="shared" si="189"/>
        <v>19555.199999999993</v>
      </c>
      <c r="M93" s="123">
        <f>L93/K93*100</f>
        <v>97.770133791972441</v>
      </c>
      <c r="N93" s="123">
        <f t="shared" ref="N93:O93" si="190">N94+N95+N96</f>
        <v>32753.3</v>
      </c>
      <c r="O93" s="123">
        <f t="shared" si="190"/>
        <v>25898.200000000004</v>
      </c>
      <c r="P93" s="123">
        <f>O93/N93*100</f>
        <v>79.070505872690717</v>
      </c>
      <c r="Q93" s="123">
        <f t="shared" ref="Q93:R93" si="191">Q94+Q95+Q96</f>
        <v>22081.599999999999</v>
      </c>
      <c r="R93" s="123">
        <f t="shared" si="191"/>
        <v>21268.800000000003</v>
      </c>
      <c r="S93" s="123">
        <f>R93/Q93*100</f>
        <v>96.319107311064428</v>
      </c>
      <c r="T93" s="123">
        <f t="shared" ref="T93:U93" si="192">T94+T95+T96</f>
        <v>20435.799999999996</v>
      </c>
      <c r="U93" s="123">
        <f t="shared" si="192"/>
        <v>20628.2</v>
      </c>
      <c r="V93" s="123">
        <f>U93/T93*100</f>
        <v>100.94148504095757</v>
      </c>
      <c r="W93" s="123">
        <f t="shared" ref="W93:X93" si="193">W94+W95+W96</f>
        <v>16557.700000000004</v>
      </c>
      <c r="X93" s="123">
        <f t="shared" si="193"/>
        <v>17969.099999999999</v>
      </c>
      <c r="Y93" s="123">
        <f>X93/W93*100</f>
        <v>108.5241307669543</v>
      </c>
      <c r="Z93" s="123">
        <f t="shared" ref="Z93:AA93" si="194">Z94+Z95+Z96</f>
        <v>26251.699999999997</v>
      </c>
      <c r="AA93" s="123">
        <f t="shared" si="194"/>
        <v>22724.300000000003</v>
      </c>
      <c r="AB93" s="123">
        <f>AA93/Z93*100</f>
        <v>86.563155909903003</v>
      </c>
      <c r="AC93" s="123">
        <f t="shared" ref="AC93:AD93" si="195">AC94+AC95+AC96</f>
        <v>19229.399999999998</v>
      </c>
      <c r="AD93" s="123">
        <f t="shared" si="195"/>
        <v>16661.2</v>
      </c>
      <c r="AE93" s="123">
        <f>AD93/AC93*100</f>
        <v>86.644409081926639</v>
      </c>
      <c r="AF93" s="123">
        <f t="shared" ref="AF93:AG93" si="196">AF94+AF95+AF96</f>
        <v>30181</v>
      </c>
      <c r="AG93" s="123">
        <f t="shared" si="196"/>
        <v>13987.599999999997</v>
      </c>
      <c r="AH93" s="123">
        <f>AG93/AF93*100</f>
        <v>46.345714191047335</v>
      </c>
      <c r="AI93" s="123">
        <f t="shared" ref="AI93:AJ93" si="197">AI94+AI95+AI96</f>
        <v>19684.400000000001</v>
      </c>
      <c r="AJ93" s="123">
        <f t="shared" si="197"/>
        <v>0</v>
      </c>
      <c r="AK93" s="123">
        <f>AJ93/AI93*100</f>
        <v>0</v>
      </c>
      <c r="AL93" s="123">
        <f t="shared" ref="AL93:AM93" si="198">AL94+AL95+AL96</f>
        <v>15270.499999999996</v>
      </c>
      <c r="AM93" s="123">
        <f t="shared" si="198"/>
        <v>0</v>
      </c>
      <c r="AN93" s="123">
        <f>AM93/AL93*100</f>
        <v>0</v>
      </c>
      <c r="AO93" s="123">
        <f t="shared" ref="AO93:AP93" si="199">AO94+AO95+AO96</f>
        <v>16664.100000000006</v>
      </c>
      <c r="AP93" s="123">
        <f t="shared" si="199"/>
        <v>0</v>
      </c>
      <c r="AQ93" s="228">
        <f>AP93/AO93*100</f>
        <v>0</v>
      </c>
      <c r="AR93" s="477"/>
      <c r="AS93" s="500"/>
      <c r="AT93" s="233"/>
      <c r="AU93" s="233"/>
      <c r="AV93" s="234"/>
    </row>
    <row r="94" spans="1:50" s="235" customFormat="1" ht="48">
      <c r="A94" s="447"/>
      <c r="B94" s="448"/>
      <c r="C94" s="449"/>
      <c r="D94" s="220" t="s">
        <v>442</v>
      </c>
      <c r="E94" s="123">
        <f>H94+K94+N94+Q94+T94+W94+Z94+AC94+AF94+AI94+AL94+AO94</f>
        <v>18368.800000000003</v>
      </c>
      <c r="F94" s="123">
        <f>I94+L94+O94+R94+U94+X94+AA94+AD94+AG94+AJ94+AM94+AP94</f>
        <v>11336.8</v>
      </c>
      <c r="G94" s="123">
        <f>F94/E94*100</f>
        <v>61.717695222333511</v>
      </c>
      <c r="H94" s="123">
        <f>H76-H99-H105-H110-H115-H120-H125</f>
        <v>219.99999999999997</v>
      </c>
      <c r="I94" s="123">
        <f>I76-I99-I105-I110-I115-I120-I125</f>
        <v>190.6</v>
      </c>
      <c r="J94" s="123">
        <f t="shared" ref="J94:J95" si="200">I94/H94*100</f>
        <v>86.63636363636364</v>
      </c>
      <c r="K94" s="123">
        <f>K76-K99-K105-K110-K115-K120-K125</f>
        <v>1381.5999999999985</v>
      </c>
      <c r="L94" s="123">
        <f>L76-L99-L105-L110-L115-L120-L125</f>
        <v>1258.5999999999985</v>
      </c>
      <c r="M94" s="123">
        <f t="shared" ref="M94:M96" si="201">L94/K94*100</f>
        <v>91.097278517660669</v>
      </c>
      <c r="N94" s="123">
        <f>N76-N99-N105-N110-N115-N120-N125</f>
        <v>2130.2999999999988</v>
      </c>
      <c r="O94" s="123">
        <f>O76-O99-O105-O110-O115-O120-O125</f>
        <v>1889.599999999999</v>
      </c>
      <c r="P94" s="123">
        <f t="shared" ref="P94:P96" si="202">O94/N94*100</f>
        <v>88.701121907712533</v>
      </c>
      <c r="Q94" s="123">
        <f>Q76-Q99-Q105-Q110-Q115-Q120-Q125</f>
        <v>1921.5000000000007</v>
      </c>
      <c r="R94" s="123">
        <f>R76-R99-R105-R110-R115-R120-R125</f>
        <v>1315.5</v>
      </c>
      <c r="S94" s="123">
        <f t="shared" ref="S94:S96" si="203">R94/Q94*100</f>
        <v>68.462138953942215</v>
      </c>
      <c r="T94" s="123">
        <f>T76-T99-T105-T110-T115-T120-T125</f>
        <v>534.20000000000209</v>
      </c>
      <c r="U94" s="123">
        <f>U76-U99-U105-U110-U115-U120-U125</f>
        <v>910.3</v>
      </c>
      <c r="V94" s="123">
        <f t="shared" ref="V94:V96" si="204">U94/T94*100</f>
        <v>170.40434294271739</v>
      </c>
      <c r="W94" s="123">
        <f>W76-W99-W105-W110-W115-W120-W125</f>
        <v>2030.3000000000011</v>
      </c>
      <c r="X94" s="123">
        <f>X76-X99-X105-X110-X115-X120-X125</f>
        <v>1681.8999999999983</v>
      </c>
      <c r="Y94" s="123">
        <f t="shared" ref="Y94:Y96" si="205">X94/W94*100</f>
        <v>82.839974388021346</v>
      </c>
      <c r="Z94" s="123">
        <f>Z76-Z99-Z105-Z110-Z115-Z120-Z125</f>
        <v>1510.999999999997</v>
      </c>
      <c r="AA94" s="123">
        <f>AA76-AA99-AA105-AA110-AA115-AA120-AA125</f>
        <v>2358.1999999999998</v>
      </c>
      <c r="AB94" s="123">
        <f t="shared" ref="AB94:AB96" si="206">AA94/Z94*100</f>
        <v>156.06882859033783</v>
      </c>
      <c r="AC94" s="123">
        <f>AC76-AC99-AC105-AC110-AC115-AC120-AC125</f>
        <v>985.80000000000143</v>
      </c>
      <c r="AD94" s="123">
        <f>AD76-AD99-AD105-AD110-AD115-AD120-AD125</f>
        <v>892.40000000000146</v>
      </c>
      <c r="AE94" s="123">
        <f t="shared" ref="AE94:AE96" si="207">AD94/AC94*100</f>
        <v>90.525461554067775</v>
      </c>
      <c r="AF94" s="123">
        <f>AF76-AF99-AF105-AF110-AF115-AF120-AF125</f>
        <v>1835.0000000000007</v>
      </c>
      <c r="AG94" s="123">
        <f>AG76-AG99-AG105-AG110-AG115-AG120-AG125</f>
        <v>839.7</v>
      </c>
      <c r="AH94" s="123">
        <f t="shared" ref="AH94:AH96" si="208">AG94/AF94*100</f>
        <v>45.760217983651216</v>
      </c>
      <c r="AI94" s="123">
        <f>AI76-AI99-AI105-AI110-AI115-AI120-AI125</f>
        <v>2315.2000000000016</v>
      </c>
      <c r="AJ94" s="123">
        <f>AJ76-AJ99-AJ105-AJ110-AJ115-AJ120-AJ125</f>
        <v>0</v>
      </c>
      <c r="AK94" s="123">
        <f t="shared" ref="AK94:AK96" si="209">AJ94/AI94*100</f>
        <v>0</v>
      </c>
      <c r="AL94" s="123">
        <f>AL76-AL99-AL105-AL110-AL115-AL120-AL125</f>
        <v>-128</v>
      </c>
      <c r="AM94" s="123">
        <f>AM76-AM99-AM105-AM110-AM115-AM120-AM125</f>
        <v>0</v>
      </c>
      <c r="AN94" s="123">
        <f t="shared" ref="AN94:AN96" si="210">AM94/AL94*100</f>
        <v>0</v>
      </c>
      <c r="AO94" s="123">
        <f>AO76-AO99-AO105-AO110-AO115-AO120-AO125</f>
        <v>3631.9000000000005</v>
      </c>
      <c r="AP94" s="123">
        <f>AP76-AP99-AP105-AP110-AP115-AP120-AP125</f>
        <v>0</v>
      </c>
      <c r="AQ94" s="228">
        <f t="shared" ref="AQ94:AQ96" si="211">AP94/AO94*100</f>
        <v>0</v>
      </c>
      <c r="AR94" s="477"/>
      <c r="AS94" s="500"/>
      <c r="AT94" s="233"/>
      <c r="AU94" s="233"/>
      <c r="AV94" s="234"/>
    </row>
    <row r="95" spans="1:50" s="235" customFormat="1" ht="12.75">
      <c r="A95" s="447"/>
      <c r="B95" s="448"/>
      <c r="C95" s="449"/>
      <c r="D95" s="220" t="s">
        <v>462</v>
      </c>
      <c r="E95" s="123">
        <f t="shared" ref="E95:F96" si="212">H95+K95+N95+Q95+T95+W95+Z95+AC95+AF95+AI95+AL95+AO95</f>
        <v>221343</v>
      </c>
      <c r="F95" s="123">
        <f t="shared" si="212"/>
        <v>149258.09999999998</v>
      </c>
      <c r="G95" s="123">
        <f>F95/E95*100</f>
        <v>67.432943440723221</v>
      </c>
      <c r="H95" s="123">
        <f>H77-H100-H106-H111-H116-H121-H126</f>
        <v>5975.3999999999987</v>
      </c>
      <c r="I95" s="123">
        <f>I77-I100-I106-I111-I116-I121-I126</f>
        <v>5293.6</v>
      </c>
      <c r="J95" s="123">
        <f t="shared" si="200"/>
        <v>88.589885195970169</v>
      </c>
      <c r="K95" s="123">
        <f>K77-K100-K106-K111-K116-K121-K126</f>
        <v>18087.600000000002</v>
      </c>
      <c r="L95" s="123">
        <f>L77-L100-L106-L111-L116-L121-L126</f>
        <v>17744.099999999995</v>
      </c>
      <c r="M95" s="123">
        <f t="shared" si="201"/>
        <v>98.100908909971423</v>
      </c>
      <c r="N95" s="123">
        <f>N77-N100-N106-N111-N116-N121-N126</f>
        <v>30245.3</v>
      </c>
      <c r="O95" s="123">
        <f>O77-O100-O106-O111-O116-O121-O126</f>
        <v>23684.300000000007</v>
      </c>
      <c r="P95" s="123">
        <f t="shared" si="202"/>
        <v>78.307373377020582</v>
      </c>
      <c r="Q95" s="123">
        <f>Q77-Q100-Q106-Q111-Q116-Q121-Q126</f>
        <v>19829.399999999998</v>
      </c>
      <c r="R95" s="123">
        <f>R77-R100-R106-R111-R116-R121-R126</f>
        <v>19623.400000000001</v>
      </c>
      <c r="S95" s="123">
        <f t="shared" si="203"/>
        <v>98.961138511503151</v>
      </c>
      <c r="T95" s="123">
        <f>T77-T100-T106-T111-T116-T121-T126</f>
        <v>19361.299999999996</v>
      </c>
      <c r="U95" s="123">
        <f>U77-U100-U106-U111-U116-U121-U126</f>
        <v>19187</v>
      </c>
      <c r="V95" s="123">
        <f t="shared" si="204"/>
        <v>99.099750533280329</v>
      </c>
      <c r="W95" s="123">
        <f>W77-W100-W106-W111-W116-W121-W126</f>
        <v>14023.500000000004</v>
      </c>
      <c r="X95" s="123">
        <f>X77-X100-X106-X111-X116-X121-X126</f>
        <v>15809.4</v>
      </c>
      <c r="Y95" s="123">
        <f t="shared" si="205"/>
        <v>112.73505187720609</v>
      </c>
      <c r="Z95" s="123">
        <f>Z77-Z100-Z106-Z111-Z116-Z121-Z126</f>
        <v>24162.400000000001</v>
      </c>
      <c r="AA95" s="123">
        <f>AA77-AA100-AA106-AA111-AA116-AA121-AA126</f>
        <v>19787.800000000003</v>
      </c>
      <c r="AB95" s="123">
        <f t="shared" si="206"/>
        <v>81.895010429427543</v>
      </c>
      <c r="AC95" s="123">
        <f>AC77-AC100-AC106-AC111-AC116-AC121-AC126</f>
        <v>17739.799999999996</v>
      </c>
      <c r="AD95" s="123">
        <f>AD77-AD100-AD106-AD111-AD116-AD121-AD126</f>
        <v>15264.8</v>
      </c>
      <c r="AE95" s="123">
        <f t="shared" si="207"/>
        <v>86.048320725149125</v>
      </c>
      <c r="AF95" s="123">
        <f>AF77-AF100-AF106-AF111-AF116-AF121-AF126</f>
        <v>28061.599999999999</v>
      </c>
      <c r="AG95" s="123">
        <f>AG77-AG100-AG106-AG111-AG116-AG121-AG126</f>
        <v>12863.699999999995</v>
      </c>
      <c r="AH95" s="123">
        <f t="shared" si="208"/>
        <v>45.840935655842848</v>
      </c>
      <c r="AI95" s="123">
        <f>AI77-AI100-AI106-AI111-AI116-AI121-AI126</f>
        <v>16648.7</v>
      </c>
      <c r="AJ95" s="123">
        <f>AJ77-AJ100-AJ106-AJ111-AJ116-AJ121-AJ126</f>
        <v>0</v>
      </c>
      <c r="AK95" s="123">
        <f t="shared" si="209"/>
        <v>0</v>
      </c>
      <c r="AL95" s="123">
        <f>AL77-AL100-AL106-AL111-AL116-AL121-AL126</f>
        <v>15030.099999999997</v>
      </c>
      <c r="AM95" s="123">
        <f>AM77-AM100-AM106-AM111-AM116-AM121-AM126</f>
        <v>0</v>
      </c>
      <c r="AN95" s="123">
        <f t="shared" si="210"/>
        <v>0</v>
      </c>
      <c r="AO95" s="123">
        <f>AO77-AO100-AO106-AO111-AO116-AO121-AO126</f>
        <v>12177.900000000005</v>
      </c>
      <c r="AP95" s="123">
        <f>AP77-AP100-AP106-AP111-AP116-AP121-AP126</f>
        <v>0</v>
      </c>
      <c r="AQ95" s="228">
        <f t="shared" si="211"/>
        <v>0</v>
      </c>
      <c r="AR95" s="477"/>
      <c r="AS95" s="500"/>
      <c r="AT95" s="233"/>
      <c r="AU95" s="233"/>
      <c r="AV95" s="234"/>
    </row>
    <row r="96" spans="1:50" s="235" customFormat="1" ht="24">
      <c r="A96" s="447"/>
      <c r="B96" s="448"/>
      <c r="C96" s="449"/>
      <c r="D96" s="143" t="s">
        <v>257</v>
      </c>
      <c r="E96" s="123">
        <f t="shared" si="212"/>
        <v>5594.3</v>
      </c>
      <c r="F96" s="123">
        <f t="shared" si="212"/>
        <v>3581.8999999999996</v>
      </c>
      <c r="G96" s="123">
        <f>F96/E96*100</f>
        <v>64.027671022290534</v>
      </c>
      <c r="H96" s="123">
        <f>H78</f>
        <v>0</v>
      </c>
      <c r="I96" s="123">
        <f>I78</f>
        <v>0</v>
      </c>
      <c r="J96" s="123">
        <v>0</v>
      </c>
      <c r="K96" s="123">
        <f>K78</f>
        <v>532</v>
      </c>
      <c r="L96" s="123">
        <f>L78</f>
        <v>552.5</v>
      </c>
      <c r="M96" s="123">
        <f t="shared" si="201"/>
        <v>103.8533834586466</v>
      </c>
      <c r="N96" s="123">
        <f>N78</f>
        <v>377.70000000000005</v>
      </c>
      <c r="O96" s="123">
        <f>O78</f>
        <v>324.3</v>
      </c>
      <c r="P96" s="123">
        <f t="shared" si="202"/>
        <v>85.861795075456698</v>
      </c>
      <c r="Q96" s="123">
        <f>Q78</f>
        <v>330.70000000000005</v>
      </c>
      <c r="R96" s="123">
        <f>R78</f>
        <v>329.9</v>
      </c>
      <c r="S96" s="123">
        <f t="shared" si="203"/>
        <v>99.758088902328382</v>
      </c>
      <c r="T96" s="123">
        <f>T78</f>
        <v>540.30000000000007</v>
      </c>
      <c r="U96" s="123">
        <f>U78</f>
        <v>530.9</v>
      </c>
      <c r="V96" s="123">
        <f t="shared" si="204"/>
        <v>98.260225800481194</v>
      </c>
      <c r="W96" s="123">
        <f>W78</f>
        <v>503.90000000000003</v>
      </c>
      <c r="X96" s="123">
        <f>X78</f>
        <v>477.8</v>
      </c>
      <c r="Y96" s="123">
        <f t="shared" si="205"/>
        <v>94.820400873189129</v>
      </c>
      <c r="Z96" s="123">
        <f>Z78</f>
        <v>578.29999999999995</v>
      </c>
      <c r="AA96" s="123">
        <f>AA78</f>
        <v>578.29999999999995</v>
      </c>
      <c r="AB96" s="123">
        <f t="shared" si="206"/>
        <v>100</v>
      </c>
      <c r="AC96" s="123">
        <f>AC78</f>
        <v>503.8</v>
      </c>
      <c r="AD96" s="123">
        <f>AD78</f>
        <v>504</v>
      </c>
      <c r="AE96" s="123">
        <f t="shared" si="207"/>
        <v>100.03969829297338</v>
      </c>
      <c r="AF96" s="123">
        <f>AF78</f>
        <v>284.40000000000003</v>
      </c>
      <c r="AG96" s="123">
        <f>AG78</f>
        <v>284.2</v>
      </c>
      <c r="AH96" s="123">
        <f t="shared" si="208"/>
        <v>99.92967651195498</v>
      </c>
      <c r="AI96" s="123">
        <f>AI78</f>
        <v>720.5</v>
      </c>
      <c r="AJ96" s="123">
        <f>AJ78</f>
        <v>0</v>
      </c>
      <c r="AK96" s="123">
        <f t="shared" si="209"/>
        <v>0</v>
      </c>
      <c r="AL96" s="123">
        <f>AL78</f>
        <v>368.4</v>
      </c>
      <c r="AM96" s="123">
        <f>AM78</f>
        <v>0</v>
      </c>
      <c r="AN96" s="123">
        <f t="shared" si="210"/>
        <v>0</v>
      </c>
      <c r="AO96" s="123">
        <f>AO78</f>
        <v>854.30000000000007</v>
      </c>
      <c r="AP96" s="123">
        <f>AP78</f>
        <v>0</v>
      </c>
      <c r="AQ96" s="228">
        <f t="shared" si="211"/>
        <v>0</v>
      </c>
      <c r="AR96" s="477"/>
      <c r="AS96" s="500"/>
      <c r="AT96" s="233"/>
      <c r="AU96" s="233"/>
      <c r="AV96" s="234"/>
    </row>
    <row r="97" spans="1:50" s="235" customFormat="1" ht="24">
      <c r="A97" s="450"/>
      <c r="B97" s="451"/>
      <c r="C97" s="452"/>
      <c r="D97" s="143" t="s">
        <v>467</v>
      </c>
      <c r="E97" s="123">
        <f>H97+K97+N97+Q97+T97+W97+Z97+AC97+AF97+AI97+AL97+AO97</f>
        <v>0</v>
      </c>
      <c r="F97" s="123">
        <f>I97+L97+O97+R97+U97+X97+AA97+AD97+AG97+AJ97+AM97+AP97</f>
        <v>0</v>
      </c>
      <c r="G97" s="123">
        <v>0</v>
      </c>
      <c r="H97" s="123">
        <v>0</v>
      </c>
      <c r="I97" s="123">
        <v>0</v>
      </c>
      <c r="J97" s="123">
        <v>0</v>
      </c>
      <c r="K97" s="132">
        <v>0</v>
      </c>
      <c r="L97" s="123">
        <v>0</v>
      </c>
      <c r="M97" s="123">
        <v>0</v>
      </c>
      <c r="N97" s="123">
        <v>0</v>
      </c>
      <c r="O97" s="123">
        <v>0</v>
      </c>
      <c r="P97" s="123">
        <v>0</v>
      </c>
      <c r="Q97" s="123">
        <v>0</v>
      </c>
      <c r="R97" s="123">
        <v>0</v>
      </c>
      <c r="S97" s="123">
        <v>0</v>
      </c>
      <c r="T97" s="117">
        <v>0</v>
      </c>
      <c r="U97" s="117">
        <v>0</v>
      </c>
      <c r="V97" s="123">
        <v>0</v>
      </c>
      <c r="W97" s="117">
        <v>0</v>
      </c>
      <c r="X97" s="117">
        <v>0</v>
      </c>
      <c r="Y97" s="117">
        <v>0</v>
      </c>
      <c r="Z97" s="117">
        <v>0</v>
      </c>
      <c r="AA97" s="117">
        <v>0</v>
      </c>
      <c r="AB97" s="117">
        <v>0</v>
      </c>
      <c r="AC97" s="117">
        <v>0</v>
      </c>
      <c r="AD97" s="117">
        <v>0</v>
      </c>
      <c r="AE97" s="117">
        <v>0</v>
      </c>
      <c r="AF97" s="117">
        <v>0</v>
      </c>
      <c r="AG97" s="117">
        <v>0</v>
      </c>
      <c r="AH97" s="123">
        <v>0</v>
      </c>
      <c r="AI97" s="123">
        <v>0</v>
      </c>
      <c r="AJ97" s="123">
        <v>0</v>
      </c>
      <c r="AK97" s="123">
        <v>0</v>
      </c>
      <c r="AL97" s="117">
        <v>0</v>
      </c>
      <c r="AM97" s="117">
        <v>0</v>
      </c>
      <c r="AN97" s="117">
        <v>0</v>
      </c>
      <c r="AO97" s="123">
        <v>0</v>
      </c>
      <c r="AP97" s="123">
        <v>0</v>
      </c>
      <c r="AQ97" s="123">
        <v>0</v>
      </c>
      <c r="AR97" s="477"/>
      <c r="AS97" s="500"/>
      <c r="AT97" s="233"/>
      <c r="AU97" s="233"/>
      <c r="AV97" s="234"/>
    </row>
    <row r="98" spans="1:50" s="235" customFormat="1" ht="12.75" customHeight="1">
      <c r="A98" s="444" t="s">
        <v>486</v>
      </c>
      <c r="B98" s="445"/>
      <c r="C98" s="446"/>
      <c r="D98" s="143" t="s">
        <v>444</v>
      </c>
      <c r="E98" s="123">
        <f>E99+E100+E102</f>
        <v>93000.7</v>
      </c>
      <c r="F98" s="123">
        <f>F99+F100+F102</f>
        <v>56427.200000000004</v>
      </c>
      <c r="G98" s="123">
        <f>F98/E98*100</f>
        <v>60.673951916490957</v>
      </c>
      <c r="H98" s="123">
        <f t="shared" ref="H98:I98" si="213">H99+H100+H102</f>
        <v>1631</v>
      </c>
      <c r="I98" s="123">
        <f t="shared" si="213"/>
        <v>1631</v>
      </c>
      <c r="J98" s="123">
        <f>I98/H98*100</f>
        <v>100</v>
      </c>
      <c r="K98" s="123">
        <f t="shared" ref="K98:L98" si="214">K99+K100+K102</f>
        <v>6621.0000000000009</v>
      </c>
      <c r="L98" s="123">
        <f t="shared" si="214"/>
        <v>6621.0000000000009</v>
      </c>
      <c r="M98" s="123">
        <f>L98/K98*100</f>
        <v>100</v>
      </c>
      <c r="N98" s="123">
        <f t="shared" ref="N98:O98" si="215">N99+N100+N102</f>
        <v>9365.9000000000015</v>
      </c>
      <c r="O98" s="123">
        <f t="shared" si="215"/>
        <v>6774.4000000000005</v>
      </c>
      <c r="P98" s="123">
        <f>O98/N98*100</f>
        <v>72.330475448168357</v>
      </c>
      <c r="Q98" s="123">
        <f t="shared" ref="Q98:R98" si="216">Q99+Q100+Q102</f>
        <v>8133.3</v>
      </c>
      <c r="R98" s="123">
        <f t="shared" si="216"/>
        <v>8133.3</v>
      </c>
      <c r="S98" s="123">
        <f>R98/Q98*100</f>
        <v>100</v>
      </c>
      <c r="T98" s="123">
        <f t="shared" ref="T98:U98" si="217">T99+T100+T102</f>
        <v>5667.9999999999991</v>
      </c>
      <c r="U98" s="123">
        <f t="shared" si="217"/>
        <v>5675.5999999999995</v>
      </c>
      <c r="V98" s="123">
        <f>U98/T98*100</f>
        <v>100.13408609738886</v>
      </c>
      <c r="W98" s="123">
        <f t="shared" ref="W98:X98" si="218">W99+W100+W102</f>
        <v>12713.5</v>
      </c>
      <c r="X98" s="123">
        <f t="shared" si="218"/>
        <v>7894.1</v>
      </c>
      <c r="Y98" s="123">
        <f>X98/W98*100</f>
        <v>62.092264128682118</v>
      </c>
      <c r="Z98" s="123">
        <f t="shared" ref="Z98:AA98" si="219">Z99+Z100+Z102</f>
        <v>8682.7000000000007</v>
      </c>
      <c r="AA98" s="123">
        <f t="shared" si="219"/>
        <v>7358.9000000000005</v>
      </c>
      <c r="AB98" s="123">
        <f>AA98/Z98*100</f>
        <v>84.753590473009538</v>
      </c>
      <c r="AC98" s="123">
        <f t="shared" ref="AC98:AD98" si="220">AC99+AC100+AC102</f>
        <v>7271.9999999999991</v>
      </c>
      <c r="AD98" s="123">
        <f t="shared" si="220"/>
        <v>5908.1</v>
      </c>
      <c r="AE98" s="123">
        <f>AD98/AC98*100</f>
        <v>81.24449944994501</v>
      </c>
      <c r="AF98" s="123">
        <f t="shared" ref="AF98:AG98" si="221">AF99+AF100+AF102</f>
        <v>8475.2000000000007</v>
      </c>
      <c r="AG98" s="123">
        <f t="shared" si="221"/>
        <v>6430.7999999999993</v>
      </c>
      <c r="AH98" s="123">
        <f>AG98/AF98*100</f>
        <v>75.87785538984329</v>
      </c>
      <c r="AI98" s="123">
        <f t="shared" ref="AI98:AJ98" si="222">AI99+AI100+AI102</f>
        <v>6906.1</v>
      </c>
      <c r="AJ98" s="123">
        <f t="shared" si="222"/>
        <v>0</v>
      </c>
      <c r="AK98" s="123">
        <f>AJ98/AI98*100</f>
        <v>0</v>
      </c>
      <c r="AL98" s="123">
        <f t="shared" ref="AL98:AM98" si="223">AL99+AL100+AL102</f>
        <v>7274.8</v>
      </c>
      <c r="AM98" s="123">
        <f t="shared" si="223"/>
        <v>0</v>
      </c>
      <c r="AN98" s="123">
        <f>AM98/AL98*100</f>
        <v>0</v>
      </c>
      <c r="AO98" s="123">
        <f t="shared" ref="AO98:AP98" si="224">AO99+AO100+AO102</f>
        <v>10257.199999999997</v>
      </c>
      <c r="AP98" s="123">
        <f t="shared" si="224"/>
        <v>0</v>
      </c>
      <c r="AQ98" s="228">
        <f>AP98/AO98*100</f>
        <v>0</v>
      </c>
      <c r="AR98" s="477"/>
      <c r="AS98" s="500"/>
      <c r="AT98" s="233"/>
      <c r="AU98" s="233"/>
      <c r="AV98" s="234"/>
    </row>
    <row r="99" spans="1:50" s="235" customFormat="1" ht="48">
      <c r="A99" s="447"/>
      <c r="B99" s="448"/>
      <c r="C99" s="449"/>
      <c r="D99" s="220" t="s">
        <v>442</v>
      </c>
      <c r="E99" s="123">
        <f>H99+K99+N99+Q99+T99+W99+Z99+AC99+AF99+AI99+AL99+AO99</f>
        <v>3783.2</v>
      </c>
      <c r="F99" s="123">
        <f>I99+L99+O99+R99+U99+X99+AA99+AD99+AG99+AJ99+AM99+AP99</f>
        <v>1390.1000000000001</v>
      </c>
      <c r="G99" s="123">
        <f>F99/E99*100</f>
        <v>36.74402622118842</v>
      </c>
      <c r="H99" s="123">
        <f>H25</f>
        <v>0</v>
      </c>
      <c r="I99" s="123">
        <f>I25</f>
        <v>0</v>
      </c>
      <c r="J99" s="123">
        <v>0</v>
      </c>
      <c r="K99" s="123">
        <f>100+47.6</f>
        <v>147.6</v>
      </c>
      <c r="L99" s="123">
        <f>100+47.6</f>
        <v>147.6</v>
      </c>
      <c r="M99" s="123">
        <f>L99/K99*100</f>
        <v>100</v>
      </c>
      <c r="N99" s="123">
        <f>160+112.4</f>
        <v>272.39999999999998</v>
      </c>
      <c r="O99" s="123">
        <f>66+81.1</f>
        <v>147.1</v>
      </c>
      <c r="P99" s="123">
        <f>O99/N99*100</f>
        <v>54.001468428781209</v>
      </c>
      <c r="Q99" s="123">
        <f>169.6+108.2</f>
        <v>277.8</v>
      </c>
      <c r="R99" s="123">
        <f>169.6+108.2</f>
        <v>277.8</v>
      </c>
      <c r="S99" s="123">
        <f>R99/Q99*100</f>
        <v>100</v>
      </c>
      <c r="T99" s="123">
        <f>77.6+83.7</f>
        <v>161.30000000000001</v>
      </c>
      <c r="U99" s="123">
        <f>77.6+83.7</f>
        <v>161.30000000000001</v>
      </c>
      <c r="V99" s="123">
        <f>U99/T99*100</f>
        <v>100</v>
      </c>
      <c r="W99" s="123">
        <f>112.5+298.9</f>
        <v>411.4</v>
      </c>
      <c r="X99" s="123">
        <f>73.5+63.1</f>
        <v>136.6</v>
      </c>
      <c r="Y99" s="123">
        <f>X99/W99*100</f>
        <v>33.2036947010209</v>
      </c>
      <c r="Z99" s="123">
        <f>86.4+167.2</f>
        <v>253.6</v>
      </c>
      <c r="AA99" s="123">
        <f>119</f>
        <v>119</v>
      </c>
      <c r="AB99" s="123">
        <f t="shared" ref="AB99" si="225">AA99/Z99*100</f>
        <v>46.92429022082019</v>
      </c>
      <c r="AC99" s="123">
        <f>86.4+135.4</f>
        <v>221.8</v>
      </c>
      <c r="AD99" s="123">
        <v>219.3</v>
      </c>
      <c r="AE99" s="123">
        <f t="shared" ref="AE99" si="226">AD99/AC99*100</f>
        <v>98.87285843101894</v>
      </c>
      <c r="AF99" s="123">
        <f>36.6+1109.9</f>
        <v>1146.5</v>
      </c>
      <c r="AG99" s="123">
        <v>181.4</v>
      </c>
      <c r="AH99" s="123">
        <f t="shared" ref="AH99" si="227">AG99/AF99*100</f>
        <v>15.822067160924552</v>
      </c>
      <c r="AI99" s="123">
        <f>109.4+175.4</f>
        <v>284.8</v>
      </c>
      <c r="AJ99" s="123">
        <f>AJ25</f>
        <v>0</v>
      </c>
      <c r="AK99" s="123">
        <v>0</v>
      </c>
      <c r="AL99" s="123">
        <f>136.4+156.3</f>
        <v>292.70000000000005</v>
      </c>
      <c r="AM99" s="123">
        <f>AM25</f>
        <v>0</v>
      </c>
      <c r="AN99" s="123">
        <v>0</v>
      </c>
      <c r="AO99" s="123">
        <f>178.4+122+12.9</f>
        <v>313.29999999999995</v>
      </c>
      <c r="AP99" s="123">
        <f>AP25</f>
        <v>0</v>
      </c>
      <c r="AQ99" s="228">
        <v>0</v>
      </c>
      <c r="AR99" s="477"/>
      <c r="AS99" s="500"/>
      <c r="AT99" s="233"/>
      <c r="AU99" s="233"/>
      <c r="AV99" s="234"/>
    </row>
    <row r="100" spans="1:50" s="235" customFormat="1" ht="12.75">
      <c r="A100" s="447"/>
      <c r="B100" s="448"/>
      <c r="C100" s="449"/>
      <c r="D100" s="220" t="s">
        <v>462</v>
      </c>
      <c r="E100" s="123">
        <f t="shared" ref="E100:F102" si="228">H100+K100+N100+Q100+T100+W100+Z100+AC100+AF100+AI100+AL100+AO100</f>
        <v>89217.5</v>
      </c>
      <c r="F100" s="123">
        <f t="shared" si="228"/>
        <v>55037.100000000006</v>
      </c>
      <c r="G100" s="123">
        <f>F100/E100*100</f>
        <v>61.688682153165018</v>
      </c>
      <c r="H100" s="123">
        <f>H26+22.6</f>
        <v>1631</v>
      </c>
      <c r="I100" s="123">
        <f>I26+22.6</f>
        <v>1631</v>
      </c>
      <c r="J100" s="123">
        <f t="shared" ref="J100" si="229">I100/H100*100</f>
        <v>100</v>
      </c>
      <c r="K100" s="123">
        <f>K26+162.3</f>
        <v>6473.4000000000005</v>
      </c>
      <c r="L100" s="123">
        <f>L26+162.3</f>
        <v>6473.4000000000005</v>
      </c>
      <c r="M100" s="123">
        <f t="shared" ref="M100" si="230">L100/K100*100</f>
        <v>100</v>
      </c>
      <c r="N100" s="123">
        <f>N26+637.5-7.8</f>
        <v>9093.5000000000018</v>
      </c>
      <c r="O100" s="123">
        <f>O26+305.6</f>
        <v>6627.3</v>
      </c>
      <c r="P100" s="123">
        <f t="shared" ref="P100" si="231">O100/N100*100</f>
        <v>72.879529334139761</v>
      </c>
      <c r="Q100" s="123">
        <f>Q26+219.7</f>
        <v>7855.5</v>
      </c>
      <c r="R100" s="123">
        <f>R26+219.7</f>
        <v>7855.5</v>
      </c>
      <c r="S100" s="123">
        <f t="shared" ref="S100" si="232">R100/Q100*100</f>
        <v>100</v>
      </c>
      <c r="T100" s="123">
        <f>T26+200.4-7.6</f>
        <v>5506.6999999999989</v>
      </c>
      <c r="U100" s="123">
        <f>U26+200.4</f>
        <v>5514.2999999999993</v>
      </c>
      <c r="V100" s="123">
        <f t="shared" ref="V100" si="233">U100/T100*100</f>
        <v>100.13801369241106</v>
      </c>
      <c r="W100" s="123">
        <f>W26+627</f>
        <v>12302.1</v>
      </c>
      <c r="X100" s="123">
        <f>X26+119.1</f>
        <v>7757.5</v>
      </c>
      <c r="Y100" s="123">
        <f t="shared" ref="Y100" si="234">X100/W100*100</f>
        <v>63.058339633070773</v>
      </c>
      <c r="Z100" s="123">
        <f>Z26+445.4</f>
        <v>8429.1</v>
      </c>
      <c r="AA100" s="123">
        <f>AA26+404.8</f>
        <v>7239.9000000000005</v>
      </c>
      <c r="AB100" s="123">
        <f>AB26</f>
        <v>85.613186868244057</v>
      </c>
      <c r="AC100" s="123">
        <f>AC26+545.4</f>
        <v>7050.1999999999989</v>
      </c>
      <c r="AD100" s="123">
        <f>AD26+222</f>
        <v>5688.8</v>
      </c>
      <c r="AE100" s="123">
        <f t="shared" ref="AE100:AN100" si="235">AE26</f>
        <v>84.042553191489375</v>
      </c>
      <c r="AF100" s="123">
        <f>AF26+297.3-1117.9</f>
        <v>7328.7000000000007</v>
      </c>
      <c r="AG100" s="123">
        <f>AG26+99.9</f>
        <v>6249.4</v>
      </c>
      <c r="AH100" s="123">
        <f t="shared" si="235"/>
        <v>75.460468997337188</v>
      </c>
      <c r="AI100" s="123">
        <f>AI26+249-579</f>
        <v>6621.3</v>
      </c>
      <c r="AJ100" s="123">
        <f t="shared" si="235"/>
        <v>0</v>
      </c>
      <c r="AK100" s="123">
        <f t="shared" si="235"/>
        <v>0</v>
      </c>
      <c r="AL100" s="123">
        <f>AL26+335.2-2500</f>
        <v>6982.1</v>
      </c>
      <c r="AM100" s="123">
        <f t="shared" si="235"/>
        <v>0</v>
      </c>
      <c r="AN100" s="123">
        <f t="shared" si="235"/>
        <v>0</v>
      </c>
      <c r="AO100" s="123">
        <f>AO26+676-2130.8-636.2</f>
        <v>9943.8999999999978</v>
      </c>
      <c r="AP100" s="123">
        <f t="shared" ref="AP100" si="236">AP26</f>
        <v>0</v>
      </c>
      <c r="AQ100" s="228">
        <f t="shared" ref="AQ100" si="237">AP100/AO100*100</f>
        <v>0</v>
      </c>
      <c r="AR100" s="477"/>
      <c r="AS100" s="500"/>
      <c r="AT100" s="233"/>
      <c r="AU100" s="233"/>
      <c r="AV100" s="234"/>
    </row>
    <row r="101" spans="1:50" s="236" customFormat="1" ht="36">
      <c r="A101" s="447"/>
      <c r="B101" s="448"/>
      <c r="C101" s="449"/>
      <c r="D101" s="224" t="s">
        <v>457</v>
      </c>
      <c r="E101" s="229">
        <f t="shared" si="228"/>
        <v>0</v>
      </c>
      <c r="F101" s="229">
        <f t="shared" si="228"/>
        <v>165.8</v>
      </c>
      <c r="G101" s="229">
        <v>0</v>
      </c>
      <c r="H101" s="229">
        <v>0</v>
      </c>
      <c r="I101" s="229">
        <v>0</v>
      </c>
      <c r="J101" s="229">
        <v>0</v>
      </c>
      <c r="K101" s="229">
        <v>0</v>
      </c>
      <c r="L101" s="229">
        <v>0</v>
      </c>
      <c r="M101" s="229">
        <v>0</v>
      </c>
      <c r="N101" s="229">
        <v>0</v>
      </c>
      <c r="O101" s="229">
        <v>165.8</v>
      </c>
      <c r="P101" s="229">
        <v>0</v>
      </c>
      <c r="Q101" s="229">
        <v>0</v>
      </c>
      <c r="R101" s="229">
        <v>0</v>
      </c>
      <c r="S101" s="229">
        <v>0</v>
      </c>
      <c r="T101" s="230">
        <v>0</v>
      </c>
      <c r="U101" s="230">
        <v>0</v>
      </c>
      <c r="V101" s="230">
        <v>0</v>
      </c>
      <c r="W101" s="230">
        <v>0</v>
      </c>
      <c r="X101" s="230">
        <v>0</v>
      </c>
      <c r="Y101" s="230">
        <v>0</v>
      </c>
      <c r="Z101" s="229">
        <v>0</v>
      </c>
      <c r="AA101" s="229">
        <v>0</v>
      </c>
      <c r="AB101" s="229">
        <v>0</v>
      </c>
      <c r="AC101" s="230">
        <v>0</v>
      </c>
      <c r="AD101" s="230">
        <v>0</v>
      </c>
      <c r="AE101" s="230">
        <v>0</v>
      </c>
      <c r="AF101" s="230">
        <v>0</v>
      </c>
      <c r="AG101" s="230">
        <v>0</v>
      </c>
      <c r="AH101" s="230">
        <v>0</v>
      </c>
      <c r="AI101" s="229">
        <v>0</v>
      </c>
      <c r="AJ101" s="229">
        <v>0</v>
      </c>
      <c r="AK101" s="229">
        <v>0</v>
      </c>
      <c r="AL101" s="230">
        <v>0</v>
      </c>
      <c r="AM101" s="230">
        <v>0</v>
      </c>
      <c r="AN101" s="230">
        <v>0</v>
      </c>
      <c r="AO101" s="230">
        <v>0</v>
      </c>
      <c r="AP101" s="229"/>
      <c r="AQ101" s="229"/>
      <c r="AR101" s="477"/>
      <c r="AS101" s="500"/>
      <c r="AT101" s="232"/>
      <c r="AU101" s="233"/>
      <c r="AV101" s="234"/>
      <c r="AW101" s="235"/>
      <c r="AX101" s="233"/>
    </row>
    <row r="102" spans="1:50" s="235" customFormat="1" ht="24">
      <c r="A102" s="447"/>
      <c r="B102" s="448"/>
      <c r="C102" s="449"/>
      <c r="D102" s="143" t="s">
        <v>257</v>
      </c>
      <c r="E102" s="123">
        <f t="shared" si="228"/>
        <v>0</v>
      </c>
      <c r="F102" s="123">
        <f t="shared" si="228"/>
        <v>0</v>
      </c>
      <c r="G102" s="123">
        <v>0</v>
      </c>
      <c r="H102" s="123">
        <f t="shared" ref="H102:I102" si="238">H28</f>
        <v>0</v>
      </c>
      <c r="I102" s="123">
        <f t="shared" si="238"/>
        <v>0</v>
      </c>
      <c r="J102" s="123">
        <v>0</v>
      </c>
      <c r="K102" s="123">
        <f t="shared" ref="K102:L102" si="239">K28</f>
        <v>0</v>
      </c>
      <c r="L102" s="123">
        <f t="shared" si="239"/>
        <v>0</v>
      </c>
      <c r="M102" s="123">
        <v>0</v>
      </c>
      <c r="N102" s="123">
        <f t="shared" ref="N102:O102" si="240">N28</f>
        <v>0</v>
      </c>
      <c r="O102" s="123">
        <f t="shared" si="240"/>
        <v>0</v>
      </c>
      <c r="P102" s="123">
        <v>0</v>
      </c>
      <c r="Q102" s="123">
        <f t="shared" ref="Q102:R102" si="241">Q28</f>
        <v>0</v>
      </c>
      <c r="R102" s="123">
        <f t="shared" si="241"/>
        <v>0</v>
      </c>
      <c r="S102" s="123">
        <v>0</v>
      </c>
      <c r="T102" s="123">
        <f t="shared" ref="T102:U102" si="242">T28</f>
        <v>0</v>
      </c>
      <c r="U102" s="123">
        <f t="shared" si="242"/>
        <v>0</v>
      </c>
      <c r="V102" s="123">
        <v>0</v>
      </c>
      <c r="W102" s="123">
        <f t="shared" ref="W102:X102" si="243">W28</f>
        <v>0</v>
      </c>
      <c r="X102" s="123">
        <f t="shared" si="243"/>
        <v>0</v>
      </c>
      <c r="Y102" s="123">
        <v>0</v>
      </c>
      <c r="Z102" s="123">
        <f t="shared" ref="Z102:AA102" si="244">Z28</f>
        <v>0</v>
      </c>
      <c r="AA102" s="123">
        <f t="shared" si="244"/>
        <v>0</v>
      </c>
      <c r="AB102" s="123">
        <v>0</v>
      </c>
      <c r="AC102" s="123">
        <f t="shared" ref="AC102:AD102" si="245">AC28</f>
        <v>0</v>
      </c>
      <c r="AD102" s="123">
        <f t="shared" si="245"/>
        <v>0</v>
      </c>
      <c r="AE102" s="123">
        <v>0</v>
      </c>
      <c r="AF102" s="123">
        <f t="shared" ref="AF102:AG102" si="246">AF28</f>
        <v>0</v>
      </c>
      <c r="AG102" s="123">
        <f t="shared" si="246"/>
        <v>0</v>
      </c>
      <c r="AH102" s="123">
        <v>0</v>
      </c>
      <c r="AI102" s="123">
        <f t="shared" ref="AI102:AJ102" si="247">AI28</f>
        <v>0</v>
      </c>
      <c r="AJ102" s="123">
        <f t="shared" si="247"/>
        <v>0</v>
      </c>
      <c r="AK102" s="123">
        <v>0</v>
      </c>
      <c r="AL102" s="123">
        <f t="shared" ref="AL102:AM102" si="248">AL28</f>
        <v>0</v>
      </c>
      <c r="AM102" s="123">
        <f t="shared" si="248"/>
        <v>0</v>
      </c>
      <c r="AN102" s="123">
        <v>0</v>
      </c>
      <c r="AO102" s="123">
        <f t="shared" ref="AO102:AP102" si="249">AO28</f>
        <v>0</v>
      </c>
      <c r="AP102" s="123">
        <f t="shared" si="249"/>
        <v>0</v>
      </c>
      <c r="AQ102" s="228">
        <v>0</v>
      </c>
      <c r="AR102" s="477"/>
      <c r="AS102" s="500"/>
      <c r="AT102" s="233"/>
      <c r="AU102" s="233"/>
      <c r="AV102" s="234"/>
    </row>
    <row r="103" spans="1:50" s="235" customFormat="1" ht="24">
      <c r="A103" s="450"/>
      <c r="B103" s="451"/>
      <c r="C103" s="452"/>
      <c r="D103" s="143" t="s">
        <v>467</v>
      </c>
      <c r="E103" s="123">
        <f>H103+K103+N103+Q103+T103+W103+Z103+AC103+AF103+AI103+AL103+AO103</f>
        <v>0</v>
      </c>
      <c r="F103" s="123">
        <f>I103+L103+O103+R103+U103+X103+AA103+AD103+AG103+AJ103+AM103+AP103</f>
        <v>0</v>
      </c>
      <c r="G103" s="123">
        <v>0</v>
      </c>
      <c r="H103" s="123">
        <v>0</v>
      </c>
      <c r="I103" s="123">
        <v>0</v>
      </c>
      <c r="J103" s="123">
        <v>0</v>
      </c>
      <c r="K103" s="132">
        <v>0</v>
      </c>
      <c r="L103" s="123">
        <v>0</v>
      </c>
      <c r="M103" s="123">
        <v>0</v>
      </c>
      <c r="N103" s="123">
        <v>0</v>
      </c>
      <c r="O103" s="123">
        <v>0</v>
      </c>
      <c r="P103" s="123">
        <v>0</v>
      </c>
      <c r="Q103" s="123">
        <v>0</v>
      </c>
      <c r="R103" s="123">
        <v>0</v>
      </c>
      <c r="S103" s="123">
        <v>0</v>
      </c>
      <c r="T103" s="117">
        <v>0</v>
      </c>
      <c r="U103" s="117">
        <v>0</v>
      </c>
      <c r="V103" s="123">
        <v>0</v>
      </c>
      <c r="W103" s="117">
        <v>0</v>
      </c>
      <c r="X103" s="117">
        <v>0</v>
      </c>
      <c r="Y103" s="117">
        <v>0</v>
      </c>
      <c r="Z103" s="117">
        <v>0</v>
      </c>
      <c r="AA103" s="117">
        <v>0</v>
      </c>
      <c r="AB103" s="117">
        <v>0</v>
      </c>
      <c r="AC103" s="117">
        <v>0</v>
      </c>
      <c r="AD103" s="117">
        <v>0</v>
      </c>
      <c r="AE103" s="117">
        <v>0</v>
      </c>
      <c r="AF103" s="117">
        <v>0</v>
      </c>
      <c r="AG103" s="117">
        <v>0</v>
      </c>
      <c r="AH103" s="123">
        <v>0</v>
      </c>
      <c r="AI103" s="123">
        <v>0</v>
      </c>
      <c r="AJ103" s="123">
        <v>0</v>
      </c>
      <c r="AK103" s="123">
        <v>0</v>
      </c>
      <c r="AL103" s="117">
        <v>0</v>
      </c>
      <c r="AM103" s="117">
        <v>0</v>
      </c>
      <c r="AN103" s="117">
        <v>0</v>
      </c>
      <c r="AO103" s="123">
        <v>0</v>
      </c>
      <c r="AP103" s="123">
        <v>0</v>
      </c>
      <c r="AQ103" s="123">
        <v>0</v>
      </c>
      <c r="AR103" s="477"/>
      <c r="AS103" s="500"/>
      <c r="AT103" s="233"/>
      <c r="AU103" s="233"/>
      <c r="AV103" s="234"/>
    </row>
    <row r="104" spans="1:50" s="235" customFormat="1" ht="12.75" customHeight="1">
      <c r="A104" s="444" t="s">
        <v>487</v>
      </c>
      <c r="B104" s="445"/>
      <c r="C104" s="446"/>
      <c r="D104" s="143" t="s">
        <v>444</v>
      </c>
      <c r="E104" s="149">
        <f>E105+E106+E107</f>
        <v>114242.8</v>
      </c>
      <c r="F104" s="123">
        <f>F105+F106</f>
        <v>73360.900000000009</v>
      </c>
      <c r="G104" s="123">
        <f>F104/E104*100</f>
        <v>64.214900195023233</v>
      </c>
      <c r="H104" s="123">
        <f>H105+H106+H107</f>
        <v>650.70000000000005</v>
      </c>
      <c r="I104" s="123">
        <f>I105+I106+I107</f>
        <v>650.70000000000005</v>
      </c>
      <c r="J104" s="123">
        <f>I104/H104*100</f>
        <v>100</v>
      </c>
      <c r="K104" s="123">
        <f>K105+K106+K107</f>
        <v>7702.5</v>
      </c>
      <c r="L104" s="123">
        <f>L105+L106+L107</f>
        <v>7600.7</v>
      </c>
      <c r="M104" s="123">
        <f>L104/K104*100</f>
        <v>98.678351184680295</v>
      </c>
      <c r="N104" s="123">
        <f>N105+N106+N107</f>
        <v>9612.6</v>
      </c>
      <c r="O104" s="123">
        <f>O105+O106+O107</f>
        <v>8166.6</v>
      </c>
      <c r="P104" s="123">
        <f>O104/N104*100</f>
        <v>84.957243617751701</v>
      </c>
      <c r="Q104" s="123">
        <f>Q105+Q106+Q107</f>
        <v>12746.8</v>
      </c>
      <c r="R104" s="123">
        <f>R105+R106</f>
        <v>12812.400000000001</v>
      </c>
      <c r="S104" s="123">
        <f>R104/Q104*100</f>
        <v>100.51463896821164</v>
      </c>
      <c r="T104" s="123">
        <f>T105+T106+T107</f>
        <v>8821.5999999999985</v>
      </c>
      <c r="U104" s="123">
        <f>U105+U106+U107</f>
        <v>8240.5</v>
      </c>
      <c r="V104" s="123">
        <f>U104/T104*100</f>
        <v>93.412759590097053</v>
      </c>
      <c r="W104" s="123">
        <f>W105+W106+W107</f>
        <v>9071.4</v>
      </c>
      <c r="X104" s="123">
        <f>X105+X106+X107</f>
        <v>8786</v>
      </c>
      <c r="Y104" s="123">
        <f>X104/W104*100</f>
        <v>96.853848358577508</v>
      </c>
      <c r="Z104" s="123">
        <f>Z105+Z106+Z107</f>
        <v>10776.6</v>
      </c>
      <c r="AA104" s="123">
        <f>AA105+AA106+AA107</f>
        <v>9549.2000000000007</v>
      </c>
      <c r="AB104" s="123">
        <f>AA104/Z104*100</f>
        <v>88.610507952415418</v>
      </c>
      <c r="AC104" s="123">
        <f>AC105+AC106+AC107</f>
        <v>9638.5</v>
      </c>
      <c r="AD104" s="123">
        <f>AD105+AD106+AD107</f>
        <v>9103.6</v>
      </c>
      <c r="AE104" s="123">
        <f>AD104/AC104*100</f>
        <v>94.450381283394719</v>
      </c>
      <c r="AF104" s="123">
        <f>AF105+AF106+AF107</f>
        <v>8825.2000000000007</v>
      </c>
      <c r="AG104" s="123">
        <f>AG105+AG106+AG107</f>
        <v>8451.2000000000007</v>
      </c>
      <c r="AH104" s="123">
        <f>AG104/AF104*100</f>
        <v>95.762135702307035</v>
      </c>
      <c r="AI104" s="123">
        <f>AI105+AI106+AI107</f>
        <v>9174.6999999999989</v>
      </c>
      <c r="AJ104" s="123">
        <f>AJ105+AJ106+AJ107</f>
        <v>0</v>
      </c>
      <c r="AK104" s="123">
        <f>AJ104/AI104*100</f>
        <v>0</v>
      </c>
      <c r="AL104" s="123">
        <f>AL105+AL106+AL107</f>
        <v>8300.7000000000007</v>
      </c>
      <c r="AM104" s="123">
        <f>AM105+AM106+AM107</f>
        <v>0</v>
      </c>
      <c r="AN104" s="123">
        <f>AM104/AL104*100</f>
        <v>0</v>
      </c>
      <c r="AO104" s="123">
        <f>AO105+AO106+AO107</f>
        <v>18921.5</v>
      </c>
      <c r="AP104" s="123">
        <f>AP105+AP106+AP107</f>
        <v>0</v>
      </c>
      <c r="AQ104" s="228">
        <f>AP104/AO104*100</f>
        <v>0</v>
      </c>
      <c r="AR104" s="477"/>
      <c r="AS104" s="500"/>
      <c r="AT104" s="233"/>
      <c r="AU104" s="233"/>
      <c r="AV104" s="234"/>
    </row>
    <row r="105" spans="1:50" s="235" customFormat="1" ht="48">
      <c r="A105" s="447"/>
      <c r="B105" s="448"/>
      <c r="C105" s="449"/>
      <c r="D105" s="220" t="s">
        <v>442</v>
      </c>
      <c r="E105" s="123">
        <f>H105+K105+N105+Q105+T105+W105+Z105+AC105+AF105+AI105+AL105+AO105</f>
        <v>101707.5</v>
      </c>
      <c r="F105" s="123">
        <f>I105+L105+O105+R105+U105+X105+AA105+AD105+AG105+AJ105+AM105+AP105</f>
        <v>64482.700000000004</v>
      </c>
      <c r="G105" s="123">
        <f>F105/E105*100</f>
        <v>63.400142565690828</v>
      </c>
      <c r="H105" s="123">
        <f>H59</f>
        <v>0</v>
      </c>
      <c r="I105" s="123">
        <f>I59</f>
        <v>0</v>
      </c>
      <c r="J105" s="123">
        <v>0</v>
      </c>
      <c r="K105" s="123">
        <f>K59+5148+60.1</f>
        <v>6908.1</v>
      </c>
      <c r="L105" s="123">
        <f>L59+5131.7</f>
        <v>6831</v>
      </c>
      <c r="M105" s="123">
        <f t="shared" ref="M105:M106" si="250">L105/K105*100</f>
        <v>98.883918877839051</v>
      </c>
      <c r="N105" s="123">
        <f>N59+5787</f>
        <v>8255</v>
      </c>
      <c r="O105" s="123">
        <f>O59+5786.5</f>
        <v>7992.5</v>
      </c>
      <c r="P105" s="123">
        <f t="shared" ref="P105:P106" si="251">O105/N105*100</f>
        <v>96.820109024833428</v>
      </c>
      <c r="Q105" s="123">
        <f>Q59+5580</f>
        <v>8815</v>
      </c>
      <c r="R105" s="123">
        <f>R59+5452</f>
        <v>8814.7000000000007</v>
      </c>
      <c r="S105" s="123">
        <f t="shared" ref="S105:S106" si="252">R105/Q105*100</f>
        <v>99.996596710153156</v>
      </c>
      <c r="T105" s="123">
        <f>T59+6193-63.7</f>
        <v>8413.2999999999993</v>
      </c>
      <c r="U105" s="123">
        <f>U59+5528.1</f>
        <v>7887.7000000000007</v>
      </c>
      <c r="V105" s="123">
        <f t="shared" ref="V105:V106" si="253">U105/T105*100</f>
        <v>93.752748624202169</v>
      </c>
      <c r="W105" s="123">
        <v>8076</v>
      </c>
      <c r="X105" s="123">
        <f>X59+5588.6</f>
        <v>8049.9000000000005</v>
      </c>
      <c r="Y105" s="123">
        <f t="shared" ref="Y105:Y106" si="254">X105/W105*100</f>
        <v>99.676820208023784</v>
      </c>
      <c r="Z105" s="123">
        <f>Z59+7245-620.8</f>
        <v>10155.200000000001</v>
      </c>
      <c r="AA105" s="123">
        <v>9078</v>
      </c>
      <c r="AB105" s="123">
        <f t="shared" ref="AB105:AB106" si="255">AA105/Z105*100</f>
        <v>89.392626437687099</v>
      </c>
      <c r="AC105" s="123">
        <f>AC59+5600</f>
        <v>7975</v>
      </c>
      <c r="AD105" s="123">
        <v>7795.4</v>
      </c>
      <c r="AE105" s="123">
        <f t="shared" ref="AE105:AE106" si="256">AD105/AC105*100</f>
        <v>97.747962382445138</v>
      </c>
      <c r="AF105" s="123">
        <f>AF59+5600</f>
        <v>8232</v>
      </c>
      <c r="AG105" s="123">
        <v>8033.5</v>
      </c>
      <c r="AH105" s="123">
        <f t="shared" ref="AH105:AH106" si="257">AG105/AF105*100</f>
        <v>97.588678328474245</v>
      </c>
      <c r="AI105" s="123">
        <f>AI59+5500+146.4</f>
        <v>8223.7999999999993</v>
      </c>
      <c r="AJ105" s="123">
        <f>AJ59</f>
        <v>0</v>
      </c>
      <c r="AK105" s="123">
        <f t="shared" ref="AK105" si="258">AJ105/AI105*100</f>
        <v>0</v>
      </c>
      <c r="AL105" s="123">
        <f>AL59+5500</f>
        <v>8026</v>
      </c>
      <c r="AM105" s="123">
        <f>AM59</f>
        <v>0</v>
      </c>
      <c r="AN105" s="123">
        <f t="shared" ref="AN105" si="259">AM105/AL105*100</f>
        <v>0</v>
      </c>
      <c r="AO105" s="123">
        <f>AO59+11006.1</f>
        <v>18628.099999999999</v>
      </c>
      <c r="AP105" s="123">
        <f>AP59</f>
        <v>0</v>
      </c>
      <c r="AQ105" s="228">
        <f t="shared" ref="AQ105" si="260">AP105/AO105*100</f>
        <v>0</v>
      </c>
      <c r="AR105" s="477"/>
      <c r="AS105" s="500"/>
      <c r="AT105" s="233"/>
      <c r="AU105" s="233"/>
      <c r="AV105" s="234"/>
    </row>
    <row r="106" spans="1:50" s="235" customFormat="1" ht="12.75">
      <c r="A106" s="447"/>
      <c r="B106" s="448"/>
      <c r="C106" s="449"/>
      <c r="D106" s="220" t="s">
        <v>462</v>
      </c>
      <c r="E106" s="149">
        <f t="shared" ref="E106:F107" si="261">H106+K106+N106+Q106+T106+W106+Z106+AC106+AF106+AI106+AL106+AO106</f>
        <v>12535.300000000001</v>
      </c>
      <c r="F106" s="123">
        <f t="shared" si="261"/>
        <v>8878.2000000000025</v>
      </c>
      <c r="G106" s="123">
        <f>F106/E106*100</f>
        <v>70.825588537968784</v>
      </c>
      <c r="H106" s="123">
        <f>H72+H60+H42-H126</f>
        <v>650.70000000000005</v>
      </c>
      <c r="I106" s="123">
        <f>I72+I60+I42-I126</f>
        <v>650.70000000000005</v>
      </c>
      <c r="J106" s="123">
        <f t="shared" ref="J106" si="262">I106/H106*100</f>
        <v>100</v>
      </c>
      <c r="K106" s="123">
        <f>K72+K60+K42-K126</f>
        <v>794.4</v>
      </c>
      <c r="L106" s="123">
        <f>L72+L60+L42-L126</f>
        <v>769.7</v>
      </c>
      <c r="M106" s="123">
        <f t="shared" si="250"/>
        <v>96.890735146022166</v>
      </c>
      <c r="N106" s="123">
        <f>N72+N60+N42-N126+116.7</f>
        <v>1357.6000000000001</v>
      </c>
      <c r="O106" s="123">
        <f>O72+O60+O42-O126</f>
        <v>174.1</v>
      </c>
      <c r="P106" s="123">
        <f t="shared" si="251"/>
        <v>12.824101355332939</v>
      </c>
      <c r="Q106" s="123">
        <f>Q72+Q60+Q42-Q126</f>
        <v>3931.8</v>
      </c>
      <c r="R106" s="123">
        <f>R72+R60+R42-R126</f>
        <v>3997.7000000000003</v>
      </c>
      <c r="S106" s="123">
        <f t="shared" si="252"/>
        <v>101.67607711480746</v>
      </c>
      <c r="T106" s="123">
        <f>T72+T60+T42-T126</f>
        <v>408.29999999999995</v>
      </c>
      <c r="U106" s="123">
        <f>U72+U60+U42-U126</f>
        <v>352.8</v>
      </c>
      <c r="V106" s="123">
        <f t="shared" si="253"/>
        <v>86.407053637031609</v>
      </c>
      <c r="W106" s="149">
        <f>W72+W60+W42-W126+281.7</f>
        <v>995.40000000000009</v>
      </c>
      <c r="X106" s="123">
        <f>X72+X60+X42-X126</f>
        <v>736.1</v>
      </c>
      <c r="Y106" s="123">
        <f t="shared" si="254"/>
        <v>73.950170785613821</v>
      </c>
      <c r="Z106" s="123">
        <f t="shared" ref="Z106:AP106" si="263">Z72+Z60+Z42-Z126</f>
        <v>621.4</v>
      </c>
      <c r="AA106" s="123">
        <v>471.2</v>
      </c>
      <c r="AB106" s="123">
        <f t="shared" si="255"/>
        <v>75.828773736723534</v>
      </c>
      <c r="AC106" s="123">
        <f>AC72+AC60+AC42-AC126+622.4</f>
        <v>1663.5</v>
      </c>
      <c r="AD106" s="123">
        <v>1308.2</v>
      </c>
      <c r="AE106" s="123">
        <f t="shared" si="256"/>
        <v>78.641418695521494</v>
      </c>
      <c r="AF106" s="123">
        <f t="shared" si="263"/>
        <v>593.19999999999993</v>
      </c>
      <c r="AG106" s="123">
        <v>417.7</v>
      </c>
      <c r="AH106" s="123">
        <f t="shared" si="257"/>
        <v>70.414699932569121</v>
      </c>
      <c r="AI106" s="123">
        <f t="shared" si="263"/>
        <v>950.90000000000009</v>
      </c>
      <c r="AJ106" s="123">
        <f t="shared" si="263"/>
        <v>0</v>
      </c>
      <c r="AK106" s="123">
        <f t="shared" si="263"/>
        <v>0</v>
      </c>
      <c r="AL106" s="123">
        <f t="shared" si="263"/>
        <v>274.69999999999993</v>
      </c>
      <c r="AM106" s="123">
        <f t="shared" si="263"/>
        <v>0</v>
      </c>
      <c r="AN106" s="123">
        <f t="shared" si="263"/>
        <v>0</v>
      </c>
      <c r="AO106" s="123">
        <v>293.39999999999998</v>
      </c>
      <c r="AP106" s="123">
        <f t="shared" si="263"/>
        <v>0</v>
      </c>
      <c r="AQ106" s="228">
        <v>0</v>
      </c>
      <c r="AR106" s="477"/>
      <c r="AS106" s="500"/>
      <c r="AT106" s="233"/>
      <c r="AU106" s="233"/>
      <c r="AV106" s="234"/>
    </row>
    <row r="107" spans="1:50" s="235" customFormat="1" ht="48">
      <c r="A107" s="447"/>
      <c r="B107" s="448"/>
      <c r="C107" s="449"/>
      <c r="D107" s="224" t="s">
        <v>441</v>
      </c>
      <c r="E107" s="123">
        <f t="shared" si="261"/>
        <v>0</v>
      </c>
      <c r="F107" s="123">
        <f>I107+L107+O107+R107+U107+X107+AA107+AD107+AG107+AJ107+AM107+AP107</f>
        <v>183.9</v>
      </c>
      <c r="G107" s="123">
        <v>0</v>
      </c>
      <c r="H107" s="123">
        <v>0</v>
      </c>
      <c r="I107" s="123">
        <f>I71+I55</f>
        <v>0</v>
      </c>
      <c r="J107" s="123">
        <v>0</v>
      </c>
      <c r="K107" s="123">
        <v>0</v>
      </c>
      <c r="L107" s="123">
        <f>L71+L55</f>
        <v>0</v>
      </c>
      <c r="M107" s="123">
        <v>0</v>
      </c>
      <c r="N107" s="123">
        <v>0</v>
      </c>
      <c r="O107" s="123">
        <f>O71+O55</f>
        <v>0</v>
      </c>
      <c r="P107" s="123">
        <v>0</v>
      </c>
      <c r="Q107" s="123">
        <v>0</v>
      </c>
      <c r="R107" s="123">
        <f>R43</f>
        <v>183.9</v>
      </c>
      <c r="S107" s="123">
        <v>0</v>
      </c>
      <c r="T107" s="117">
        <v>0</v>
      </c>
      <c r="U107" s="117">
        <v>0</v>
      </c>
      <c r="V107" s="117">
        <v>0</v>
      </c>
      <c r="W107" s="117">
        <v>0</v>
      </c>
      <c r="X107" s="117">
        <v>0</v>
      </c>
      <c r="Y107" s="117">
        <v>0</v>
      </c>
      <c r="Z107" s="123">
        <v>0</v>
      </c>
      <c r="AA107" s="123">
        <v>0</v>
      </c>
      <c r="AB107" s="123">
        <v>0</v>
      </c>
      <c r="AC107" s="117">
        <v>0</v>
      </c>
      <c r="AD107" s="117">
        <v>0</v>
      </c>
      <c r="AE107" s="117">
        <v>0</v>
      </c>
      <c r="AF107" s="117">
        <v>0</v>
      </c>
      <c r="AG107" s="117">
        <v>0</v>
      </c>
      <c r="AH107" s="117">
        <v>0</v>
      </c>
      <c r="AI107" s="123">
        <v>0</v>
      </c>
      <c r="AJ107" s="123"/>
      <c r="AK107" s="123"/>
      <c r="AL107" s="117">
        <v>0</v>
      </c>
      <c r="AM107" s="117"/>
      <c r="AN107" s="117"/>
      <c r="AO107" s="117">
        <v>0</v>
      </c>
      <c r="AP107" s="123">
        <v>0</v>
      </c>
      <c r="AQ107" s="228">
        <v>0</v>
      </c>
      <c r="AR107" s="477"/>
      <c r="AS107" s="500"/>
      <c r="AT107" s="233"/>
      <c r="AU107" s="233"/>
      <c r="AV107" s="234"/>
    </row>
    <row r="108" spans="1:50" s="235" customFormat="1" ht="24">
      <c r="A108" s="450"/>
      <c r="B108" s="451"/>
      <c r="C108" s="452"/>
      <c r="D108" s="143" t="s">
        <v>467</v>
      </c>
      <c r="E108" s="123">
        <f>H108+K108+N108+Q108+T108+W108+Z108+AC108+AF108+AI108+AL108+AO108</f>
        <v>0</v>
      </c>
      <c r="F108" s="123">
        <f>I108+L108+O108+R108+U108+X108+AA108+AD108+AG108+AJ108+AM108+AP108</f>
        <v>0</v>
      </c>
      <c r="G108" s="123">
        <v>0</v>
      </c>
      <c r="H108" s="123">
        <v>0</v>
      </c>
      <c r="I108" s="123">
        <v>0</v>
      </c>
      <c r="J108" s="123">
        <v>0</v>
      </c>
      <c r="K108" s="132">
        <v>0</v>
      </c>
      <c r="L108" s="123">
        <v>0</v>
      </c>
      <c r="M108" s="123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17">
        <v>0</v>
      </c>
      <c r="U108" s="117">
        <v>0</v>
      </c>
      <c r="V108" s="123">
        <v>0</v>
      </c>
      <c r="W108" s="117">
        <v>0</v>
      </c>
      <c r="X108" s="117">
        <v>0</v>
      </c>
      <c r="Y108" s="117">
        <v>0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7">
        <v>0</v>
      </c>
      <c r="AF108" s="117">
        <v>0</v>
      </c>
      <c r="AG108" s="117">
        <v>0</v>
      </c>
      <c r="AH108" s="123">
        <v>0</v>
      </c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123">
        <v>0</v>
      </c>
      <c r="AR108" s="477"/>
      <c r="AS108" s="500"/>
      <c r="AT108" s="233"/>
      <c r="AU108" s="233"/>
      <c r="AV108" s="234"/>
    </row>
    <row r="109" spans="1:50" s="235" customFormat="1" ht="12.75" customHeight="1">
      <c r="A109" s="444" t="s">
        <v>488</v>
      </c>
      <c r="B109" s="445"/>
      <c r="C109" s="446"/>
      <c r="D109" s="143" t="s">
        <v>444</v>
      </c>
      <c r="E109" s="149">
        <f>E110+E111+E112</f>
        <v>2151.8000000000002</v>
      </c>
      <c r="F109" s="123">
        <f>F110+F111+F112</f>
        <v>393.70000000000005</v>
      </c>
      <c r="G109" s="123">
        <f>F109/E109*100</f>
        <v>18.296310065991264</v>
      </c>
      <c r="H109" s="123">
        <f t="shared" ref="H109:I109" si="264">H110+H111+H112</f>
        <v>0</v>
      </c>
      <c r="I109" s="123">
        <f t="shared" si="264"/>
        <v>0</v>
      </c>
      <c r="J109" s="123">
        <v>0</v>
      </c>
      <c r="K109" s="123">
        <f t="shared" ref="K109:L109" si="265">K110+K111+K112</f>
        <v>27.5</v>
      </c>
      <c r="L109" s="123">
        <f t="shared" si="265"/>
        <v>19.5</v>
      </c>
      <c r="M109" s="123">
        <f>L109/K109*100</f>
        <v>70.909090909090907</v>
      </c>
      <c r="N109" s="123">
        <f t="shared" ref="N109:O109" si="266">N110+N111+N112</f>
        <v>104.1</v>
      </c>
      <c r="O109" s="123">
        <f t="shared" si="266"/>
        <v>112.1</v>
      </c>
      <c r="P109" s="123">
        <f>O109/N109*100</f>
        <v>107.68491834774257</v>
      </c>
      <c r="Q109" s="123">
        <f t="shared" ref="Q109:R109" si="267">Q110+Q111+Q112</f>
        <v>48.5</v>
      </c>
      <c r="R109" s="123">
        <f t="shared" si="267"/>
        <v>48.5</v>
      </c>
      <c r="S109" s="123">
        <f>R109/Q109*100</f>
        <v>100</v>
      </c>
      <c r="T109" s="123">
        <f t="shared" ref="T109:U109" si="268">T110+T111+T112</f>
        <v>49.199999999999996</v>
      </c>
      <c r="U109" s="123">
        <f t="shared" si="268"/>
        <v>49.2</v>
      </c>
      <c r="V109" s="123">
        <f>U109/T109*100</f>
        <v>100.00000000000003</v>
      </c>
      <c r="W109" s="123">
        <f t="shared" ref="W109:X109" si="269">W110+W111+W112</f>
        <v>82.4</v>
      </c>
      <c r="X109" s="123">
        <f t="shared" si="269"/>
        <v>82.4</v>
      </c>
      <c r="Y109" s="123">
        <v>100</v>
      </c>
      <c r="Z109" s="123">
        <f t="shared" ref="Z109:AA109" si="270">Z110+Z111+Z112</f>
        <v>65.7</v>
      </c>
      <c r="AA109" s="123">
        <f t="shared" si="270"/>
        <v>65.7</v>
      </c>
      <c r="AB109" s="123">
        <f>AA109/Z109*100</f>
        <v>100</v>
      </c>
      <c r="AC109" s="123">
        <f t="shared" ref="AC109:AD109" si="271">AC110+AC111+AC112</f>
        <v>0</v>
      </c>
      <c r="AD109" s="123">
        <f t="shared" si="271"/>
        <v>0</v>
      </c>
      <c r="AE109" s="123">
        <v>0</v>
      </c>
      <c r="AF109" s="123">
        <f t="shared" ref="AF109:AG109" si="272">AF110+AF111+AF112</f>
        <v>16.3</v>
      </c>
      <c r="AG109" s="123">
        <f t="shared" si="272"/>
        <v>16.3</v>
      </c>
      <c r="AH109" s="123">
        <f>AG109/AF109*100</f>
        <v>100</v>
      </c>
      <c r="AI109" s="123">
        <f t="shared" ref="AI109:AJ109" si="273">AI110+AI111+AI112</f>
        <v>258.10000000000002</v>
      </c>
      <c r="AJ109" s="123">
        <f t="shared" si="273"/>
        <v>0</v>
      </c>
      <c r="AK109" s="123">
        <f>AJ109/AI109*100</f>
        <v>0</v>
      </c>
      <c r="AL109" s="123">
        <f t="shared" ref="AL109:AM109" si="274">AL110+AL111+AL112</f>
        <v>750</v>
      </c>
      <c r="AM109" s="123">
        <f t="shared" si="274"/>
        <v>0</v>
      </c>
      <c r="AN109" s="123">
        <f>AM109/AL109*100</f>
        <v>0</v>
      </c>
      <c r="AO109" s="123">
        <f t="shared" ref="AO109:AP109" si="275">AO110+AO111+AO112</f>
        <v>750</v>
      </c>
      <c r="AP109" s="123">
        <f t="shared" si="275"/>
        <v>0</v>
      </c>
      <c r="AQ109" s="228">
        <f>AP109/AO109*100</f>
        <v>0</v>
      </c>
      <c r="AR109" s="477"/>
      <c r="AS109" s="500"/>
      <c r="AT109" s="233"/>
      <c r="AU109" s="233"/>
      <c r="AV109" s="234"/>
    </row>
    <row r="110" spans="1:50" s="235" customFormat="1" ht="48">
      <c r="A110" s="447"/>
      <c r="B110" s="448"/>
      <c r="C110" s="449"/>
      <c r="D110" s="220" t="s">
        <v>442</v>
      </c>
      <c r="E110" s="149">
        <f>H110+K110+N110+Q110+T110+W110+Z110+AC110+AF110+AI110+AL110+AO110</f>
        <v>2151.8000000000002</v>
      </c>
      <c r="F110" s="123">
        <f>I110+L110+O110+R110+U110+X110+AA110+AD110+AG110+AJ110+AM110+AP110</f>
        <v>393.70000000000005</v>
      </c>
      <c r="G110" s="123">
        <f>F110/E110*100</f>
        <v>18.296310065991264</v>
      </c>
      <c r="H110" s="123">
        <v>0</v>
      </c>
      <c r="I110" s="123">
        <v>0</v>
      </c>
      <c r="J110" s="123">
        <v>0</v>
      </c>
      <c r="K110" s="123">
        <v>27.5</v>
      </c>
      <c r="L110" s="123">
        <v>19.5</v>
      </c>
      <c r="M110" s="123">
        <f>L110/K110*100</f>
        <v>70.909090909090907</v>
      </c>
      <c r="N110" s="123">
        <f>104.1</f>
        <v>104.1</v>
      </c>
      <c r="O110" s="123">
        <v>112.1</v>
      </c>
      <c r="P110" s="123">
        <f>O110/N110*100</f>
        <v>107.68491834774257</v>
      </c>
      <c r="Q110" s="123">
        <f>107.5-59</f>
        <v>48.5</v>
      </c>
      <c r="R110" s="123">
        <v>48.5</v>
      </c>
      <c r="S110" s="123">
        <f>R110/Q110*100</f>
        <v>100</v>
      </c>
      <c r="T110" s="123">
        <f>72.6-23.4</f>
        <v>49.199999999999996</v>
      </c>
      <c r="U110" s="123">
        <v>49.2</v>
      </c>
      <c r="V110" s="123">
        <f>U110/T110*100</f>
        <v>100.00000000000003</v>
      </c>
      <c r="W110" s="123">
        <f>59+23.4</f>
        <v>82.4</v>
      </c>
      <c r="X110" s="123">
        <v>82.4</v>
      </c>
      <c r="Y110" s="123">
        <v>100</v>
      </c>
      <c r="Z110" s="123">
        <v>65.7</v>
      </c>
      <c r="AA110" s="123">
        <v>65.7</v>
      </c>
      <c r="AB110" s="123">
        <f>AA110/Z110*100</f>
        <v>100</v>
      </c>
      <c r="AC110" s="123">
        <v>0</v>
      </c>
      <c r="AD110" s="123">
        <v>0</v>
      </c>
      <c r="AE110" s="123">
        <v>0</v>
      </c>
      <c r="AF110" s="123">
        <v>16.3</v>
      </c>
      <c r="AG110" s="123">
        <v>16.3</v>
      </c>
      <c r="AH110" s="123">
        <f>AG110/AF110*100</f>
        <v>100</v>
      </c>
      <c r="AI110" s="123">
        <v>258.10000000000002</v>
      </c>
      <c r="AJ110" s="123">
        <f>AJ49+AJ86+AJ98</f>
        <v>0</v>
      </c>
      <c r="AK110" s="123">
        <v>0</v>
      </c>
      <c r="AL110" s="123">
        <v>750</v>
      </c>
      <c r="AM110" s="123">
        <f>AM49+AM86+AM98</f>
        <v>0</v>
      </c>
      <c r="AN110" s="123">
        <v>0</v>
      </c>
      <c r="AO110" s="123">
        <v>750</v>
      </c>
      <c r="AP110" s="123">
        <f>AP49+AP86+AP98</f>
        <v>0</v>
      </c>
      <c r="AQ110" s="228">
        <v>0</v>
      </c>
      <c r="AR110" s="477"/>
      <c r="AS110" s="500"/>
      <c r="AT110" s="233"/>
      <c r="AU110" s="233"/>
      <c r="AV110" s="234"/>
    </row>
    <row r="111" spans="1:50" s="235" customFormat="1" ht="12.75">
      <c r="A111" s="447"/>
      <c r="B111" s="448"/>
      <c r="C111" s="449"/>
      <c r="D111" s="220" t="s">
        <v>462</v>
      </c>
      <c r="E111" s="123">
        <f t="shared" ref="E111:F112" si="276">H111+K111+N111+Q111+T111+W111+Z111+AC111+AF111+AI111+AL111+AO111</f>
        <v>0</v>
      </c>
      <c r="F111" s="123">
        <f t="shared" si="276"/>
        <v>0</v>
      </c>
      <c r="G111" s="123">
        <v>0</v>
      </c>
      <c r="H111" s="123">
        <v>0</v>
      </c>
      <c r="I111" s="123">
        <v>0</v>
      </c>
      <c r="J111" s="123">
        <v>0</v>
      </c>
      <c r="K111" s="123">
        <v>0</v>
      </c>
      <c r="L111" s="123">
        <v>0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23">
        <v>0</v>
      </c>
      <c r="AD111" s="123">
        <v>0</v>
      </c>
      <c r="AE111" s="123">
        <v>0</v>
      </c>
      <c r="AF111" s="123">
        <v>0</v>
      </c>
      <c r="AG111" s="123">
        <v>0</v>
      </c>
      <c r="AH111" s="123">
        <v>0</v>
      </c>
      <c r="AI111" s="123">
        <v>0</v>
      </c>
      <c r="AJ111" s="123">
        <f>AJ50+AJ87+AJ99</f>
        <v>0</v>
      </c>
      <c r="AK111" s="123">
        <v>0</v>
      </c>
      <c r="AL111" s="123">
        <v>0</v>
      </c>
      <c r="AM111" s="123">
        <f>AM50+AM87+AM99</f>
        <v>0</v>
      </c>
      <c r="AN111" s="123">
        <v>0</v>
      </c>
      <c r="AO111" s="123">
        <v>0</v>
      </c>
      <c r="AP111" s="123">
        <f>AP50+AP87+AP99</f>
        <v>0</v>
      </c>
      <c r="AQ111" s="228">
        <v>0</v>
      </c>
      <c r="AR111" s="477"/>
      <c r="AS111" s="500"/>
      <c r="AT111" s="233"/>
      <c r="AU111" s="233"/>
      <c r="AV111" s="234"/>
    </row>
    <row r="112" spans="1:50" s="235" customFormat="1" ht="24">
      <c r="A112" s="447"/>
      <c r="B112" s="448"/>
      <c r="C112" s="449"/>
      <c r="D112" s="143" t="s">
        <v>257</v>
      </c>
      <c r="E112" s="123">
        <f t="shared" si="276"/>
        <v>0</v>
      </c>
      <c r="F112" s="123">
        <f t="shared" si="276"/>
        <v>0</v>
      </c>
      <c r="G112" s="123">
        <v>0</v>
      </c>
      <c r="H112" s="123">
        <v>0</v>
      </c>
      <c r="I112" s="123">
        <v>0</v>
      </c>
      <c r="J112" s="123">
        <v>0</v>
      </c>
      <c r="K112" s="123">
        <v>0</v>
      </c>
      <c r="L112" s="123">
        <v>0</v>
      </c>
      <c r="M112" s="123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3">
        <v>0</v>
      </c>
      <c r="AB112" s="123">
        <v>0</v>
      </c>
      <c r="AC112" s="123">
        <v>0</v>
      </c>
      <c r="AD112" s="123">
        <v>0</v>
      </c>
      <c r="AE112" s="123">
        <v>0</v>
      </c>
      <c r="AF112" s="123">
        <v>0</v>
      </c>
      <c r="AG112" s="123">
        <v>0</v>
      </c>
      <c r="AH112" s="123">
        <v>0</v>
      </c>
      <c r="AI112" s="123">
        <v>0</v>
      </c>
      <c r="AJ112" s="123">
        <v>0</v>
      </c>
      <c r="AK112" s="123">
        <v>0</v>
      </c>
      <c r="AL112" s="123">
        <v>0</v>
      </c>
      <c r="AM112" s="123">
        <v>0</v>
      </c>
      <c r="AN112" s="123">
        <v>0</v>
      </c>
      <c r="AO112" s="123">
        <v>0</v>
      </c>
      <c r="AP112" s="123">
        <v>0</v>
      </c>
      <c r="AQ112" s="228">
        <v>0</v>
      </c>
      <c r="AR112" s="477"/>
      <c r="AS112" s="500"/>
      <c r="AT112" s="233"/>
      <c r="AU112" s="233"/>
      <c r="AV112" s="234"/>
    </row>
    <row r="113" spans="1:48" s="235" customFormat="1" ht="24">
      <c r="A113" s="450"/>
      <c r="B113" s="451"/>
      <c r="C113" s="452"/>
      <c r="D113" s="143" t="s">
        <v>467</v>
      </c>
      <c r="E113" s="123">
        <f>H113+K113+N113+Q113+T113+W113+Z113+AC113+AF113+AI113+AL113+AO113</f>
        <v>0</v>
      </c>
      <c r="F113" s="123">
        <f>I113+L113+O113+R113+U113+X113+AA113+AD113+AG113+AJ113+AM113+AP113</f>
        <v>0</v>
      </c>
      <c r="G113" s="123">
        <v>0</v>
      </c>
      <c r="H113" s="123">
        <v>0</v>
      </c>
      <c r="I113" s="123">
        <v>0</v>
      </c>
      <c r="J113" s="123">
        <v>0</v>
      </c>
      <c r="K113" s="132">
        <v>0</v>
      </c>
      <c r="L113" s="123">
        <v>0</v>
      </c>
      <c r="M113" s="123">
        <v>0</v>
      </c>
      <c r="N113" s="123">
        <v>0</v>
      </c>
      <c r="O113" s="123">
        <v>0</v>
      </c>
      <c r="P113" s="123">
        <v>0</v>
      </c>
      <c r="Q113" s="123">
        <v>0</v>
      </c>
      <c r="R113" s="123">
        <v>0</v>
      </c>
      <c r="S113" s="123">
        <v>0</v>
      </c>
      <c r="T113" s="117">
        <v>0</v>
      </c>
      <c r="U113" s="117">
        <v>0</v>
      </c>
      <c r="V113" s="123">
        <v>0</v>
      </c>
      <c r="W113" s="117">
        <v>0</v>
      </c>
      <c r="X113" s="117">
        <v>0</v>
      </c>
      <c r="Y113" s="117">
        <v>0</v>
      </c>
      <c r="Z113" s="117">
        <v>0</v>
      </c>
      <c r="AA113" s="117">
        <v>0</v>
      </c>
      <c r="AB113" s="117">
        <v>0</v>
      </c>
      <c r="AC113" s="117">
        <v>0</v>
      </c>
      <c r="AD113" s="117">
        <v>0</v>
      </c>
      <c r="AE113" s="117">
        <v>0</v>
      </c>
      <c r="AF113" s="117">
        <v>0</v>
      </c>
      <c r="AG113" s="117">
        <v>0</v>
      </c>
      <c r="AH113" s="123">
        <v>0</v>
      </c>
      <c r="AI113" s="123">
        <v>0</v>
      </c>
      <c r="AJ113" s="123">
        <v>0</v>
      </c>
      <c r="AK113" s="123">
        <v>0</v>
      </c>
      <c r="AL113" s="117">
        <v>0</v>
      </c>
      <c r="AM113" s="117">
        <v>0</v>
      </c>
      <c r="AN113" s="117">
        <v>0</v>
      </c>
      <c r="AO113" s="123">
        <v>0</v>
      </c>
      <c r="AP113" s="123">
        <v>0</v>
      </c>
      <c r="AQ113" s="123">
        <v>0</v>
      </c>
      <c r="AR113" s="477"/>
      <c r="AS113" s="500"/>
      <c r="AT113" s="233"/>
      <c r="AU113" s="233"/>
      <c r="AV113" s="234"/>
    </row>
    <row r="114" spans="1:48" s="235" customFormat="1" ht="12.75" customHeight="1">
      <c r="A114" s="444" t="s">
        <v>489</v>
      </c>
      <c r="B114" s="445"/>
      <c r="C114" s="446"/>
      <c r="D114" s="143" t="s">
        <v>444</v>
      </c>
      <c r="E114" s="123">
        <f>E115+E116+E117</f>
        <v>109.8</v>
      </c>
      <c r="F114" s="123">
        <f>F115+F116+F117</f>
        <v>0</v>
      </c>
      <c r="G114" s="123">
        <f>F114/E114*100</f>
        <v>0</v>
      </c>
      <c r="H114" s="123">
        <f t="shared" ref="H114:I114" si="277">H115+H116+H117</f>
        <v>0</v>
      </c>
      <c r="I114" s="123">
        <f t="shared" si="277"/>
        <v>0</v>
      </c>
      <c r="J114" s="123">
        <v>0</v>
      </c>
      <c r="K114" s="123">
        <f t="shared" ref="K114:L114" si="278">K115+K116+K117</f>
        <v>0</v>
      </c>
      <c r="L114" s="123">
        <f t="shared" si="278"/>
        <v>0</v>
      </c>
      <c r="M114" s="123">
        <v>0</v>
      </c>
      <c r="N114" s="123">
        <f t="shared" ref="N114:O114" si="279">N115+N116+N117</f>
        <v>0</v>
      </c>
      <c r="O114" s="123">
        <f t="shared" si="279"/>
        <v>0</v>
      </c>
      <c r="P114" s="123">
        <v>0</v>
      </c>
      <c r="Q114" s="123">
        <f t="shared" ref="Q114:R114" si="280">Q115+Q116+Q117</f>
        <v>0</v>
      </c>
      <c r="R114" s="123">
        <f t="shared" si="280"/>
        <v>0</v>
      </c>
      <c r="S114" s="123">
        <v>0</v>
      </c>
      <c r="T114" s="123">
        <f t="shared" ref="T114:U114" si="281">T115+T116+T117</f>
        <v>0</v>
      </c>
      <c r="U114" s="123">
        <f t="shared" si="281"/>
        <v>0</v>
      </c>
      <c r="V114" s="123">
        <v>0</v>
      </c>
      <c r="W114" s="123">
        <f t="shared" ref="W114:X114" si="282">W115+W116+W117</f>
        <v>33.900000000000006</v>
      </c>
      <c r="X114" s="123">
        <f t="shared" si="282"/>
        <v>0</v>
      </c>
      <c r="Y114" s="123">
        <f>X114/W114*100</f>
        <v>0</v>
      </c>
      <c r="Z114" s="123">
        <f t="shared" ref="Z114:AA114" si="283">Z115+Z116+Z117</f>
        <v>0</v>
      </c>
      <c r="AA114" s="123">
        <f t="shared" si="283"/>
        <v>0</v>
      </c>
      <c r="AB114" s="123">
        <v>0</v>
      </c>
      <c r="AC114" s="123">
        <f t="shared" ref="AC114:AD114" si="284">AC115+AC116+AC117</f>
        <v>0</v>
      </c>
      <c r="AD114" s="123">
        <f t="shared" si="284"/>
        <v>0</v>
      </c>
      <c r="AE114" s="123">
        <v>0</v>
      </c>
      <c r="AF114" s="123">
        <f t="shared" ref="AF114:AG114" si="285">AF115+AF116+AF117</f>
        <v>71.099999999999994</v>
      </c>
      <c r="AG114" s="123">
        <f t="shared" si="285"/>
        <v>0</v>
      </c>
      <c r="AH114" s="123">
        <f>AG114/AF114*100</f>
        <v>0</v>
      </c>
      <c r="AI114" s="123">
        <f t="shared" ref="AI114:AJ114" si="286">AI115+AI116+AI117</f>
        <v>0</v>
      </c>
      <c r="AJ114" s="123">
        <f t="shared" si="286"/>
        <v>0</v>
      </c>
      <c r="AK114" s="123">
        <v>0</v>
      </c>
      <c r="AL114" s="123">
        <f t="shared" ref="AL114" si="287">AL115+AL116+AL117</f>
        <v>0</v>
      </c>
      <c r="AM114" s="123">
        <v>0</v>
      </c>
      <c r="AN114" s="123">
        <v>0</v>
      </c>
      <c r="AO114" s="123">
        <f t="shared" ref="AO114" si="288">AO115+AO116+AO117</f>
        <v>4.8</v>
      </c>
      <c r="AP114" s="123">
        <v>0</v>
      </c>
      <c r="AQ114" s="228">
        <v>0</v>
      </c>
      <c r="AR114" s="477"/>
      <c r="AS114" s="500"/>
      <c r="AT114" s="233"/>
      <c r="AU114" s="233"/>
      <c r="AV114" s="234"/>
    </row>
    <row r="115" spans="1:48" s="235" customFormat="1" ht="48">
      <c r="A115" s="447"/>
      <c r="B115" s="448"/>
      <c r="C115" s="449"/>
      <c r="D115" s="220" t="s">
        <v>442</v>
      </c>
      <c r="E115" s="123">
        <f>H115+K115+N115+Q115+T115+W115+Z115+AC115+AF115+AI115+AL115+AO115</f>
        <v>57.6</v>
      </c>
      <c r="F115" s="123">
        <f>I115+L115+O115+R115+U115+X115+AA115+AD115+AG115+AJ115+AM115+AP115</f>
        <v>0</v>
      </c>
      <c r="G115" s="123">
        <f>F115/E115*100</f>
        <v>0</v>
      </c>
      <c r="H115" s="123">
        <v>0</v>
      </c>
      <c r="I115" s="123">
        <v>0</v>
      </c>
      <c r="J115" s="123">
        <v>0</v>
      </c>
      <c r="K115" s="123">
        <v>0</v>
      </c>
      <c r="L115" s="123">
        <v>0</v>
      </c>
      <c r="M115" s="123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23">
        <v>0</v>
      </c>
      <c r="U115" s="123">
        <v>0</v>
      </c>
      <c r="V115" s="123">
        <v>0</v>
      </c>
      <c r="W115" s="123">
        <v>16.100000000000001</v>
      </c>
      <c r="X115" s="123">
        <v>0</v>
      </c>
      <c r="Y115" s="123">
        <f t="shared" ref="Y115" si="289">X115/W115*100</f>
        <v>0</v>
      </c>
      <c r="Z115" s="123">
        <v>0</v>
      </c>
      <c r="AA115" s="123">
        <v>0</v>
      </c>
      <c r="AB115" s="123">
        <v>0</v>
      </c>
      <c r="AC115" s="123">
        <v>0</v>
      </c>
      <c r="AD115" s="123">
        <v>0</v>
      </c>
      <c r="AE115" s="123">
        <v>0</v>
      </c>
      <c r="AF115" s="123">
        <v>39.6</v>
      </c>
      <c r="AG115" s="123">
        <v>0</v>
      </c>
      <c r="AH115" s="123">
        <f t="shared" ref="AH115:AH116" si="290">AG115/AF115*100</f>
        <v>0</v>
      </c>
      <c r="AI115" s="123">
        <v>0</v>
      </c>
      <c r="AJ115" s="123">
        <v>0</v>
      </c>
      <c r="AK115" s="123">
        <v>0</v>
      </c>
      <c r="AL115" s="123">
        <v>0</v>
      </c>
      <c r="AM115" s="123">
        <v>0</v>
      </c>
      <c r="AN115" s="123">
        <v>0</v>
      </c>
      <c r="AO115" s="123">
        <v>1.9</v>
      </c>
      <c r="AP115" s="123">
        <v>0</v>
      </c>
      <c r="AQ115" s="228">
        <v>0</v>
      </c>
      <c r="AR115" s="477"/>
      <c r="AS115" s="500"/>
      <c r="AT115" s="233"/>
      <c r="AU115" s="233"/>
      <c r="AV115" s="234"/>
    </row>
    <row r="116" spans="1:48" s="235" customFormat="1" ht="12.75">
      <c r="A116" s="447"/>
      <c r="B116" s="448"/>
      <c r="C116" s="449"/>
      <c r="D116" s="220" t="s">
        <v>462</v>
      </c>
      <c r="E116" s="123">
        <f t="shared" ref="E116:F117" si="291">H116+K116+N116+Q116+T116+W116+Z116+AC116+AF116+AI116+AL116+AO116</f>
        <v>52.199999999999996</v>
      </c>
      <c r="F116" s="123">
        <f>I116+L116+O116+R116+U116+X116+AA116+AD116+AG116+AJ116+AM116+AP116</f>
        <v>0</v>
      </c>
      <c r="G116" s="123">
        <f>F116/E116*100</f>
        <v>0</v>
      </c>
      <c r="H116" s="123">
        <v>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  <c r="U116" s="123">
        <v>0</v>
      </c>
      <c r="V116" s="123">
        <v>0</v>
      </c>
      <c r="W116" s="123">
        <v>17.8</v>
      </c>
      <c r="X116" s="123">
        <v>0</v>
      </c>
      <c r="Y116" s="123">
        <v>0</v>
      </c>
      <c r="Z116" s="123">
        <v>0</v>
      </c>
      <c r="AA116" s="123">
        <v>0</v>
      </c>
      <c r="AB116" s="123">
        <v>0</v>
      </c>
      <c r="AC116" s="123">
        <v>0</v>
      </c>
      <c r="AD116" s="123">
        <v>0</v>
      </c>
      <c r="AE116" s="123">
        <v>0</v>
      </c>
      <c r="AF116" s="123">
        <v>31.5</v>
      </c>
      <c r="AG116" s="123">
        <v>0</v>
      </c>
      <c r="AH116" s="123">
        <f t="shared" si="290"/>
        <v>0</v>
      </c>
      <c r="AI116" s="123">
        <v>0</v>
      </c>
      <c r="AJ116" s="123">
        <v>0</v>
      </c>
      <c r="AK116" s="123">
        <v>0</v>
      </c>
      <c r="AL116" s="123">
        <v>0</v>
      </c>
      <c r="AM116" s="123">
        <v>0</v>
      </c>
      <c r="AN116" s="123">
        <v>0</v>
      </c>
      <c r="AO116" s="123">
        <v>2.9</v>
      </c>
      <c r="AP116" s="123">
        <v>0</v>
      </c>
      <c r="AQ116" s="228">
        <v>0</v>
      </c>
      <c r="AR116" s="477"/>
      <c r="AS116" s="500"/>
      <c r="AT116" s="233"/>
      <c r="AU116" s="233"/>
      <c r="AV116" s="234"/>
    </row>
    <row r="117" spans="1:48" s="235" customFormat="1" ht="24">
      <c r="A117" s="447"/>
      <c r="B117" s="448"/>
      <c r="C117" s="449"/>
      <c r="D117" s="143" t="s">
        <v>257</v>
      </c>
      <c r="E117" s="123">
        <f t="shared" si="291"/>
        <v>0</v>
      </c>
      <c r="F117" s="123">
        <f t="shared" si="291"/>
        <v>0</v>
      </c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23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3">
        <v>0</v>
      </c>
      <c r="AB117" s="123">
        <v>0</v>
      </c>
      <c r="AC117" s="123">
        <v>0</v>
      </c>
      <c r="AD117" s="123">
        <v>0</v>
      </c>
      <c r="AE117" s="123">
        <v>0</v>
      </c>
      <c r="AF117" s="123">
        <v>0</v>
      </c>
      <c r="AG117" s="123">
        <v>0</v>
      </c>
      <c r="AH117" s="123">
        <v>0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3">
        <f t="shared" ref="AP117" si="292">AP51+AP94+AP106</f>
        <v>0</v>
      </c>
      <c r="AQ117" s="228">
        <v>0</v>
      </c>
      <c r="AR117" s="477"/>
      <c r="AS117" s="500"/>
      <c r="AT117" s="233"/>
      <c r="AU117" s="233"/>
      <c r="AV117" s="234"/>
    </row>
    <row r="118" spans="1:48" s="235" customFormat="1" ht="24">
      <c r="A118" s="450"/>
      <c r="B118" s="451"/>
      <c r="C118" s="452"/>
      <c r="D118" s="143" t="s">
        <v>467</v>
      </c>
      <c r="E118" s="123">
        <f>H118+K118+N118+Q118+T118+W118+Z118+AC118+AF118+AI118+AL118+AO118</f>
        <v>0</v>
      </c>
      <c r="F118" s="123">
        <f>I118+L118+O118+R118+U118+X118+AA118+AD118+AG118+AJ118+AM118+AP118</f>
        <v>0</v>
      </c>
      <c r="G118" s="123">
        <v>0</v>
      </c>
      <c r="H118" s="123">
        <v>0</v>
      </c>
      <c r="I118" s="123">
        <v>0</v>
      </c>
      <c r="J118" s="123">
        <v>0</v>
      </c>
      <c r="K118" s="132">
        <v>0</v>
      </c>
      <c r="L118" s="123">
        <v>0</v>
      </c>
      <c r="M118" s="123">
        <v>0</v>
      </c>
      <c r="N118" s="123">
        <v>0</v>
      </c>
      <c r="O118" s="123">
        <v>0</v>
      </c>
      <c r="P118" s="123">
        <v>0</v>
      </c>
      <c r="Q118" s="123">
        <v>0</v>
      </c>
      <c r="R118" s="123">
        <v>0</v>
      </c>
      <c r="S118" s="123">
        <v>0</v>
      </c>
      <c r="T118" s="117">
        <v>0</v>
      </c>
      <c r="U118" s="117">
        <v>0</v>
      </c>
      <c r="V118" s="123">
        <v>0</v>
      </c>
      <c r="W118" s="117">
        <v>0</v>
      </c>
      <c r="X118" s="117">
        <v>0</v>
      </c>
      <c r="Y118" s="117">
        <v>0</v>
      </c>
      <c r="Z118" s="117">
        <v>0</v>
      </c>
      <c r="AA118" s="117">
        <v>0</v>
      </c>
      <c r="AB118" s="117">
        <v>0</v>
      </c>
      <c r="AC118" s="117">
        <v>0</v>
      </c>
      <c r="AD118" s="117">
        <v>0</v>
      </c>
      <c r="AE118" s="117">
        <v>0</v>
      </c>
      <c r="AF118" s="117">
        <v>0</v>
      </c>
      <c r="AG118" s="117">
        <v>0</v>
      </c>
      <c r="AH118" s="123">
        <v>0</v>
      </c>
      <c r="AI118" s="123">
        <v>0</v>
      </c>
      <c r="AJ118" s="123">
        <v>0</v>
      </c>
      <c r="AK118" s="123">
        <v>0</v>
      </c>
      <c r="AL118" s="117">
        <v>0</v>
      </c>
      <c r="AM118" s="117">
        <v>0</v>
      </c>
      <c r="AN118" s="117">
        <v>0</v>
      </c>
      <c r="AO118" s="123">
        <v>0</v>
      </c>
      <c r="AP118" s="123">
        <v>0</v>
      </c>
      <c r="AQ118" s="123">
        <v>0</v>
      </c>
      <c r="AR118" s="477"/>
      <c r="AS118" s="500"/>
      <c r="AT118" s="233"/>
      <c r="AU118" s="233"/>
      <c r="AV118" s="234"/>
    </row>
    <row r="119" spans="1:48" s="235" customFormat="1" ht="12.75" customHeight="1">
      <c r="A119" s="444" t="s">
        <v>490</v>
      </c>
      <c r="B119" s="445"/>
      <c r="C119" s="446"/>
      <c r="D119" s="143" t="s">
        <v>444</v>
      </c>
      <c r="E119" s="123">
        <f>E120+E121+E122</f>
        <v>109.79999999999998</v>
      </c>
      <c r="F119" s="123">
        <f>F120+F121+F122</f>
        <v>0</v>
      </c>
      <c r="G119" s="123">
        <f>F119/E119*100</f>
        <v>0</v>
      </c>
      <c r="H119" s="123">
        <f t="shared" ref="H119:I119" si="293">H120+H121+H122</f>
        <v>0</v>
      </c>
      <c r="I119" s="123">
        <f t="shared" si="293"/>
        <v>0</v>
      </c>
      <c r="J119" s="123">
        <v>0</v>
      </c>
      <c r="K119" s="123">
        <f t="shared" ref="K119:L119" si="294">K120+K121+K122</f>
        <v>0</v>
      </c>
      <c r="L119" s="123">
        <f t="shared" si="294"/>
        <v>0</v>
      </c>
      <c r="M119" s="123">
        <v>0</v>
      </c>
      <c r="N119" s="123">
        <f t="shared" ref="N119:O119" si="295">N120+N121+N122</f>
        <v>18.399999999999999</v>
      </c>
      <c r="O119" s="123">
        <f t="shared" si="295"/>
        <v>0</v>
      </c>
      <c r="P119" s="123">
        <v>0</v>
      </c>
      <c r="Q119" s="123">
        <f t="shared" ref="Q119:R119" si="296">Q120+Q121+Q122</f>
        <v>31.7</v>
      </c>
      <c r="R119" s="123">
        <f t="shared" si="296"/>
        <v>0</v>
      </c>
      <c r="S119" s="123">
        <f>R119/Q119*100</f>
        <v>0</v>
      </c>
      <c r="T119" s="123">
        <f t="shared" ref="T119:U119" si="297">T120+T121+T122</f>
        <v>31.4</v>
      </c>
      <c r="U119" s="123">
        <f t="shared" si="297"/>
        <v>0</v>
      </c>
      <c r="V119" s="123">
        <f>U119/T119*100</f>
        <v>0</v>
      </c>
      <c r="W119" s="123">
        <f t="shared" ref="W119:X119" si="298">W120+W121+W122</f>
        <v>0</v>
      </c>
      <c r="X119" s="123">
        <f t="shared" si="298"/>
        <v>0</v>
      </c>
      <c r="Y119" s="123">
        <v>0</v>
      </c>
      <c r="Z119" s="123">
        <f t="shared" ref="Z119:AA119" si="299">Z120+Z121+Z122</f>
        <v>0</v>
      </c>
      <c r="AA119" s="123">
        <f t="shared" si="299"/>
        <v>0</v>
      </c>
      <c r="AB119" s="123">
        <v>0</v>
      </c>
      <c r="AC119" s="123">
        <f t="shared" ref="AC119:AD119" si="300">AC120+AC121+AC122</f>
        <v>23.6</v>
      </c>
      <c r="AD119" s="123">
        <f t="shared" si="300"/>
        <v>0</v>
      </c>
      <c r="AE119" s="123">
        <v>0</v>
      </c>
      <c r="AF119" s="123">
        <f t="shared" ref="AF119:AG119" si="301">AF120+AF121+AF122</f>
        <v>0</v>
      </c>
      <c r="AG119" s="123">
        <f t="shared" si="301"/>
        <v>0</v>
      </c>
      <c r="AH119" s="123">
        <v>0</v>
      </c>
      <c r="AI119" s="123">
        <f t="shared" ref="AI119:AJ119" si="302">AI120+AI121+AI122</f>
        <v>0</v>
      </c>
      <c r="AJ119" s="123">
        <f t="shared" si="302"/>
        <v>0</v>
      </c>
      <c r="AK119" s="123">
        <v>0</v>
      </c>
      <c r="AL119" s="123">
        <f t="shared" ref="AL119" si="303">AL120+AL121+AL122</f>
        <v>0</v>
      </c>
      <c r="AM119" s="123">
        <v>0</v>
      </c>
      <c r="AN119" s="123">
        <v>0</v>
      </c>
      <c r="AO119" s="123">
        <f t="shared" ref="AO119" si="304">AO120+AO121+AO122</f>
        <v>4.6999999999999993</v>
      </c>
      <c r="AP119" s="123">
        <v>0</v>
      </c>
      <c r="AQ119" s="228">
        <v>0</v>
      </c>
      <c r="AR119" s="477"/>
      <c r="AS119" s="500"/>
      <c r="AT119" s="233"/>
      <c r="AU119" s="233"/>
      <c r="AV119" s="234"/>
    </row>
    <row r="120" spans="1:48" s="235" customFormat="1" ht="48">
      <c r="A120" s="447"/>
      <c r="B120" s="448"/>
      <c r="C120" s="449"/>
      <c r="D120" s="220" t="s">
        <v>442</v>
      </c>
      <c r="E120" s="123">
        <f>H120+K120+N120+Q120+T120+W120+Z120+AC120+AF120+AI120+AL120+AO120</f>
        <v>57.599999999999994</v>
      </c>
      <c r="F120" s="123">
        <f>I120+L120+O120+R120+U120+X120+AA120+AD120+AG120+AJ120+AM120+AP120</f>
        <v>0</v>
      </c>
      <c r="G120" s="123">
        <f>F120/E120*100</f>
        <v>0</v>
      </c>
      <c r="H120" s="123">
        <v>0</v>
      </c>
      <c r="I120" s="123">
        <v>0</v>
      </c>
      <c r="J120" s="123">
        <v>0</v>
      </c>
      <c r="K120" s="123">
        <v>0</v>
      </c>
      <c r="L120" s="123">
        <v>0</v>
      </c>
      <c r="M120" s="123">
        <v>0</v>
      </c>
      <c r="N120" s="123">
        <v>10.7</v>
      </c>
      <c r="O120" s="123">
        <v>0</v>
      </c>
      <c r="P120" s="123">
        <v>0</v>
      </c>
      <c r="Q120" s="123">
        <v>10.7</v>
      </c>
      <c r="R120" s="123">
        <v>0</v>
      </c>
      <c r="S120" s="123">
        <f t="shared" ref="S120:S121" si="305">R120/Q120*100</f>
        <v>0</v>
      </c>
      <c r="T120" s="123">
        <v>10.7</v>
      </c>
      <c r="U120" s="123">
        <v>0</v>
      </c>
      <c r="V120" s="123">
        <f t="shared" ref="V120:V121" si="306">U120/T120*100</f>
        <v>0</v>
      </c>
      <c r="W120" s="123">
        <v>0</v>
      </c>
      <c r="X120" s="123">
        <v>0</v>
      </c>
      <c r="Y120" s="123">
        <v>0</v>
      </c>
      <c r="Z120" s="123">
        <v>0</v>
      </c>
      <c r="AA120" s="123">
        <v>0</v>
      </c>
      <c r="AB120" s="123">
        <v>0</v>
      </c>
      <c r="AC120" s="123">
        <v>23.6</v>
      </c>
      <c r="AD120" s="123">
        <v>0</v>
      </c>
      <c r="AE120" s="123">
        <v>0</v>
      </c>
      <c r="AF120" s="123">
        <v>0</v>
      </c>
      <c r="AG120" s="123">
        <v>0</v>
      </c>
      <c r="AH120" s="123">
        <v>0</v>
      </c>
      <c r="AI120" s="123">
        <v>0</v>
      </c>
      <c r="AJ120" s="123">
        <v>0</v>
      </c>
      <c r="AK120" s="123">
        <v>0</v>
      </c>
      <c r="AL120" s="123">
        <v>0</v>
      </c>
      <c r="AM120" s="123">
        <v>0</v>
      </c>
      <c r="AN120" s="123">
        <v>0</v>
      </c>
      <c r="AO120" s="123">
        <v>1.9</v>
      </c>
      <c r="AP120" s="123">
        <v>0</v>
      </c>
      <c r="AQ120" s="228">
        <v>0</v>
      </c>
      <c r="AR120" s="477"/>
      <c r="AS120" s="500"/>
      <c r="AT120" s="233"/>
      <c r="AU120" s="233"/>
      <c r="AV120" s="234"/>
    </row>
    <row r="121" spans="1:48" s="235" customFormat="1" ht="12.75">
      <c r="A121" s="447"/>
      <c r="B121" s="448"/>
      <c r="C121" s="449"/>
      <c r="D121" s="220" t="s">
        <v>462</v>
      </c>
      <c r="E121" s="123">
        <f t="shared" ref="E121:F122" si="307">H121+K121+N121+Q121+T121+W121+Z121+AC121+AF121+AI121+AL121+AO121</f>
        <v>52.199999999999996</v>
      </c>
      <c r="F121" s="123">
        <f>I121+L121+O121+R121+U121+X121+AA121+AD121+AG121+AJ121+AM121+AP121</f>
        <v>0</v>
      </c>
      <c r="G121" s="123">
        <f>F121/E121*100</f>
        <v>0</v>
      </c>
      <c r="H121" s="123">
        <v>0</v>
      </c>
      <c r="I121" s="123">
        <v>0</v>
      </c>
      <c r="J121" s="123">
        <v>0</v>
      </c>
      <c r="K121" s="123">
        <v>0</v>
      </c>
      <c r="L121" s="123">
        <v>0</v>
      </c>
      <c r="M121" s="123">
        <v>0</v>
      </c>
      <c r="N121" s="123">
        <v>7.7</v>
      </c>
      <c r="O121" s="123">
        <v>0</v>
      </c>
      <c r="P121" s="123">
        <v>0</v>
      </c>
      <c r="Q121" s="123">
        <v>21</v>
      </c>
      <c r="R121" s="123">
        <v>0</v>
      </c>
      <c r="S121" s="123">
        <f t="shared" si="305"/>
        <v>0</v>
      </c>
      <c r="T121" s="123">
        <v>20.7</v>
      </c>
      <c r="U121" s="123">
        <v>0</v>
      </c>
      <c r="V121" s="123">
        <f t="shared" si="306"/>
        <v>0</v>
      </c>
      <c r="W121" s="123">
        <v>0</v>
      </c>
      <c r="X121" s="123">
        <v>0</v>
      </c>
      <c r="Y121" s="123">
        <v>0</v>
      </c>
      <c r="Z121" s="123">
        <v>0</v>
      </c>
      <c r="AA121" s="123">
        <v>0</v>
      </c>
      <c r="AB121" s="123">
        <v>0</v>
      </c>
      <c r="AC121" s="123">
        <v>0</v>
      </c>
      <c r="AD121" s="123">
        <v>0</v>
      </c>
      <c r="AE121" s="123">
        <v>0</v>
      </c>
      <c r="AF121" s="123">
        <v>0</v>
      </c>
      <c r="AG121" s="123">
        <v>0</v>
      </c>
      <c r="AH121" s="123">
        <v>0</v>
      </c>
      <c r="AI121" s="123">
        <v>0</v>
      </c>
      <c r="AJ121" s="123">
        <v>0</v>
      </c>
      <c r="AK121" s="123">
        <v>0</v>
      </c>
      <c r="AL121" s="123">
        <v>0</v>
      </c>
      <c r="AM121" s="123">
        <v>0</v>
      </c>
      <c r="AN121" s="123">
        <v>0</v>
      </c>
      <c r="AO121" s="123">
        <v>2.8</v>
      </c>
      <c r="AP121" s="123">
        <v>0</v>
      </c>
      <c r="AQ121" s="228">
        <v>0</v>
      </c>
      <c r="AR121" s="477"/>
      <c r="AS121" s="500"/>
      <c r="AT121" s="233"/>
      <c r="AU121" s="233"/>
      <c r="AV121" s="234"/>
    </row>
    <row r="122" spans="1:48" s="235" customFormat="1" ht="24">
      <c r="A122" s="447"/>
      <c r="B122" s="448"/>
      <c r="C122" s="449"/>
      <c r="D122" s="143" t="s">
        <v>257</v>
      </c>
      <c r="E122" s="123">
        <f t="shared" si="307"/>
        <v>0</v>
      </c>
      <c r="F122" s="123">
        <f t="shared" si="307"/>
        <v>0</v>
      </c>
      <c r="G122" s="123">
        <v>0</v>
      </c>
      <c r="H122" s="123">
        <v>0</v>
      </c>
      <c r="I122" s="123">
        <v>0</v>
      </c>
      <c r="J122" s="123">
        <v>0</v>
      </c>
      <c r="K122" s="123">
        <v>0</v>
      </c>
      <c r="L122" s="123">
        <v>0</v>
      </c>
      <c r="M122" s="123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  <c r="U122" s="123">
        <v>0</v>
      </c>
      <c r="V122" s="123">
        <v>0</v>
      </c>
      <c r="W122" s="123">
        <v>0</v>
      </c>
      <c r="X122" s="123">
        <v>0</v>
      </c>
      <c r="Y122" s="123">
        <v>0</v>
      </c>
      <c r="Z122" s="123">
        <v>0</v>
      </c>
      <c r="AA122" s="123">
        <v>0</v>
      </c>
      <c r="AB122" s="123">
        <v>0</v>
      </c>
      <c r="AC122" s="123">
        <v>0</v>
      </c>
      <c r="AD122" s="123">
        <v>0</v>
      </c>
      <c r="AE122" s="123">
        <v>0</v>
      </c>
      <c r="AF122" s="123">
        <v>0</v>
      </c>
      <c r="AG122" s="123">
        <v>0</v>
      </c>
      <c r="AH122" s="123">
        <v>0</v>
      </c>
      <c r="AI122" s="123">
        <v>0</v>
      </c>
      <c r="AJ122" s="123">
        <v>0</v>
      </c>
      <c r="AK122" s="123">
        <v>0</v>
      </c>
      <c r="AL122" s="123">
        <v>0</v>
      </c>
      <c r="AM122" s="123">
        <v>0</v>
      </c>
      <c r="AN122" s="123">
        <v>0</v>
      </c>
      <c r="AO122" s="123">
        <v>0</v>
      </c>
      <c r="AP122" s="123">
        <f>AP56+AP99+AP111</f>
        <v>0</v>
      </c>
      <c r="AQ122" s="228">
        <v>0</v>
      </c>
      <c r="AR122" s="477"/>
      <c r="AS122" s="500"/>
      <c r="AT122" s="233"/>
      <c r="AU122" s="233"/>
      <c r="AV122" s="234"/>
    </row>
    <row r="123" spans="1:48" s="235" customFormat="1" ht="24">
      <c r="A123" s="450"/>
      <c r="B123" s="451"/>
      <c r="C123" s="452"/>
      <c r="D123" s="143" t="s">
        <v>467</v>
      </c>
      <c r="E123" s="123">
        <f>H123+K123+N123+Q123+T123+W123+Z123+AC123+AF123+AI123+AL123+AO123</f>
        <v>0</v>
      </c>
      <c r="F123" s="123">
        <f>I123+L123+O123+R123+U123+X123+AA123+AD123+AG123+AJ123+AM123+AP123</f>
        <v>0</v>
      </c>
      <c r="G123" s="123">
        <v>0</v>
      </c>
      <c r="H123" s="123">
        <v>0</v>
      </c>
      <c r="I123" s="123">
        <v>0</v>
      </c>
      <c r="J123" s="123">
        <v>0</v>
      </c>
      <c r="K123" s="132">
        <v>0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17">
        <v>0</v>
      </c>
      <c r="U123" s="117">
        <v>0</v>
      </c>
      <c r="V123" s="123">
        <v>0</v>
      </c>
      <c r="W123" s="117">
        <v>0</v>
      </c>
      <c r="X123" s="117">
        <v>0</v>
      </c>
      <c r="Y123" s="117">
        <v>0</v>
      </c>
      <c r="Z123" s="117">
        <v>0</v>
      </c>
      <c r="AA123" s="117">
        <v>0</v>
      </c>
      <c r="AB123" s="117">
        <v>0</v>
      </c>
      <c r="AC123" s="117">
        <v>0</v>
      </c>
      <c r="AD123" s="117">
        <v>0</v>
      </c>
      <c r="AE123" s="117">
        <v>0</v>
      </c>
      <c r="AF123" s="117">
        <v>0</v>
      </c>
      <c r="AG123" s="117">
        <v>0</v>
      </c>
      <c r="AH123" s="123">
        <v>0</v>
      </c>
      <c r="AI123" s="123">
        <v>0</v>
      </c>
      <c r="AJ123" s="123">
        <v>0</v>
      </c>
      <c r="AK123" s="123">
        <v>0</v>
      </c>
      <c r="AL123" s="117">
        <v>0</v>
      </c>
      <c r="AM123" s="117">
        <v>0</v>
      </c>
      <c r="AN123" s="117">
        <v>0</v>
      </c>
      <c r="AO123" s="123">
        <v>0</v>
      </c>
      <c r="AP123" s="123">
        <v>0</v>
      </c>
      <c r="AQ123" s="123">
        <v>0</v>
      </c>
      <c r="AR123" s="477"/>
      <c r="AS123" s="500"/>
      <c r="AT123" s="233"/>
      <c r="AU123" s="233"/>
      <c r="AV123" s="234"/>
    </row>
    <row r="124" spans="1:48" s="235" customFormat="1" ht="12.75" customHeight="1">
      <c r="A124" s="444" t="s">
        <v>491</v>
      </c>
      <c r="B124" s="445"/>
      <c r="C124" s="446"/>
      <c r="D124" s="143" t="s">
        <v>444</v>
      </c>
      <c r="E124" s="123">
        <f>E125+E126+E127</f>
        <v>1225.2</v>
      </c>
      <c r="F124" s="123">
        <f>F125+F126+F127</f>
        <v>96</v>
      </c>
      <c r="G124" s="123">
        <f>F124/E124*100</f>
        <v>7.8354554358472077</v>
      </c>
      <c r="H124" s="123">
        <f t="shared" ref="H124:I124" si="308">H125+H126+H127</f>
        <v>0</v>
      </c>
      <c r="I124" s="123">
        <f t="shared" si="308"/>
        <v>0</v>
      </c>
      <c r="J124" s="123">
        <v>0</v>
      </c>
      <c r="K124" s="123">
        <f t="shared" ref="K124:L124" si="309">K125+K126+K127</f>
        <v>33</v>
      </c>
      <c r="L124" s="123">
        <f t="shared" si="309"/>
        <v>18.5</v>
      </c>
      <c r="M124" s="123">
        <f>L124/K124*100</f>
        <v>56.060606060606055</v>
      </c>
      <c r="N124" s="123">
        <f t="shared" ref="N124:O124" si="310">N125+N126+N127</f>
        <v>33</v>
      </c>
      <c r="O124" s="123">
        <f t="shared" si="310"/>
        <v>13.8</v>
      </c>
      <c r="P124" s="123">
        <f>O124/N124*100</f>
        <v>41.81818181818182</v>
      </c>
      <c r="Q124" s="123">
        <f t="shared" ref="Q124:R124" si="311">Q125+Q126+Q127</f>
        <v>46</v>
      </c>
      <c r="R124" s="123">
        <f t="shared" si="311"/>
        <v>45.2</v>
      </c>
      <c r="S124" s="123">
        <f>R124/Q124*100</f>
        <v>98.260869565217405</v>
      </c>
      <c r="T124" s="123">
        <f t="shared" ref="T124:U124" si="312">T125+T126+T127</f>
        <v>18</v>
      </c>
      <c r="U124" s="123">
        <f t="shared" si="312"/>
        <v>0</v>
      </c>
      <c r="V124" s="123">
        <f>U124/T124*100</f>
        <v>0</v>
      </c>
      <c r="W124" s="123">
        <f t="shared" ref="W124:X124" si="313">W125+W126+W127</f>
        <v>23</v>
      </c>
      <c r="X124" s="123">
        <f t="shared" si="313"/>
        <v>0</v>
      </c>
      <c r="Y124" s="123">
        <f>X124/W124*100</f>
        <v>0</v>
      </c>
      <c r="Z124" s="123">
        <f t="shared" ref="Z124:AA124" si="314">Z125+Z126+Z127</f>
        <v>17</v>
      </c>
      <c r="AA124" s="123">
        <f t="shared" si="314"/>
        <v>5.0999999999999996</v>
      </c>
      <c r="AB124" s="123">
        <f>AA124/Z124*100</f>
        <v>30</v>
      </c>
      <c r="AC124" s="123">
        <f t="shared" ref="AC124:AD124" si="315">AC125+AC126+AC127</f>
        <v>17</v>
      </c>
      <c r="AD124" s="123">
        <f t="shared" si="315"/>
        <v>6.7</v>
      </c>
      <c r="AE124" s="123">
        <f>AD124/AC124*100</f>
        <v>39.411764705882355</v>
      </c>
      <c r="AF124" s="123">
        <f t="shared" ref="AF124:AG124" si="316">AF125+AF126+AF127</f>
        <v>738.3</v>
      </c>
      <c r="AG124" s="123">
        <f t="shared" si="316"/>
        <v>6.7</v>
      </c>
      <c r="AH124" s="123">
        <f>AG124/AF124*100</f>
        <v>0.90749018014357319</v>
      </c>
      <c r="AI124" s="123">
        <f t="shared" ref="AI124:AJ124" si="317">AI125+AI126+AI127</f>
        <v>145.6</v>
      </c>
      <c r="AJ124" s="123">
        <f t="shared" si="317"/>
        <v>0</v>
      </c>
      <c r="AK124" s="123">
        <f>AJ124/AI124*100</f>
        <v>0</v>
      </c>
      <c r="AL124" s="123">
        <f t="shared" ref="AL124:AM124" si="318">AL125+AL126+AL127</f>
        <v>51</v>
      </c>
      <c r="AM124" s="123">
        <f t="shared" si="318"/>
        <v>0</v>
      </c>
      <c r="AN124" s="123">
        <f>AM124/AL124*100</f>
        <v>0</v>
      </c>
      <c r="AO124" s="123">
        <f t="shared" ref="AO124:AP124" si="319">AO125+AO126+AO127</f>
        <v>103.3</v>
      </c>
      <c r="AP124" s="123">
        <f t="shared" si="319"/>
        <v>0</v>
      </c>
      <c r="AQ124" s="228">
        <f>AP124/AO124*100</f>
        <v>0</v>
      </c>
      <c r="AR124" s="477"/>
      <c r="AS124" s="500"/>
      <c r="AT124" s="233"/>
      <c r="AU124" s="233"/>
      <c r="AV124" s="234"/>
    </row>
    <row r="125" spans="1:48" s="235" customFormat="1" ht="48">
      <c r="A125" s="447"/>
      <c r="B125" s="448"/>
      <c r="C125" s="449"/>
      <c r="D125" s="220" t="s">
        <v>442</v>
      </c>
      <c r="E125" s="123">
        <f>H125+K125+N125+Q125+T125+W125+Z125+AC125+AF125+AI125+AL125+AO125</f>
        <v>841.9</v>
      </c>
      <c r="F125" s="123">
        <f>I125+L125+O125+R125+U125+X125+AA125+AD125+AG125+AJ125+AM125+AP125</f>
        <v>0</v>
      </c>
      <c r="G125" s="123">
        <f>F125/E125*100</f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3">
        <v>0</v>
      </c>
      <c r="V125" s="123">
        <v>0</v>
      </c>
      <c r="W125" s="123">
        <v>0</v>
      </c>
      <c r="X125" s="123">
        <v>0</v>
      </c>
      <c r="Y125" s="123">
        <v>0</v>
      </c>
      <c r="Z125" s="123">
        <v>0</v>
      </c>
      <c r="AA125" s="123">
        <v>0</v>
      </c>
      <c r="AB125" s="123">
        <v>0</v>
      </c>
      <c r="AC125" s="123">
        <v>0</v>
      </c>
      <c r="AD125" s="123">
        <v>0</v>
      </c>
      <c r="AE125" s="123">
        <v>0</v>
      </c>
      <c r="AF125" s="123">
        <v>721.3</v>
      </c>
      <c r="AG125" s="123">
        <v>0</v>
      </c>
      <c r="AH125" s="123">
        <v>0</v>
      </c>
      <c r="AI125" s="123">
        <v>120.6</v>
      </c>
      <c r="AJ125" s="123">
        <v>0</v>
      </c>
      <c r="AK125" s="123">
        <f t="shared" ref="AK125:AK126" si="320">AJ125/AI125*100</f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228">
        <v>0</v>
      </c>
      <c r="AR125" s="477"/>
      <c r="AS125" s="500"/>
      <c r="AT125" s="233"/>
      <c r="AU125" s="233"/>
      <c r="AV125" s="234"/>
    </row>
    <row r="126" spans="1:48" s="235" customFormat="1" ht="12.75">
      <c r="A126" s="447"/>
      <c r="B126" s="448"/>
      <c r="C126" s="449"/>
      <c r="D126" s="220" t="s">
        <v>462</v>
      </c>
      <c r="E126" s="123">
        <f t="shared" ref="E126:F128" si="321">H126+K126+N126+Q126+T126+W126+Z126+AC126+AF126+AI126+AL126+AO126</f>
        <v>383.3</v>
      </c>
      <c r="F126" s="123">
        <f t="shared" si="321"/>
        <v>96</v>
      </c>
      <c r="G126" s="123">
        <f>F126/E126*100</f>
        <v>25.045656144012522</v>
      </c>
      <c r="H126" s="123">
        <v>0</v>
      </c>
      <c r="I126" s="123">
        <v>0</v>
      </c>
      <c r="J126" s="123">
        <v>0</v>
      </c>
      <c r="K126" s="123">
        <v>33</v>
      </c>
      <c r="L126" s="123">
        <v>18.5</v>
      </c>
      <c r="M126" s="123">
        <f t="shared" ref="M126" si="322">L126/K126*100</f>
        <v>56.060606060606055</v>
      </c>
      <c r="N126" s="123">
        <v>33</v>
      </c>
      <c r="O126" s="123">
        <v>13.8</v>
      </c>
      <c r="P126" s="123">
        <f t="shared" ref="P126" si="323">O126/N126*100</f>
        <v>41.81818181818182</v>
      </c>
      <c r="Q126" s="123">
        <f>35+11</f>
        <v>46</v>
      </c>
      <c r="R126" s="123">
        <v>45.2</v>
      </c>
      <c r="S126" s="123">
        <f t="shared" ref="S126" si="324">R126/Q126*100</f>
        <v>98.260869565217405</v>
      </c>
      <c r="T126" s="123">
        <f>29-11</f>
        <v>18</v>
      </c>
      <c r="U126" s="123">
        <v>0</v>
      </c>
      <c r="V126" s="123">
        <f t="shared" ref="V126" si="325">U126/T126*100</f>
        <v>0</v>
      </c>
      <c r="W126" s="123">
        <v>23</v>
      </c>
      <c r="X126" s="123">
        <v>0</v>
      </c>
      <c r="Y126" s="123">
        <f t="shared" ref="Y126" si="326">X126/W126*100</f>
        <v>0</v>
      </c>
      <c r="Z126" s="123">
        <v>17</v>
      </c>
      <c r="AA126" s="123">
        <v>5.0999999999999996</v>
      </c>
      <c r="AB126" s="123">
        <f t="shared" ref="AB126" si="327">AA126/Z126*100</f>
        <v>30</v>
      </c>
      <c r="AC126" s="123">
        <v>17</v>
      </c>
      <c r="AD126" s="123">
        <v>6.7</v>
      </c>
      <c r="AE126" s="123">
        <f t="shared" ref="AE126" si="328">AD126/AC126*100</f>
        <v>39.411764705882355</v>
      </c>
      <c r="AF126" s="123">
        <v>17</v>
      </c>
      <c r="AG126" s="123">
        <v>6.7</v>
      </c>
      <c r="AH126" s="123">
        <f t="shared" ref="AH126" si="329">AG126/AF126*100</f>
        <v>39.411764705882355</v>
      </c>
      <c r="AI126" s="123">
        <v>25</v>
      </c>
      <c r="AJ126" s="123">
        <v>0</v>
      </c>
      <c r="AK126" s="123">
        <f t="shared" si="320"/>
        <v>0</v>
      </c>
      <c r="AL126" s="123">
        <f>37+14</f>
        <v>51</v>
      </c>
      <c r="AM126" s="123">
        <v>0</v>
      </c>
      <c r="AN126" s="123">
        <f t="shared" ref="AN126" si="330">AM126/AL126*100</f>
        <v>0</v>
      </c>
      <c r="AO126" s="123">
        <f>117.3-14</f>
        <v>103.3</v>
      </c>
      <c r="AP126" s="123">
        <v>0</v>
      </c>
      <c r="AQ126" s="228">
        <f t="shared" ref="AQ126" si="331">AP126/AO126*100</f>
        <v>0</v>
      </c>
      <c r="AR126" s="477"/>
      <c r="AS126" s="500"/>
      <c r="AT126" s="233"/>
      <c r="AU126" s="233"/>
      <c r="AV126" s="234"/>
    </row>
    <row r="127" spans="1:48" s="235" customFormat="1" ht="24">
      <c r="A127" s="447"/>
      <c r="B127" s="448"/>
      <c r="C127" s="449"/>
      <c r="D127" s="143" t="s">
        <v>257</v>
      </c>
      <c r="E127" s="123">
        <f t="shared" si="321"/>
        <v>0</v>
      </c>
      <c r="F127" s="123">
        <f t="shared" si="321"/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123">
        <v>0</v>
      </c>
      <c r="AA127" s="123">
        <v>0</v>
      </c>
      <c r="AB127" s="123">
        <v>0</v>
      </c>
      <c r="AC127" s="123">
        <v>0</v>
      </c>
      <c r="AD127" s="123">
        <v>0</v>
      </c>
      <c r="AE127" s="123">
        <v>0</v>
      </c>
      <c r="AF127" s="123">
        <v>0</v>
      </c>
      <c r="AG127" s="123">
        <v>0</v>
      </c>
      <c r="AH127" s="123">
        <v>0</v>
      </c>
      <c r="AI127" s="123">
        <v>0</v>
      </c>
      <c r="AJ127" s="123">
        <v>0</v>
      </c>
      <c r="AK127" s="123">
        <v>0</v>
      </c>
      <c r="AL127" s="123">
        <v>0</v>
      </c>
      <c r="AM127" s="123">
        <v>0</v>
      </c>
      <c r="AN127" s="123">
        <v>0</v>
      </c>
      <c r="AO127" s="123">
        <v>0</v>
      </c>
      <c r="AP127" s="123">
        <v>0</v>
      </c>
      <c r="AQ127" s="228">
        <v>0</v>
      </c>
      <c r="AR127" s="477"/>
      <c r="AS127" s="500"/>
      <c r="AT127" s="233"/>
      <c r="AU127" s="233"/>
      <c r="AV127" s="234"/>
    </row>
    <row r="128" spans="1:48" s="235" customFormat="1" ht="24">
      <c r="A128" s="450"/>
      <c r="B128" s="451"/>
      <c r="C128" s="452"/>
      <c r="D128" s="143" t="s">
        <v>467</v>
      </c>
      <c r="E128" s="123">
        <f t="shared" si="321"/>
        <v>0</v>
      </c>
      <c r="F128" s="123">
        <f t="shared" si="321"/>
        <v>0</v>
      </c>
      <c r="G128" s="123">
        <v>0</v>
      </c>
      <c r="H128" s="123">
        <v>0</v>
      </c>
      <c r="I128" s="123">
        <v>0</v>
      </c>
      <c r="J128" s="123">
        <v>0</v>
      </c>
      <c r="K128" s="123">
        <v>0</v>
      </c>
      <c r="L128" s="123">
        <v>0</v>
      </c>
      <c r="M128" s="123">
        <v>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3">
        <v>0</v>
      </c>
      <c r="V128" s="123">
        <v>0</v>
      </c>
      <c r="W128" s="123">
        <v>0</v>
      </c>
      <c r="X128" s="123">
        <v>0</v>
      </c>
      <c r="Y128" s="123">
        <v>0</v>
      </c>
      <c r="Z128" s="123">
        <v>0</v>
      </c>
      <c r="AA128" s="123">
        <v>0</v>
      </c>
      <c r="AB128" s="123">
        <v>0</v>
      </c>
      <c r="AC128" s="123">
        <v>0</v>
      </c>
      <c r="AD128" s="123">
        <v>0</v>
      </c>
      <c r="AE128" s="123">
        <v>0</v>
      </c>
      <c r="AF128" s="123">
        <v>0</v>
      </c>
      <c r="AG128" s="123">
        <v>0</v>
      </c>
      <c r="AH128" s="123">
        <v>0</v>
      </c>
      <c r="AI128" s="123">
        <v>0</v>
      </c>
      <c r="AJ128" s="123">
        <v>0</v>
      </c>
      <c r="AK128" s="123">
        <v>0</v>
      </c>
      <c r="AL128" s="123">
        <v>0</v>
      </c>
      <c r="AM128" s="123">
        <v>0</v>
      </c>
      <c r="AN128" s="123">
        <v>0</v>
      </c>
      <c r="AO128" s="123">
        <v>0</v>
      </c>
      <c r="AP128" s="123">
        <v>0</v>
      </c>
      <c r="AQ128" s="228">
        <v>0</v>
      </c>
      <c r="AR128" s="477"/>
      <c r="AS128" s="500"/>
      <c r="AT128" s="233"/>
      <c r="AU128" s="233"/>
      <c r="AV128" s="234"/>
    </row>
    <row r="129" spans="1:64">
      <c r="AR129" s="260"/>
    </row>
    <row r="130" spans="1:64" ht="15" customHeight="1">
      <c r="AR130" s="260"/>
    </row>
    <row r="131" spans="1:64" s="235" customFormat="1" ht="15" customHeight="1">
      <c r="A131" s="261" t="s">
        <v>436</v>
      </c>
      <c r="B131" s="261"/>
      <c r="C131" s="261"/>
      <c r="D131" s="213"/>
      <c r="E131" s="247"/>
      <c r="F131" s="262"/>
      <c r="G131" s="225" t="s">
        <v>437</v>
      </c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48"/>
      <c r="BI131" s="212"/>
      <c r="BJ131" s="212"/>
      <c r="BK131" s="212"/>
      <c r="BL131" s="212"/>
    </row>
    <row r="132" spans="1:64" s="235" customFormat="1" ht="15" customHeight="1">
      <c r="A132" s="503" t="s">
        <v>438</v>
      </c>
      <c r="B132" s="503"/>
      <c r="C132" s="503"/>
      <c r="D132" s="213"/>
      <c r="E132" s="247"/>
      <c r="F132" s="262"/>
      <c r="G132" s="225" t="s">
        <v>439</v>
      </c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/>
      <c r="BL132" s="212"/>
    </row>
    <row r="133" spans="1:64" s="235" customFormat="1" ht="15" customHeight="1">
      <c r="A133" s="225"/>
      <c r="B133" s="225"/>
      <c r="C133" s="225"/>
      <c r="D133" s="213"/>
      <c r="E133" s="247"/>
      <c r="F133" s="263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</row>
    <row r="134" spans="1:64" s="235" customFormat="1" ht="35.25" customHeight="1">
      <c r="A134" s="504" t="s">
        <v>440</v>
      </c>
      <c r="B134" s="504"/>
      <c r="C134" s="504"/>
      <c r="D134" s="504"/>
      <c r="E134" s="504"/>
      <c r="F134" s="262"/>
      <c r="G134" s="225" t="s">
        <v>496</v>
      </c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  <c r="BI134" s="212"/>
      <c r="BJ134" s="212"/>
      <c r="BK134" s="212"/>
      <c r="BL134" s="212"/>
    </row>
    <row r="135" spans="1:64">
      <c r="AO135" s="258"/>
      <c r="AR135" s="260"/>
    </row>
    <row r="136" spans="1:64">
      <c r="AO136" s="258"/>
      <c r="AR136" s="260"/>
    </row>
    <row r="137" spans="1:64">
      <c r="AO137" s="258"/>
      <c r="AR137" s="260"/>
    </row>
    <row r="138" spans="1:64">
      <c r="AO138" s="258"/>
      <c r="AR138" s="260"/>
    </row>
    <row r="139" spans="1:64">
      <c r="AO139" s="258"/>
      <c r="AR139" s="260"/>
    </row>
    <row r="140" spans="1:64">
      <c r="AO140" s="258"/>
      <c r="AR140" s="260"/>
    </row>
    <row r="141" spans="1:64">
      <c r="AO141" s="258"/>
      <c r="AR141" s="260"/>
    </row>
    <row r="142" spans="1:64">
      <c r="AO142" s="258"/>
      <c r="AR142" s="260"/>
    </row>
    <row r="143" spans="1:64">
      <c r="AO143" s="258"/>
      <c r="AR143" s="260"/>
    </row>
    <row r="144" spans="1:64">
      <c r="AO144" s="258"/>
      <c r="AR144" s="260"/>
    </row>
    <row r="145" spans="41:44">
      <c r="AO145" s="258"/>
      <c r="AR145" s="260"/>
    </row>
    <row r="146" spans="41:44">
      <c r="AO146" s="258"/>
      <c r="AR146" s="260"/>
    </row>
    <row r="147" spans="41:44">
      <c r="AO147" s="258"/>
      <c r="AR147" s="260"/>
    </row>
    <row r="148" spans="41:44">
      <c r="AO148" s="258"/>
      <c r="AR148" s="260"/>
    </row>
    <row r="149" spans="41:44">
      <c r="AO149" s="258"/>
      <c r="AR149" s="260"/>
    </row>
    <row r="150" spans="41:44">
      <c r="AO150" s="258"/>
      <c r="AR150" s="260"/>
    </row>
    <row r="151" spans="41:44">
      <c r="AO151" s="258"/>
      <c r="AR151" s="260"/>
    </row>
    <row r="152" spans="41:44">
      <c r="AO152" s="258"/>
      <c r="AR152" s="260"/>
    </row>
    <row r="153" spans="41:44">
      <c r="AO153" s="258"/>
      <c r="AR153" s="260"/>
    </row>
    <row r="154" spans="41:44">
      <c r="AO154" s="258"/>
      <c r="AR154" s="260"/>
    </row>
    <row r="155" spans="41:44">
      <c r="AO155" s="258"/>
      <c r="AR155" s="260"/>
    </row>
    <row r="156" spans="41:44">
      <c r="AO156" s="258"/>
      <c r="AR156" s="260"/>
    </row>
  </sheetData>
  <mergeCells count="106">
    <mergeCell ref="A124:C128"/>
    <mergeCell ref="AR124:AR128"/>
    <mergeCell ref="AS124:AS128"/>
    <mergeCell ref="A132:C132"/>
    <mergeCell ref="A134:E134"/>
    <mergeCell ref="A114:C118"/>
    <mergeCell ref="AR114:AR118"/>
    <mergeCell ref="AS114:AS118"/>
    <mergeCell ref="A119:C123"/>
    <mergeCell ref="AR119:AR123"/>
    <mergeCell ref="AS119:AS123"/>
    <mergeCell ref="A104:C108"/>
    <mergeCell ref="AR104:AR108"/>
    <mergeCell ref="AS104:AS108"/>
    <mergeCell ref="A109:C113"/>
    <mergeCell ref="AR109:AR113"/>
    <mergeCell ref="AS109:AS113"/>
    <mergeCell ref="A92:C92"/>
    <mergeCell ref="A93:C97"/>
    <mergeCell ref="AR93:AR97"/>
    <mergeCell ref="AS93:AS97"/>
    <mergeCell ref="A98:C103"/>
    <mergeCell ref="AR98:AR103"/>
    <mergeCell ref="AS98:AS103"/>
    <mergeCell ref="A81:C85"/>
    <mergeCell ref="AR81:AR85"/>
    <mergeCell ref="AS81:AS85"/>
    <mergeCell ref="A86:C91"/>
    <mergeCell ref="AR86:AR91"/>
    <mergeCell ref="AS86:AS91"/>
    <mergeCell ref="A70:A74"/>
    <mergeCell ref="B70:B74"/>
    <mergeCell ref="C70:C74"/>
    <mergeCell ref="AR70:AR74"/>
    <mergeCell ref="AS70:AS74"/>
    <mergeCell ref="A75:C80"/>
    <mergeCell ref="AR75:AR80"/>
    <mergeCell ref="AS75:AS80"/>
    <mergeCell ref="A58:A62"/>
    <mergeCell ref="B58:B62"/>
    <mergeCell ref="C58:C62"/>
    <mergeCell ref="AR58:AR62"/>
    <mergeCell ref="AS58:AS62"/>
    <mergeCell ref="A63:A67"/>
    <mergeCell ref="B63:C67"/>
    <mergeCell ref="AR63:AR67"/>
    <mergeCell ref="AS63:AS67"/>
    <mergeCell ref="A46:A50"/>
    <mergeCell ref="B46:B50"/>
    <mergeCell ref="C46:C50"/>
    <mergeCell ref="AR46:AR50"/>
    <mergeCell ref="AS46:AS50"/>
    <mergeCell ref="A52:A56"/>
    <mergeCell ref="B52:C56"/>
    <mergeCell ref="AR52:AR56"/>
    <mergeCell ref="AS52:AS56"/>
    <mergeCell ref="A35:A39"/>
    <mergeCell ref="B35:B39"/>
    <mergeCell ref="C35:C39"/>
    <mergeCell ref="AR35:AR39"/>
    <mergeCell ref="AS35:AS39"/>
    <mergeCell ref="A40:A45"/>
    <mergeCell ref="B40:B45"/>
    <mergeCell ref="C40:C45"/>
    <mergeCell ref="AR40:AR45"/>
    <mergeCell ref="AS40:AS45"/>
    <mergeCell ref="A24:A29"/>
    <mergeCell ref="B24:B29"/>
    <mergeCell ref="C24:C29"/>
    <mergeCell ref="AR24:AR29"/>
    <mergeCell ref="AS24:AS29"/>
    <mergeCell ref="A30:A34"/>
    <mergeCell ref="B30:B34"/>
    <mergeCell ref="C30:C34"/>
    <mergeCell ref="AR30:AR34"/>
    <mergeCell ref="A13:A18"/>
    <mergeCell ref="B13:C18"/>
    <mergeCell ref="AR13:AR18"/>
    <mergeCell ref="AS13:AS18"/>
    <mergeCell ref="A19:A23"/>
    <mergeCell ref="B19:B23"/>
    <mergeCell ref="C19:C23"/>
    <mergeCell ref="AR19:AR23"/>
    <mergeCell ref="AS19:AS23"/>
    <mergeCell ref="A7:AS7"/>
    <mergeCell ref="A8:AS8"/>
    <mergeCell ref="A9:AQ9"/>
    <mergeCell ref="A11:A12"/>
    <mergeCell ref="B11:B12"/>
    <mergeCell ref="C11:C12"/>
    <mergeCell ref="D11:D12"/>
    <mergeCell ref="E11:G11"/>
    <mergeCell ref="H11:J11"/>
    <mergeCell ref="K11:M11"/>
    <mergeCell ref="AF11:AH11"/>
    <mergeCell ref="AI11:AK11"/>
    <mergeCell ref="AL11:AN11"/>
    <mergeCell ref="AO11:AQ11"/>
    <mergeCell ref="AR11:AR12"/>
    <mergeCell ref="AS11:AS12"/>
    <mergeCell ref="N11:P11"/>
    <mergeCell ref="Q11:S11"/>
    <mergeCell ref="T11:V11"/>
    <mergeCell ref="W11:Y11"/>
    <mergeCell ref="Z11:AB11"/>
    <mergeCell ref="AC11:AE11"/>
  </mergeCells>
  <conditionalFormatting sqref="T51 G63:G66 S72 S70 G58:G61 G70:G73 H48:H52 H42:H45 H34 H32 G41 G49 G38 G44 H27 H16 H89 H101">
    <cfRule type="cellIs" dxfId="1" priority="2" stopIfTrue="1" operator="notEqual">
      <formula>#REF!</formula>
    </cfRule>
  </conditionalFormatting>
  <conditionalFormatting sqref="T51 G63:G66 S72 S70 G58:G61 G70:G73 H48:H52 H42:H45 H34 H32 G41 G49 G38 G44 H27 H16 H89 H101">
    <cfRule type="cellIs" dxfId="0" priority="1" stopIfTrue="1" operator="notEqual">
      <formula>#REF!</formula>
    </cfRule>
  </conditionalFormatting>
  <pageMargins left="0.34" right="0.11811023622047245" top="0.18" bottom="0.17" header="0.16" footer="0.17"/>
  <pageSetup paperSize="8" scale="35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на 01.01.2018</vt:lpstr>
      <vt:lpstr>на 01.02.2018</vt:lpstr>
      <vt:lpstr>на 01.04.2018</vt:lpstr>
      <vt:lpstr>на 01.10.2020</vt:lpstr>
      <vt:lpstr>'Выполнение работ'!Заголовки_для_печати</vt:lpstr>
      <vt:lpstr>'на 01.01.2018'!Заголовки_для_печати</vt:lpstr>
      <vt:lpstr>'на 01.10.2020'!Заголовки_для_печати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2020-10-22T06:02:30Z</cp:lastPrinted>
  <dcterms:created xsi:type="dcterms:W3CDTF">2011-05-17T05:04:33Z</dcterms:created>
  <dcterms:modified xsi:type="dcterms:W3CDTF">2020-10-22T06:05:38Z</dcterms:modified>
</cp:coreProperties>
</file>