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45" yWindow="30" windowWidth="15930" windowHeight="9435" tabRatio="724"/>
  </bookViews>
  <sheets>
    <sheet name="9 мес" sheetId="13" r:id="rId1"/>
  </sheets>
  <definedNames>
    <definedName name="_xlnm.Print_Area" localSheetId="0">'9 мес'!$A$1:$AS$305</definedName>
  </definedNames>
  <calcPr calcId="124519"/>
</workbook>
</file>

<file path=xl/calcChain.xml><?xml version="1.0" encoding="utf-8"?>
<calcChain xmlns="http://schemas.openxmlformats.org/spreadsheetml/2006/main">
  <c r="AE292" i="13"/>
  <c r="AG22" l="1"/>
  <c r="AG289" l="1"/>
  <c r="AG270"/>
  <c r="AG46" l="1"/>
  <c r="AG40"/>
  <c r="AF247"/>
  <c r="AC247"/>
  <c r="Z247"/>
  <c r="AO242"/>
  <c r="Z241"/>
  <c r="AC241"/>
  <c r="AC242"/>
  <c r="Z242"/>
  <c r="AL241"/>
  <c r="T241"/>
  <c r="N292"/>
  <c r="N241"/>
  <c r="AF229"/>
  <c r="AF224"/>
  <c r="AH224" s="1"/>
  <c r="AG221"/>
  <c r="Z219"/>
  <c r="AH219"/>
  <c r="AG216"/>
  <c r="AH198"/>
  <c r="AG195"/>
  <c r="AF162" l="1"/>
  <c r="AO126"/>
  <c r="AF126"/>
  <c r="AH141" l="1"/>
  <c r="AH140"/>
  <c r="AH139"/>
  <c r="AG138"/>
  <c r="Z130"/>
  <c r="AG128"/>
  <c r="AI121"/>
  <c r="AC121"/>
  <c r="AF121"/>
  <c r="AH114" l="1"/>
  <c r="AL116" l="1"/>
  <c r="AF116"/>
  <c r="AF113" s="1"/>
  <c r="AF101"/>
  <c r="AC91"/>
  <c r="Q91"/>
  <c r="AF49"/>
  <c r="AF43"/>
  <c r="AH43" s="1"/>
  <c r="AI69" l="1"/>
  <c r="N69"/>
  <c r="AF69"/>
  <c r="Z69"/>
  <c r="AI21"/>
  <c r="AF21"/>
  <c r="AL22"/>
  <c r="AF22"/>
  <c r="AF246"/>
  <c r="AC246"/>
  <c r="Z246"/>
  <c r="W246"/>
  <c r="T246"/>
  <c r="AI207"/>
  <c r="AI116"/>
  <c r="AH116"/>
  <c r="AO26"/>
  <c r="AL26"/>
  <c r="AI26"/>
  <c r="AF26"/>
  <c r="AC26"/>
  <c r="AD226" l="1"/>
  <c r="AD221"/>
  <c r="AD216"/>
  <c r="AD200"/>
  <c r="AD205"/>
  <c r="AD195"/>
  <c r="AD108"/>
  <c r="AD83"/>
  <c r="AD40"/>
  <c r="AD35"/>
  <c r="AD14"/>
  <c r="AD9"/>
  <c r="AE242" l="1"/>
  <c r="AE241"/>
  <c r="AE198"/>
  <c r="AE172"/>
  <c r="AE171"/>
  <c r="AE167"/>
  <c r="AE136"/>
  <c r="AE126"/>
  <c r="AE121"/>
  <c r="AE116"/>
  <c r="AE115"/>
  <c r="AE100"/>
  <c r="AE101"/>
  <c r="AE91"/>
  <c r="AE69"/>
  <c r="AE68"/>
  <c r="AE43"/>
  <c r="AE26"/>
  <c r="AE22"/>
  <c r="AE21"/>
  <c r="AB198" l="1"/>
  <c r="AA195"/>
  <c r="AA83"/>
  <c r="AA88"/>
  <c r="AB68"/>
  <c r="AB11"/>
  <c r="AA9"/>
  <c r="AI43" l="1"/>
  <c r="X246" l="1"/>
  <c r="W247"/>
  <c r="AL242"/>
  <c r="T242"/>
  <c r="AP287" l="1"/>
  <c r="AO287"/>
  <c r="AM287"/>
  <c r="AL287"/>
  <c r="AJ287"/>
  <c r="AI287"/>
  <c r="AG287"/>
  <c r="AF287"/>
  <c r="AD287"/>
  <c r="AC287"/>
  <c r="AA287"/>
  <c r="Z287"/>
  <c r="X287"/>
  <c r="W287"/>
  <c r="U287"/>
  <c r="T287"/>
  <c r="R287"/>
  <c r="Q287"/>
  <c r="O287"/>
  <c r="Z229"/>
  <c r="W229"/>
  <c r="Q229"/>
  <c r="W219"/>
  <c r="Q219"/>
  <c r="W207"/>
  <c r="AO207"/>
  <c r="AL207"/>
  <c r="Q208" l="1"/>
  <c r="T208"/>
  <c r="W208"/>
  <c r="AI167"/>
  <c r="AO167"/>
  <c r="W167"/>
  <c r="AO116"/>
  <c r="AO130" l="1"/>
  <c r="Q130"/>
  <c r="T130"/>
  <c r="W130"/>
  <c r="AO121"/>
  <c r="AL121"/>
  <c r="Z121"/>
  <c r="AI115"/>
  <c r="Z115"/>
  <c r="W115"/>
  <c r="Z101"/>
  <c r="Q101"/>
  <c r="T101"/>
  <c r="W116" l="1"/>
  <c r="Q111"/>
  <c r="W91" l="1"/>
  <c r="Q74" l="1"/>
  <c r="W68"/>
  <c r="T69"/>
  <c r="W69"/>
  <c r="R40" l="1"/>
  <c r="X40"/>
  <c r="Q26"/>
  <c r="T26"/>
  <c r="W26"/>
  <c r="X21"/>
  <c r="W22"/>
  <c r="AO22"/>
  <c r="W21"/>
  <c r="AO147" l="1"/>
  <c r="AM147"/>
  <c r="AL147"/>
  <c r="AJ147"/>
  <c r="AI147"/>
  <c r="AG147"/>
  <c r="AF147"/>
  <c r="AD147"/>
  <c r="AC147"/>
  <c r="AA147"/>
  <c r="Z147"/>
  <c r="X147"/>
  <c r="W147"/>
  <c r="U147"/>
  <c r="T147"/>
  <c r="R147"/>
  <c r="Q147"/>
  <c r="O147"/>
  <c r="N147"/>
  <c r="L147"/>
  <c r="K147"/>
  <c r="I147"/>
  <c r="F147" s="1"/>
  <c r="H147"/>
  <c r="E147" s="1"/>
  <c r="AO146"/>
  <c r="AM146"/>
  <c r="AJ146"/>
  <c r="AI146"/>
  <c r="AG146"/>
  <c r="AF146"/>
  <c r="AD146"/>
  <c r="AC146"/>
  <c r="AA146"/>
  <c r="Z146"/>
  <c r="X146"/>
  <c r="W146"/>
  <c r="U146"/>
  <c r="T146"/>
  <c r="R146"/>
  <c r="Q146"/>
  <c r="O146"/>
  <c r="L146"/>
  <c r="K146"/>
  <c r="I146"/>
  <c r="AM145"/>
  <c r="AN145" s="1"/>
  <c r="AL145"/>
  <c r="AJ145"/>
  <c r="AG145"/>
  <c r="AF145"/>
  <c r="AD145"/>
  <c r="AC145"/>
  <c r="AA145"/>
  <c r="Z145"/>
  <c r="X145"/>
  <c r="W145"/>
  <c r="U145"/>
  <c r="T145"/>
  <c r="R145"/>
  <c r="Q145"/>
  <c r="Q143" s="1"/>
  <c r="S143" s="1"/>
  <c r="O145"/>
  <c r="P145" s="1"/>
  <c r="N145"/>
  <c r="L145"/>
  <c r="K145"/>
  <c r="K143" s="1"/>
  <c r="M143" s="1"/>
  <c r="I145"/>
  <c r="J145" s="1"/>
  <c r="H145"/>
  <c r="AO144"/>
  <c r="AM144"/>
  <c r="AL144"/>
  <c r="AJ144"/>
  <c r="AI144"/>
  <c r="AG144"/>
  <c r="AF144"/>
  <c r="AD144"/>
  <c r="AC144"/>
  <c r="AA144"/>
  <c r="Z144"/>
  <c r="X144"/>
  <c r="W144"/>
  <c r="U144"/>
  <c r="T144"/>
  <c r="R144"/>
  <c r="Q144"/>
  <c r="O144"/>
  <c r="N144"/>
  <c r="L144"/>
  <c r="K144"/>
  <c r="I144"/>
  <c r="F144" s="1"/>
  <c r="H144"/>
  <c r="AJ143"/>
  <c r="U143"/>
  <c r="R143"/>
  <c r="L143"/>
  <c r="F142"/>
  <c r="E142"/>
  <c r="F141"/>
  <c r="E141"/>
  <c r="G141" s="1"/>
  <c r="AQ140"/>
  <c r="F140"/>
  <c r="E140"/>
  <c r="G140" s="1"/>
  <c r="F139"/>
  <c r="E139"/>
  <c r="AO138"/>
  <c r="AQ138" s="1"/>
  <c r="AM138"/>
  <c r="AL138"/>
  <c r="AJ138"/>
  <c r="AI138"/>
  <c r="AF138"/>
  <c r="AH138" s="1"/>
  <c r="AD138"/>
  <c r="AC138"/>
  <c r="AA138"/>
  <c r="Z138"/>
  <c r="X138"/>
  <c r="W138"/>
  <c r="U138"/>
  <c r="T138"/>
  <c r="R138"/>
  <c r="Q138"/>
  <c r="O138"/>
  <c r="N138"/>
  <c r="L138"/>
  <c r="K138"/>
  <c r="H138"/>
  <c r="F137"/>
  <c r="E137"/>
  <c r="F136"/>
  <c r="E136"/>
  <c r="AQ135"/>
  <c r="F135"/>
  <c r="E135"/>
  <c r="F134"/>
  <c r="E134"/>
  <c r="AO133"/>
  <c r="AQ133" s="1"/>
  <c r="AM133"/>
  <c r="AL133"/>
  <c r="AJ133"/>
  <c r="AI133"/>
  <c r="AF133"/>
  <c r="AD133"/>
  <c r="AC133"/>
  <c r="AA133"/>
  <c r="Z133"/>
  <c r="X133"/>
  <c r="W133"/>
  <c r="U133"/>
  <c r="T133"/>
  <c r="R133"/>
  <c r="Q133"/>
  <c r="O133"/>
  <c r="N133"/>
  <c r="L133"/>
  <c r="K133"/>
  <c r="H133"/>
  <c r="E133" s="1"/>
  <c r="E138" l="1"/>
  <c r="I143"/>
  <c r="O143"/>
  <c r="W143"/>
  <c r="M146"/>
  <c r="F138"/>
  <c r="T143"/>
  <c r="F146"/>
  <c r="G139"/>
  <c r="G136"/>
  <c r="AM143"/>
  <c r="M145"/>
  <c r="AK138"/>
  <c r="AG143"/>
  <c r="E144"/>
  <c r="AE133"/>
  <c r="AE145"/>
  <c r="AE146"/>
  <c r="AD143"/>
  <c r="AA143"/>
  <c r="AF143"/>
  <c r="Z143"/>
  <c r="S145"/>
  <c r="V145"/>
  <c r="X143"/>
  <c r="Y143" s="1"/>
  <c r="AB145"/>
  <c r="Y145"/>
  <c r="S146"/>
  <c r="AH145"/>
  <c r="AC143"/>
  <c r="AH146"/>
  <c r="V143"/>
  <c r="V146"/>
  <c r="AB143"/>
  <c r="AB146"/>
  <c r="AK146"/>
  <c r="Y146"/>
  <c r="F145"/>
  <c r="AN138"/>
  <c r="F133"/>
  <c r="G133" s="1"/>
  <c r="AK133"/>
  <c r="AN133"/>
  <c r="AO172"/>
  <c r="W172"/>
  <c r="W171"/>
  <c r="Y171" s="1"/>
  <c r="N43"/>
  <c r="N287" s="1"/>
  <c r="F143" l="1"/>
  <c r="G138"/>
  <c r="AH143"/>
  <c r="AE143"/>
  <c r="R289"/>
  <c r="R264"/>
  <c r="R270"/>
  <c r="S171"/>
  <c r="S120"/>
  <c r="K241" l="1"/>
  <c r="E294"/>
  <c r="AQ293"/>
  <c r="AO293"/>
  <c r="P293"/>
  <c r="E293"/>
  <c r="AQ292"/>
  <c r="E292"/>
  <c r="E291"/>
  <c r="AO290"/>
  <c r="AQ290" s="1"/>
  <c r="AL290"/>
  <c r="AJ290"/>
  <c r="AI290"/>
  <c r="AG290"/>
  <c r="AF290"/>
  <c r="AD290"/>
  <c r="AC290"/>
  <c r="AA290"/>
  <c r="Z290"/>
  <c r="X290"/>
  <c r="W290"/>
  <c r="U290"/>
  <c r="T290"/>
  <c r="R290"/>
  <c r="Q290"/>
  <c r="O290"/>
  <c r="N290"/>
  <c r="L290"/>
  <c r="K290"/>
  <c r="I290"/>
  <c r="H290"/>
  <c r="O289"/>
  <c r="F289"/>
  <c r="F288"/>
  <c r="E288"/>
  <c r="AQ287"/>
  <c r="F287"/>
  <c r="E287"/>
  <c r="AQ286"/>
  <c r="F286"/>
  <c r="E286"/>
  <c r="F285"/>
  <c r="E285"/>
  <c r="AO284"/>
  <c r="AQ284" s="1"/>
  <c r="AM284"/>
  <c r="AL284"/>
  <c r="AJ284"/>
  <c r="AI284"/>
  <c r="AG284"/>
  <c r="AF284"/>
  <c r="AD284"/>
  <c r="AC284"/>
  <c r="AA284"/>
  <c r="Z284"/>
  <c r="X284"/>
  <c r="W284"/>
  <c r="U284"/>
  <c r="T284"/>
  <c r="R284"/>
  <c r="Q284"/>
  <c r="O284"/>
  <c r="N284"/>
  <c r="L284"/>
  <c r="K284"/>
  <c r="I284"/>
  <c r="H284"/>
  <c r="O283"/>
  <c r="F283" s="1"/>
  <c r="AN282"/>
  <c r="AK282"/>
  <c r="AH282"/>
  <c r="AE282"/>
  <c r="AB282"/>
  <c r="Y282"/>
  <c r="V282"/>
  <c r="S282"/>
  <c r="P282"/>
  <c r="M282"/>
  <c r="J282"/>
  <c r="I282"/>
  <c r="AN279"/>
  <c r="AK279"/>
  <c r="AH279"/>
  <c r="AE279"/>
  <c r="AB279"/>
  <c r="Y279"/>
  <c r="V279"/>
  <c r="S279"/>
  <c r="P279"/>
  <c r="M279"/>
  <c r="J279"/>
  <c r="I279"/>
  <c r="O276"/>
  <c r="F276"/>
  <c r="O270"/>
  <c r="F270" s="1"/>
  <c r="AP269"/>
  <c r="AP275" s="1"/>
  <c r="AM269"/>
  <c r="AJ269"/>
  <c r="AG269"/>
  <c r="AD269"/>
  <c r="AA269"/>
  <c r="AP268"/>
  <c r="AP274" s="1"/>
  <c r="AM268"/>
  <c r="AJ268"/>
  <c r="AG268"/>
  <c r="AD268"/>
  <c r="AE268" s="1"/>
  <c r="AA268"/>
  <c r="AP267"/>
  <c r="AM267"/>
  <c r="AJ267"/>
  <c r="AG267"/>
  <c r="AD267"/>
  <c r="AA267"/>
  <c r="AP266"/>
  <c r="AP272" s="1"/>
  <c r="AM266"/>
  <c r="AJ266"/>
  <c r="AG266"/>
  <c r="AD266"/>
  <c r="AD265" s="1"/>
  <c r="AA266"/>
  <c r="AA265" s="1"/>
  <c r="AM265"/>
  <c r="AJ265"/>
  <c r="O264"/>
  <c r="F264"/>
  <c r="AO258"/>
  <c r="AM258"/>
  <c r="AL258"/>
  <c r="AJ258"/>
  <c r="AJ254" s="1"/>
  <c r="AI258"/>
  <c r="AG258"/>
  <c r="AF258"/>
  <c r="AD258"/>
  <c r="AC258"/>
  <c r="AA258"/>
  <c r="Z258"/>
  <c r="X258"/>
  <c r="W258"/>
  <c r="U258"/>
  <c r="T258"/>
  <c r="R258"/>
  <c r="Q258"/>
  <c r="O258"/>
  <c r="N258"/>
  <c r="L258"/>
  <c r="K258"/>
  <c r="I258"/>
  <c r="H258"/>
  <c r="E258" s="1"/>
  <c r="F258"/>
  <c r="AM257"/>
  <c r="AJ257"/>
  <c r="AI257"/>
  <c r="AI254" s="1"/>
  <c r="AG257"/>
  <c r="AH257" s="1"/>
  <c r="AF257"/>
  <c r="AD257"/>
  <c r="AC257"/>
  <c r="AA257"/>
  <c r="X257"/>
  <c r="W257"/>
  <c r="U257"/>
  <c r="R257"/>
  <c r="Q257"/>
  <c r="O257"/>
  <c r="L257"/>
  <c r="F257" s="1"/>
  <c r="I257"/>
  <c r="H257"/>
  <c r="AO256"/>
  <c r="AQ256" s="1"/>
  <c r="AM256"/>
  <c r="AJ256"/>
  <c r="AI256"/>
  <c r="AG256"/>
  <c r="AF256"/>
  <c r="AD256"/>
  <c r="AC256"/>
  <c r="AA256"/>
  <c r="X256"/>
  <c r="W256"/>
  <c r="U256"/>
  <c r="R256"/>
  <c r="R254" s="1"/>
  <c r="Q256"/>
  <c r="O256"/>
  <c r="N256"/>
  <c r="L256"/>
  <c r="I256"/>
  <c r="H256"/>
  <c r="AO255"/>
  <c r="AM255"/>
  <c r="AL255"/>
  <c r="AJ255"/>
  <c r="AI255"/>
  <c r="AG255"/>
  <c r="AG254" s="1"/>
  <c r="AF255"/>
  <c r="AD255"/>
  <c r="AC255"/>
  <c r="AA255"/>
  <c r="AA254" s="1"/>
  <c r="Z255"/>
  <c r="X255"/>
  <c r="W255"/>
  <c r="U255"/>
  <c r="T255"/>
  <c r="R255"/>
  <c r="Q255"/>
  <c r="Q254" s="1"/>
  <c r="O255"/>
  <c r="O254" s="1"/>
  <c r="N255"/>
  <c r="L255"/>
  <c r="K255"/>
  <c r="I255"/>
  <c r="F255" s="1"/>
  <c r="H255"/>
  <c r="H254" s="1"/>
  <c r="E255"/>
  <c r="AM254"/>
  <c r="X254"/>
  <c r="L254"/>
  <c r="F253"/>
  <c r="E253"/>
  <c r="F252"/>
  <c r="E252"/>
  <c r="F251"/>
  <c r="E251"/>
  <c r="F250"/>
  <c r="E250"/>
  <c r="AO249"/>
  <c r="AL249"/>
  <c r="AI249"/>
  <c r="AF249"/>
  <c r="AC249"/>
  <c r="Z249"/>
  <c r="W249"/>
  <c r="T249"/>
  <c r="Q249"/>
  <c r="N249"/>
  <c r="K249"/>
  <c r="H249"/>
  <c r="F249"/>
  <c r="F248"/>
  <c r="E248"/>
  <c r="AQ247"/>
  <c r="AN247"/>
  <c r="AH247"/>
  <c r="V247"/>
  <c r="F247"/>
  <c r="E247"/>
  <c r="AQ246"/>
  <c r="F246"/>
  <c r="E246"/>
  <c r="F245"/>
  <c r="E245"/>
  <c r="AO244"/>
  <c r="AQ244" s="1"/>
  <c r="AM244"/>
  <c r="AL244"/>
  <c r="AJ244"/>
  <c r="AI244"/>
  <c r="AG244"/>
  <c r="AF244"/>
  <c r="AH244" s="1"/>
  <c r="AD244"/>
  <c r="AC244"/>
  <c r="AA244"/>
  <c r="Z244"/>
  <c r="X244"/>
  <c r="W244"/>
  <c r="U244"/>
  <c r="T244"/>
  <c r="R244"/>
  <c r="Q244"/>
  <c r="N244"/>
  <c r="K244"/>
  <c r="H244"/>
  <c r="F243"/>
  <c r="E243"/>
  <c r="AO257"/>
  <c r="AL257"/>
  <c r="Z257"/>
  <c r="V242"/>
  <c r="T257"/>
  <c r="P242"/>
  <c r="N257"/>
  <c r="M242"/>
  <c r="F242"/>
  <c r="E242"/>
  <c r="AQ241"/>
  <c r="AL256"/>
  <c r="Z256"/>
  <c r="T256"/>
  <c r="K256"/>
  <c r="F241"/>
  <c r="E241"/>
  <c r="F240"/>
  <c r="E240"/>
  <c r="AO239"/>
  <c r="AQ239" s="1"/>
  <c r="AM239"/>
  <c r="AL239"/>
  <c r="AJ239"/>
  <c r="AI239"/>
  <c r="AG239"/>
  <c r="AF239"/>
  <c r="AD239"/>
  <c r="AC239"/>
  <c r="AA239"/>
  <c r="Z239"/>
  <c r="X239"/>
  <c r="W239"/>
  <c r="U239"/>
  <c r="T239"/>
  <c r="Q239"/>
  <c r="O239"/>
  <c r="N239"/>
  <c r="L239"/>
  <c r="K239"/>
  <c r="H239"/>
  <c r="O237"/>
  <c r="AO236"/>
  <c r="AM236"/>
  <c r="AL236"/>
  <c r="AI236"/>
  <c r="AG236"/>
  <c r="AF236"/>
  <c r="AD236"/>
  <c r="AC236"/>
  <c r="AA236"/>
  <c r="Z236"/>
  <c r="X236"/>
  <c r="W236"/>
  <c r="U236"/>
  <c r="T236"/>
  <c r="R236"/>
  <c r="Q236"/>
  <c r="O236"/>
  <c r="N236"/>
  <c r="L236"/>
  <c r="K236"/>
  <c r="H236"/>
  <c r="AO235"/>
  <c r="AQ235" s="1"/>
  <c r="AM235"/>
  <c r="AL235"/>
  <c r="AJ235"/>
  <c r="AI235"/>
  <c r="AG235"/>
  <c r="AF235"/>
  <c r="AD235"/>
  <c r="AD232" s="1"/>
  <c r="AC235"/>
  <c r="AC232" s="1"/>
  <c r="AA235"/>
  <c r="Z235"/>
  <c r="X235"/>
  <c r="X232" s="1"/>
  <c r="W235"/>
  <c r="W232" s="1"/>
  <c r="U235"/>
  <c r="T235"/>
  <c r="R235"/>
  <c r="R232" s="1"/>
  <c r="Q235"/>
  <c r="Q232" s="1"/>
  <c r="O235"/>
  <c r="L235"/>
  <c r="K235"/>
  <c r="K232" s="1"/>
  <c r="H235"/>
  <c r="AO234"/>
  <c r="AM234"/>
  <c r="AM232" s="1"/>
  <c r="AL234"/>
  <c r="AL232" s="1"/>
  <c r="AJ234"/>
  <c r="AI234"/>
  <c r="AG234"/>
  <c r="AF234"/>
  <c r="AD234"/>
  <c r="AC234"/>
  <c r="AA234"/>
  <c r="Z234"/>
  <c r="X234"/>
  <c r="W234"/>
  <c r="U234"/>
  <c r="T234"/>
  <c r="R234"/>
  <c r="Q234"/>
  <c r="O234"/>
  <c r="N234"/>
  <c r="L234"/>
  <c r="K234"/>
  <c r="H234"/>
  <c r="E234" s="1"/>
  <c r="F234"/>
  <c r="AO233"/>
  <c r="AM233"/>
  <c r="AL233"/>
  <c r="AJ233"/>
  <c r="AI233"/>
  <c r="AG233"/>
  <c r="AF233"/>
  <c r="AD233"/>
  <c r="AC233"/>
  <c r="AA233"/>
  <c r="Z233"/>
  <c r="X233"/>
  <c r="W233"/>
  <c r="U233"/>
  <c r="T233"/>
  <c r="R233"/>
  <c r="Q233"/>
  <c r="O233"/>
  <c r="N233"/>
  <c r="L233"/>
  <c r="K233"/>
  <c r="H233"/>
  <c r="H232" s="1"/>
  <c r="F233"/>
  <c r="AO232"/>
  <c r="AQ232" s="1"/>
  <c r="AJ232"/>
  <c r="AA232"/>
  <c r="Z232"/>
  <c r="U232"/>
  <c r="T232"/>
  <c r="O232"/>
  <c r="L232"/>
  <c r="F231"/>
  <c r="F230"/>
  <c r="E230"/>
  <c r="AQ229"/>
  <c r="AN229"/>
  <c r="N229"/>
  <c r="N226" s="1"/>
  <c r="M229"/>
  <c r="F229"/>
  <c r="F228"/>
  <c r="E228"/>
  <c r="F227"/>
  <c r="E227"/>
  <c r="AO226"/>
  <c r="AQ226" s="1"/>
  <c r="AM226"/>
  <c r="AL226"/>
  <c r="AJ226"/>
  <c r="AI226"/>
  <c r="AG226"/>
  <c r="AF226"/>
  <c r="AC226"/>
  <c r="Z226"/>
  <c r="X226"/>
  <c r="W226"/>
  <c r="U226"/>
  <c r="T226"/>
  <c r="Q226"/>
  <c r="O226"/>
  <c r="L226"/>
  <c r="K226"/>
  <c r="H226"/>
  <c r="F225"/>
  <c r="E225"/>
  <c r="AQ224"/>
  <c r="AK224"/>
  <c r="F224"/>
  <c r="E224"/>
  <c r="F223"/>
  <c r="E223"/>
  <c r="F222"/>
  <c r="E222"/>
  <c r="AO221"/>
  <c r="AQ221" s="1"/>
  <c r="AL221"/>
  <c r="AJ221"/>
  <c r="AI221"/>
  <c r="AF221"/>
  <c r="AC221"/>
  <c r="Z221"/>
  <c r="W221"/>
  <c r="T221"/>
  <c r="Q221"/>
  <c r="N221"/>
  <c r="K221"/>
  <c r="H221"/>
  <c r="F221"/>
  <c r="F220"/>
  <c r="E220"/>
  <c r="AQ219"/>
  <c r="AN219"/>
  <c r="AK219"/>
  <c r="F219"/>
  <c r="E219"/>
  <c r="F218"/>
  <c r="E218"/>
  <c r="F217"/>
  <c r="E217"/>
  <c r="AQ216"/>
  <c r="AO216"/>
  <c r="AM216"/>
  <c r="AL216"/>
  <c r="AJ216"/>
  <c r="AI216"/>
  <c r="AF216"/>
  <c r="AH216" s="1"/>
  <c r="AC216"/>
  <c r="AA216"/>
  <c r="Z216"/>
  <c r="X216"/>
  <c r="W216"/>
  <c r="T216"/>
  <c r="Q216"/>
  <c r="N216"/>
  <c r="L216"/>
  <c r="F216" s="1"/>
  <c r="K216"/>
  <c r="H216"/>
  <c r="AO214"/>
  <c r="AL214"/>
  <c r="AI214"/>
  <c r="AF214"/>
  <c r="AD214"/>
  <c r="AC214"/>
  <c r="AA214"/>
  <c r="Z214"/>
  <c r="X214"/>
  <c r="W214"/>
  <c r="U214"/>
  <c r="T214"/>
  <c r="R214"/>
  <c r="Q214"/>
  <c r="O214"/>
  <c r="N214"/>
  <c r="L214"/>
  <c r="F214" s="1"/>
  <c r="K214"/>
  <c r="H214"/>
  <c r="E214"/>
  <c r="AM213"/>
  <c r="AL213"/>
  <c r="AJ213"/>
  <c r="AG213"/>
  <c r="AF213"/>
  <c r="AD213"/>
  <c r="AC213"/>
  <c r="AA213"/>
  <c r="Z213"/>
  <c r="X213"/>
  <c r="U213"/>
  <c r="R213"/>
  <c r="O213"/>
  <c r="L213"/>
  <c r="K213"/>
  <c r="H213"/>
  <c r="AM212"/>
  <c r="AL212"/>
  <c r="AJ212"/>
  <c r="AG212"/>
  <c r="AG210" s="1"/>
  <c r="AF212"/>
  <c r="AD212"/>
  <c r="AC212"/>
  <c r="AA212"/>
  <c r="AA210" s="1"/>
  <c r="Z212"/>
  <c r="X212"/>
  <c r="W212"/>
  <c r="U212"/>
  <c r="F212" s="1"/>
  <c r="T212"/>
  <c r="R212"/>
  <c r="Q212"/>
  <c r="O212"/>
  <c r="O210" s="1"/>
  <c r="L212"/>
  <c r="K212"/>
  <c r="H212"/>
  <c r="AO211"/>
  <c r="AM211"/>
  <c r="AL211"/>
  <c r="AL210" s="1"/>
  <c r="AJ211"/>
  <c r="AJ210" s="1"/>
  <c r="AI211"/>
  <c r="AG211"/>
  <c r="AF211"/>
  <c r="AD211"/>
  <c r="AC211"/>
  <c r="AA211"/>
  <c r="Z211"/>
  <c r="X211"/>
  <c r="W211"/>
  <c r="U211"/>
  <c r="T211"/>
  <c r="R211"/>
  <c r="Q211"/>
  <c r="O211"/>
  <c r="N211"/>
  <c r="L211"/>
  <c r="L210" s="1"/>
  <c r="K211"/>
  <c r="H211"/>
  <c r="AM210"/>
  <c r="AF210"/>
  <c r="AD210"/>
  <c r="AC210"/>
  <c r="Z210"/>
  <c r="X210"/>
  <c r="K210"/>
  <c r="H210"/>
  <c r="F209"/>
  <c r="E209"/>
  <c r="AN208"/>
  <c r="W213"/>
  <c r="T213"/>
  <c r="T210" s="1"/>
  <c r="Q213"/>
  <c r="N208"/>
  <c r="M208"/>
  <c r="F208"/>
  <c r="AO212"/>
  <c r="AN207"/>
  <c r="AK207"/>
  <c r="AI212"/>
  <c r="V207"/>
  <c r="S207"/>
  <c r="P207"/>
  <c r="N207"/>
  <c r="M207"/>
  <c r="F207"/>
  <c r="E207"/>
  <c r="F206"/>
  <c r="E206"/>
  <c r="AO205"/>
  <c r="AQ205" s="1"/>
  <c r="AM205"/>
  <c r="AL205"/>
  <c r="AJ205"/>
  <c r="AI205"/>
  <c r="AF205"/>
  <c r="AC205"/>
  <c r="AA205"/>
  <c r="Z205"/>
  <c r="X205"/>
  <c r="W205"/>
  <c r="U205"/>
  <c r="T205"/>
  <c r="R205"/>
  <c r="Q205"/>
  <c r="O205"/>
  <c r="N205"/>
  <c r="L205"/>
  <c r="K205"/>
  <c r="H205"/>
  <c r="F204"/>
  <c r="E204"/>
  <c r="AO203"/>
  <c r="AO213" s="1"/>
  <c r="AQ213" s="1"/>
  <c r="N203"/>
  <c r="F203"/>
  <c r="F202"/>
  <c r="E202"/>
  <c r="F201"/>
  <c r="E201"/>
  <c r="AO200"/>
  <c r="AQ200" s="1"/>
  <c r="AL200"/>
  <c r="AI200"/>
  <c r="AF200"/>
  <c r="AC200"/>
  <c r="Z200"/>
  <c r="X200"/>
  <c r="W200"/>
  <c r="T200"/>
  <c r="Q200"/>
  <c r="O200"/>
  <c r="N200"/>
  <c r="L200"/>
  <c r="K200"/>
  <c r="H200"/>
  <c r="F199"/>
  <c r="E199"/>
  <c r="F198"/>
  <c r="G198" s="1"/>
  <c r="E198"/>
  <c r="F197"/>
  <c r="E197"/>
  <c r="F196"/>
  <c r="E196"/>
  <c r="AO195"/>
  <c r="AL195"/>
  <c r="AI195"/>
  <c r="AF195"/>
  <c r="AH195" s="1"/>
  <c r="AC195"/>
  <c r="AE195" s="1"/>
  <c r="Z195"/>
  <c r="AB195" s="1"/>
  <c r="W195"/>
  <c r="T195"/>
  <c r="Q195"/>
  <c r="N195"/>
  <c r="K195"/>
  <c r="H195"/>
  <c r="F195"/>
  <c r="F194"/>
  <c r="E194"/>
  <c r="F193"/>
  <c r="E193"/>
  <c r="F192"/>
  <c r="E192"/>
  <c r="F191"/>
  <c r="E191"/>
  <c r="AO190"/>
  <c r="AL190"/>
  <c r="AI190"/>
  <c r="AF190"/>
  <c r="AC190"/>
  <c r="Z190"/>
  <c r="W190"/>
  <c r="T190"/>
  <c r="Q190"/>
  <c r="N190"/>
  <c r="K190"/>
  <c r="H190"/>
  <c r="F190"/>
  <c r="F189"/>
  <c r="E189"/>
  <c r="AQ188"/>
  <c r="P188"/>
  <c r="F188"/>
  <c r="E188"/>
  <c r="F187"/>
  <c r="E187"/>
  <c r="F186"/>
  <c r="E186"/>
  <c r="AO185"/>
  <c r="AQ185" s="1"/>
  <c r="AL185"/>
  <c r="AJ185"/>
  <c r="AI185"/>
  <c r="AF185"/>
  <c r="AC185"/>
  <c r="Z185"/>
  <c r="W185"/>
  <c r="T185"/>
  <c r="Q185"/>
  <c r="O185"/>
  <c r="N185"/>
  <c r="K185"/>
  <c r="H185"/>
  <c r="AO183"/>
  <c r="AM183"/>
  <c r="AL183"/>
  <c r="AI183"/>
  <c r="AF183"/>
  <c r="AD183"/>
  <c r="AC183"/>
  <c r="E183" s="1"/>
  <c r="Z183"/>
  <c r="X183"/>
  <c r="W183"/>
  <c r="U183"/>
  <c r="T183"/>
  <c r="R183"/>
  <c r="Q183"/>
  <c r="O183"/>
  <c r="N183"/>
  <c r="L183"/>
  <c r="K183"/>
  <c r="I183"/>
  <c r="F183" s="1"/>
  <c r="H183"/>
  <c r="AO182"/>
  <c r="AQ182" s="1"/>
  <c r="AM182"/>
  <c r="AL182"/>
  <c r="AJ182"/>
  <c r="AI182"/>
  <c r="AG182"/>
  <c r="AD182"/>
  <c r="AC182"/>
  <c r="AA182"/>
  <c r="AB182" s="1"/>
  <c r="Z182"/>
  <c r="X182"/>
  <c r="W182"/>
  <c r="U182"/>
  <c r="T182"/>
  <c r="R182"/>
  <c r="Q182"/>
  <c r="O182"/>
  <c r="I182"/>
  <c r="H182"/>
  <c r="AO181"/>
  <c r="AM181"/>
  <c r="AL181"/>
  <c r="AJ181"/>
  <c r="AI181"/>
  <c r="AG181"/>
  <c r="AF181"/>
  <c r="AD181"/>
  <c r="AC181"/>
  <c r="AA181"/>
  <c r="AB181" s="1"/>
  <c r="Z181"/>
  <c r="X181"/>
  <c r="W181"/>
  <c r="U181"/>
  <c r="T181"/>
  <c r="R181"/>
  <c r="Q181"/>
  <c r="O181"/>
  <c r="O179" s="1"/>
  <c r="N181"/>
  <c r="L181"/>
  <c r="K181"/>
  <c r="I181"/>
  <c r="F181" s="1"/>
  <c r="H181"/>
  <c r="E181"/>
  <c r="AO180"/>
  <c r="AO179" s="1"/>
  <c r="AQ179" s="1"/>
  <c r="AM180"/>
  <c r="AM179" s="1"/>
  <c r="AL180"/>
  <c r="AJ180"/>
  <c r="AI180"/>
  <c r="AG180"/>
  <c r="AF180"/>
  <c r="AD180"/>
  <c r="AC180"/>
  <c r="AC179" s="1"/>
  <c r="AA180"/>
  <c r="AA179" s="1"/>
  <c r="AB179" s="1"/>
  <c r="Z180"/>
  <c r="X180"/>
  <c r="W180"/>
  <c r="U180"/>
  <c r="T180"/>
  <c r="R180"/>
  <c r="Q180"/>
  <c r="Q179" s="1"/>
  <c r="O180"/>
  <c r="N180"/>
  <c r="L180"/>
  <c r="K180"/>
  <c r="I180"/>
  <c r="H180"/>
  <c r="F180"/>
  <c r="E180"/>
  <c r="AJ179"/>
  <c r="AD179"/>
  <c r="Z179"/>
  <c r="U179"/>
  <c r="T179"/>
  <c r="I179"/>
  <c r="H179"/>
  <c r="F178"/>
  <c r="E178"/>
  <c r="F177"/>
  <c r="E177"/>
  <c r="F176"/>
  <c r="E176"/>
  <c r="F175"/>
  <c r="E175"/>
  <c r="AO174"/>
  <c r="AL174"/>
  <c r="AI174"/>
  <c r="AF174"/>
  <c r="AC174"/>
  <c r="Z174"/>
  <c r="W174"/>
  <c r="T174"/>
  <c r="Q174"/>
  <c r="N174"/>
  <c r="K174"/>
  <c r="E174" s="1"/>
  <c r="H174"/>
  <c r="F174"/>
  <c r="F173"/>
  <c r="E173"/>
  <c r="AQ172"/>
  <c r="AN172"/>
  <c r="AK172"/>
  <c r="AH172"/>
  <c r="AB172"/>
  <c r="Y172"/>
  <c r="V172"/>
  <c r="S172"/>
  <c r="P172"/>
  <c r="L172"/>
  <c r="L169" s="1"/>
  <c r="M169" s="1"/>
  <c r="J172"/>
  <c r="E172"/>
  <c r="AN171"/>
  <c r="AK171"/>
  <c r="AH171"/>
  <c r="AB171"/>
  <c r="V171"/>
  <c r="P171"/>
  <c r="M171"/>
  <c r="J171"/>
  <c r="F171"/>
  <c r="E171"/>
  <c r="F170"/>
  <c r="E170"/>
  <c r="AO169"/>
  <c r="AQ169" s="1"/>
  <c r="AM169"/>
  <c r="AN169" s="1"/>
  <c r="AL169"/>
  <c r="AJ169"/>
  <c r="AI169"/>
  <c r="AG169"/>
  <c r="AF169"/>
  <c r="AD169"/>
  <c r="AC169"/>
  <c r="AA169"/>
  <c r="AB169" s="1"/>
  <c r="Z169"/>
  <c r="X169"/>
  <c r="W169"/>
  <c r="U169"/>
  <c r="V169" s="1"/>
  <c r="T169"/>
  <c r="R169"/>
  <c r="Q169"/>
  <c r="O169"/>
  <c r="P169" s="1"/>
  <c r="N169"/>
  <c r="K169"/>
  <c r="I169"/>
  <c r="F169" s="1"/>
  <c r="H169"/>
  <c r="E169"/>
  <c r="F168"/>
  <c r="E168"/>
  <c r="AQ167"/>
  <c r="AN167"/>
  <c r="AK167"/>
  <c r="AH167"/>
  <c r="AB167"/>
  <c r="Y167"/>
  <c r="V167"/>
  <c r="S167"/>
  <c r="P167"/>
  <c r="M167"/>
  <c r="J167"/>
  <c r="F167"/>
  <c r="E167"/>
  <c r="F166"/>
  <c r="E166"/>
  <c r="F165"/>
  <c r="E165"/>
  <c r="AO164"/>
  <c r="AQ164" s="1"/>
  <c r="AM164"/>
  <c r="AL164"/>
  <c r="AJ164"/>
  <c r="AI164"/>
  <c r="AG164"/>
  <c r="AF164"/>
  <c r="AD164"/>
  <c r="AC164"/>
  <c r="AA164"/>
  <c r="Z164"/>
  <c r="X164"/>
  <c r="W164"/>
  <c r="Y164" s="1"/>
  <c r="U164"/>
  <c r="T164"/>
  <c r="R164"/>
  <c r="Q164"/>
  <c r="O164"/>
  <c r="N164"/>
  <c r="L164"/>
  <c r="K164"/>
  <c r="I164"/>
  <c r="H164"/>
  <c r="E164" s="1"/>
  <c r="F163"/>
  <c r="E163"/>
  <c r="AQ162"/>
  <c r="AK162"/>
  <c r="AF182"/>
  <c r="AF179" s="1"/>
  <c r="N162"/>
  <c r="N182" s="1"/>
  <c r="N179" s="1"/>
  <c r="F162"/>
  <c r="F161"/>
  <c r="E161"/>
  <c r="F160"/>
  <c r="E160"/>
  <c r="AO159"/>
  <c r="AQ159" s="1"/>
  <c r="AL159"/>
  <c r="AJ159"/>
  <c r="AK159" s="1"/>
  <c r="AI159"/>
  <c r="AG159"/>
  <c r="AF159"/>
  <c r="AC159"/>
  <c r="Z159"/>
  <c r="X159"/>
  <c r="W159"/>
  <c r="T159"/>
  <c r="Q159"/>
  <c r="O159"/>
  <c r="K159"/>
  <c r="H159"/>
  <c r="F158"/>
  <c r="E158"/>
  <c r="AH157"/>
  <c r="F157"/>
  <c r="E157"/>
  <c r="F156"/>
  <c r="E156"/>
  <c r="F155"/>
  <c r="E155"/>
  <c r="AO154"/>
  <c r="AL154"/>
  <c r="AJ154"/>
  <c r="AI154"/>
  <c r="AG154"/>
  <c r="AF154"/>
  <c r="AC154"/>
  <c r="Z154"/>
  <c r="W154"/>
  <c r="T154"/>
  <c r="Q154"/>
  <c r="N154"/>
  <c r="K154"/>
  <c r="H154"/>
  <c r="F153"/>
  <c r="E153"/>
  <c r="AK152"/>
  <c r="K152"/>
  <c r="E152" s="1"/>
  <c r="J152"/>
  <c r="F152"/>
  <c r="F151"/>
  <c r="E151"/>
  <c r="F150"/>
  <c r="E150"/>
  <c r="AO149"/>
  <c r="AL149"/>
  <c r="AJ149"/>
  <c r="AI149"/>
  <c r="AG149"/>
  <c r="AF149"/>
  <c r="AC149"/>
  <c r="Z149"/>
  <c r="W149"/>
  <c r="T149"/>
  <c r="Q149"/>
  <c r="N149"/>
  <c r="L149"/>
  <c r="K149"/>
  <c r="I149"/>
  <c r="H149"/>
  <c r="E149"/>
  <c r="F132"/>
  <c r="E132"/>
  <c r="F131"/>
  <c r="E131"/>
  <c r="AQ130"/>
  <c r="AN130"/>
  <c r="AI130"/>
  <c r="AI145" s="1"/>
  <c r="Y130"/>
  <c r="F130"/>
  <c r="F129"/>
  <c r="E129"/>
  <c r="AO128"/>
  <c r="AQ128" s="1"/>
  <c r="AM128"/>
  <c r="AL128"/>
  <c r="AJ128"/>
  <c r="AI128"/>
  <c r="AF128"/>
  <c r="AD128"/>
  <c r="AC128"/>
  <c r="AA128"/>
  <c r="Z128"/>
  <c r="X128"/>
  <c r="W128"/>
  <c r="U128"/>
  <c r="T128"/>
  <c r="R128"/>
  <c r="Q128"/>
  <c r="O128"/>
  <c r="N128"/>
  <c r="L128"/>
  <c r="K128"/>
  <c r="H128"/>
  <c r="F127"/>
  <c r="E127"/>
  <c r="AN126"/>
  <c r="AK126"/>
  <c r="AH126"/>
  <c r="Y126"/>
  <c r="V126"/>
  <c r="S126"/>
  <c r="N126"/>
  <c r="M126"/>
  <c r="J126"/>
  <c r="F126"/>
  <c r="F125"/>
  <c r="E125"/>
  <c r="F124"/>
  <c r="E124"/>
  <c r="AO123"/>
  <c r="AQ123" s="1"/>
  <c r="AM123"/>
  <c r="AL123"/>
  <c r="AJ123"/>
  <c r="AI123"/>
  <c r="AG123"/>
  <c r="AF123"/>
  <c r="AD123"/>
  <c r="AC123"/>
  <c r="AA123"/>
  <c r="Z123"/>
  <c r="X123"/>
  <c r="W123"/>
  <c r="U123"/>
  <c r="T123"/>
  <c r="R123"/>
  <c r="Q123"/>
  <c r="O123"/>
  <c r="N123"/>
  <c r="L123"/>
  <c r="K123"/>
  <c r="I123"/>
  <c r="H123"/>
  <c r="F122"/>
  <c r="E122"/>
  <c r="AQ121"/>
  <c r="AN121"/>
  <c r="AK121"/>
  <c r="AH121"/>
  <c r="AB121"/>
  <c r="Y121"/>
  <c r="V121"/>
  <c r="S121"/>
  <c r="P121"/>
  <c r="M121"/>
  <c r="J121"/>
  <c r="F121"/>
  <c r="G121" s="1"/>
  <c r="E121"/>
  <c r="F120"/>
  <c r="E120"/>
  <c r="F119"/>
  <c r="E119"/>
  <c r="AO118"/>
  <c r="AQ118" s="1"/>
  <c r="AM118"/>
  <c r="AL118"/>
  <c r="AJ118"/>
  <c r="AI118"/>
  <c r="AG118"/>
  <c r="AF118"/>
  <c r="AD118"/>
  <c r="AC118"/>
  <c r="AA118"/>
  <c r="Z118"/>
  <c r="X118"/>
  <c r="W118"/>
  <c r="U118"/>
  <c r="T118"/>
  <c r="R118"/>
  <c r="Q118"/>
  <c r="O118"/>
  <c r="N118"/>
  <c r="L118"/>
  <c r="K118"/>
  <c r="I118"/>
  <c r="H118"/>
  <c r="F117"/>
  <c r="E117"/>
  <c r="AN116"/>
  <c r="AK116"/>
  <c r="AB116"/>
  <c r="Y116"/>
  <c r="V116"/>
  <c r="S116"/>
  <c r="P116"/>
  <c r="M116"/>
  <c r="J116"/>
  <c r="F116"/>
  <c r="E116"/>
  <c r="AO115"/>
  <c r="AO145" s="1"/>
  <c r="AO143" s="1"/>
  <c r="AN115"/>
  <c r="AH115"/>
  <c r="AB115"/>
  <c r="Y115"/>
  <c r="V115"/>
  <c r="S115"/>
  <c r="P115"/>
  <c r="M115"/>
  <c r="J115"/>
  <c r="F115"/>
  <c r="F114"/>
  <c r="E114"/>
  <c r="AO113"/>
  <c r="AQ113" s="1"/>
  <c r="AM113"/>
  <c r="AL113"/>
  <c r="AJ113"/>
  <c r="AI113"/>
  <c r="AG113"/>
  <c r="AD113"/>
  <c r="AC113"/>
  <c r="AA113"/>
  <c r="Z113"/>
  <c r="X113"/>
  <c r="W113"/>
  <c r="U113"/>
  <c r="T113"/>
  <c r="R113"/>
  <c r="Q113"/>
  <c r="O113"/>
  <c r="N113"/>
  <c r="L113"/>
  <c r="K113"/>
  <c r="I113"/>
  <c r="H113"/>
  <c r="F112"/>
  <c r="E112"/>
  <c r="AQ111"/>
  <c r="N111"/>
  <c r="F111"/>
  <c r="E111"/>
  <c r="F110"/>
  <c r="E110"/>
  <c r="F109"/>
  <c r="E109"/>
  <c r="AO108"/>
  <c r="AQ108" s="1"/>
  <c r="AL108"/>
  <c r="AI108"/>
  <c r="AG108"/>
  <c r="AF108"/>
  <c r="AC108"/>
  <c r="Z108"/>
  <c r="X108"/>
  <c r="W108"/>
  <c r="U108"/>
  <c r="T108"/>
  <c r="R108"/>
  <c r="F108" s="1"/>
  <c r="Q108"/>
  <c r="O108"/>
  <c r="N108"/>
  <c r="P108" s="1"/>
  <c r="K108"/>
  <c r="H108"/>
  <c r="F107"/>
  <c r="E107"/>
  <c r="AQ106"/>
  <c r="F106"/>
  <c r="E106"/>
  <c r="F105"/>
  <c r="E105"/>
  <c r="F104"/>
  <c r="E104"/>
  <c r="AQ103"/>
  <c r="AO103"/>
  <c r="AL103"/>
  <c r="AI103"/>
  <c r="AG103"/>
  <c r="AF103"/>
  <c r="AC103"/>
  <c r="Z103"/>
  <c r="X103"/>
  <c r="F103" s="1"/>
  <c r="W103"/>
  <c r="T103"/>
  <c r="Q103"/>
  <c r="N103"/>
  <c r="K103"/>
  <c r="H103"/>
  <c r="F102"/>
  <c r="E102"/>
  <c r="AQ101"/>
  <c r="AN101"/>
  <c r="AB101"/>
  <c r="M101"/>
  <c r="F101"/>
  <c r="E101"/>
  <c r="AN100"/>
  <c r="F100"/>
  <c r="G100" s="1"/>
  <c r="E100"/>
  <c r="F99"/>
  <c r="E99"/>
  <c r="AO98"/>
  <c r="AQ98" s="1"/>
  <c r="AM98"/>
  <c r="AL98"/>
  <c r="AJ98"/>
  <c r="AI98"/>
  <c r="AG98"/>
  <c r="AF98"/>
  <c r="AD98"/>
  <c r="AC98"/>
  <c r="AA98"/>
  <c r="Z98"/>
  <c r="X98"/>
  <c r="W98"/>
  <c r="U98"/>
  <c r="T98"/>
  <c r="R98"/>
  <c r="Q98"/>
  <c r="O98"/>
  <c r="N98"/>
  <c r="L98"/>
  <c r="K98"/>
  <c r="H98"/>
  <c r="F97"/>
  <c r="E97"/>
  <c r="F96"/>
  <c r="E96"/>
  <c r="F95"/>
  <c r="E95"/>
  <c r="F94"/>
  <c r="E94"/>
  <c r="AO93"/>
  <c r="AL93"/>
  <c r="AI93"/>
  <c r="AF93"/>
  <c r="AC93"/>
  <c r="Z93"/>
  <c r="W93"/>
  <c r="T93"/>
  <c r="Q93"/>
  <c r="N93"/>
  <c r="K93"/>
  <c r="E93" s="1"/>
  <c r="H93"/>
  <c r="F93"/>
  <c r="F92"/>
  <c r="E92"/>
  <c r="AQ91"/>
  <c r="AL91"/>
  <c r="AL146" s="1"/>
  <c r="AK91"/>
  <c r="N91"/>
  <c r="N146" s="1"/>
  <c r="H91"/>
  <c r="H146" s="1"/>
  <c r="F91"/>
  <c r="F90"/>
  <c r="E90"/>
  <c r="F89"/>
  <c r="E89"/>
  <c r="AO88"/>
  <c r="AQ88" s="1"/>
  <c r="AM88"/>
  <c r="AJ88"/>
  <c r="AI88"/>
  <c r="AF88"/>
  <c r="AD88"/>
  <c r="AC88"/>
  <c r="Z88"/>
  <c r="X88"/>
  <c r="W88"/>
  <c r="U88"/>
  <c r="T88"/>
  <c r="R88"/>
  <c r="S88" s="1"/>
  <c r="Q88"/>
  <c r="O88"/>
  <c r="N88"/>
  <c r="L88"/>
  <c r="K88"/>
  <c r="I88"/>
  <c r="F88" s="1"/>
  <c r="H88"/>
  <c r="F87"/>
  <c r="E87"/>
  <c r="AQ86"/>
  <c r="AN86"/>
  <c r="M86"/>
  <c r="F86"/>
  <c r="E86"/>
  <c r="F85"/>
  <c r="E85"/>
  <c r="F84"/>
  <c r="E84"/>
  <c r="AO83"/>
  <c r="AQ83" s="1"/>
  <c r="AM83"/>
  <c r="AL83"/>
  <c r="AJ83"/>
  <c r="AI83"/>
  <c r="AF83"/>
  <c r="AC83"/>
  <c r="Z83"/>
  <c r="W83"/>
  <c r="U83"/>
  <c r="T83"/>
  <c r="R83"/>
  <c r="Q83"/>
  <c r="O83"/>
  <c r="N83"/>
  <c r="L83"/>
  <c r="F83" s="1"/>
  <c r="K83"/>
  <c r="H83"/>
  <c r="O81"/>
  <c r="F81" s="1"/>
  <c r="E81"/>
  <c r="AP80"/>
  <c r="AM80"/>
  <c r="AM263" s="1"/>
  <c r="AJ80"/>
  <c r="AG80"/>
  <c r="AG263" s="1"/>
  <c r="AD80"/>
  <c r="AA80"/>
  <c r="AP79"/>
  <c r="AM79"/>
  <c r="AJ79"/>
  <c r="AG79"/>
  <c r="AD79"/>
  <c r="AA79"/>
  <c r="AP78"/>
  <c r="AM78"/>
  <c r="AJ78"/>
  <c r="AG78"/>
  <c r="AD78"/>
  <c r="AA78"/>
  <c r="AP77"/>
  <c r="AP76" s="1"/>
  <c r="AM77"/>
  <c r="AM76" s="1"/>
  <c r="AJ77"/>
  <c r="AG77"/>
  <c r="AD77"/>
  <c r="AA77"/>
  <c r="AA76" s="1"/>
  <c r="AJ76"/>
  <c r="AD76"/>
  <c r="F75"/>
  <c r="E75"/>
  <c r="AO74"/>
  <c r="AO71" s="1"/>
  <c r="AQ71" s="1"/>
  <c r="AN74"/>
  <c r="AI74"/>
  <c r="AK74" s="1"/>
  <c r="AH74"/>
  <c r="W74"/>
  <c r="W71" s="1"/>
  <c r="S74"/>
  <c r="N74"/>
  <c r="F74"/>
  <c r="E74"/>
  <c r="F73"/>
  <c r="E73"/>
  <c r="F72"/>
  <c r="E72"/>
  <c r="AL71"/>
  <c r="AN71" s="1"/>
  <c r="AJ71"/>
  <c r="AI71"/>
  <c r="AG71"/>
  <c r="AF71"/>
  <c r="AD71"/>
  <c r="AC71"/>
  <c r="AA71"/>
  <c r="Z71"/>
  <c r="U71"/>
  <c r="T71"/>
  <c r="R71"/>
  <c r="Q71"/>
  <c r="N71"/>
  <c r="L71"/>
  <c r="K71"/>
  <c r="H71"/>
  <c r="F70"/>
  <c r="E70"/>
  <c r="AQ69"/>
  <c r="AN69"/>
  <c r="AK69"/>
  <c r="Q69"/>
  <c r="P69"/>
  <c r="F69"/>
  <c r="E69"/>
  <c r="AK68"/>
  <c r="AH68"/>
  <c r="Q68"/>
  <c r="E68" s="1"/>
  <c r="F68"/>
  <c r="F67"/>
  <c r="E67"/>
  <c r="AO66"/>
  <c r="AQ66" s="1"/>
  <c r="AM66"/>
  <c r="AL66"/>
  <c r="AJ66"/>
  <c r="AI66"/>
  <c r="AG66"/>
  <c r="AF66"/>
  <c r="AD66"/>
  <c r="AC66"/>
  <c r="AA66"/>
  <c r="Z66"/>
  <c r="X66"/>
  <c r="W66"/>
  <c r="U66"/>
  <c r="T66"/>
  <c r="R66"/>
  <c r="Q66"/>
  <c r="O66"/>
  <c r="N66"/>
  <c r="L66"/>
  <c r="K66"/>
  <c r="H66"/>
  <c r="F65"/>
  <c r="E65"/>
  <c r="F64"/>
  <c r="E64"/>
  <c r="F63"/>
  <c r="E63"/>
  <c r="F62"/>
  <c r="E62"/>
  <c r="AO61"/>
  <c r="AL61"/>
  <c r="AI61"/>
  <c r="AF61"/>
  <c r="AC61"/>
  <c r="Z61"/>
  <c r="W61"/>
  <c r="T61"/>
  <c r="Q61"/>
  <c r="N61"/>
  <c r="K61"/>
  <c r="H61"/>
  <c r="F61"/>
  <c r="F60"/>
  <c r="E60"/>
  <c r="F59"/>
  <c r="E59"/>
  <c r="F58"/>
  <c r="E58"/>
  <c r="F57"/>
  <c r="E57"/>
  <c r="AO56"/>
  <c r="AL56"/>
  <c r="AI56"/>
  <c r="AF56"/>
  <c r="AC56"/>
  <c r="Z56"/>
  <c r="W56"/>
  <c r="T56"/>
  <c r="Q56"/>
  <c r="N56"/>
  <c r="E56" s="1"/>
  <c r="K56"/>
  <c r="H56"/>
  <c r="F56"/>
  <c r="F55"/>
  <c r="E55"/>
  <c r="F54"/>
  <c r="E54"/>
  <c r="F53"/>
  <c r="E53"/>
  <c r="F52"/>
  <c r="E52"/>
  <c r="AO51"/>
  <c r="AL51"/>
  <c r="AI51"/>
  <c r="AF51"/>
  <c r="AC51"/>
  <c r="Z51"/>
  <c r="W51"/>
  <c r="T51"/>
  <c r="Q51"/>
  <c r="N51"/>
  <c r="K51"/>
  <c r="H51"/>
  <c r="E51" s="1"/>
  <c r="F51"/>
  <c r="AO50"/>
  <c r="AO269" s="1"/>
  <c r="AL50"/>
  <c r="AL269" s="1"/>
  <c r="AI50"/>
  <c r="AI269" s="1"/>
  <c r="AF50"/>
  <c r="AF269" s="1"/>
  <c r="AC50"/>
  <c r="AC269" s="1"/>
  <c r="Z50"/>
  <c r="Z269" s="1"/>
  <c r="X50"/>
  <c r="X269" s="1"/>
  <c r="W50"/>
  <c r="W269" s="1"/>
  <c r="U50"/>
  <c r="U269" s="1"/>
  <c r="T50"/>
  <c r="T269" s="1"/>
  <c r="R50"/>
  <c r="R269" s="1"/>
  <c r="Q50"/>
  <c r="Q269" s="1"/>
  <c r="O50"/>
  <c r="O269" s="1"/>
  <c r="N50"/>
  <c r="N269" s="1"/>
  <c r="L50"/>
  <c r="L269" s="1"/>
  <c r="K50"/>
  <c r="K269" s="1"/>
  <c r="I50"/>
  <c r="I269" s="1"/>
  <c r="H50"/>
  <c r="H269" s="1"/>
  <c r="AO49"/>
  <c r="AO268" s="1"/>
  <c r="AL49"/>
  <c r="AL268" s="1"/>
  <c r="AI49"/>
  <c r="AF268"/>
  <c r="AC49"/>
  <c r="AC268" s="1"/>
  <c r="Z49"/>
  <c r="Z268" s="1"/>
  <c r="X49"/>
  <c r="X268" s="1"/>
  <c r="W49"/>
  <c r="W268" s="1"/>
  <c r="U49"/>
  <c r="U268" s="1"/>
  <c r="T49"/>
  <c r="T268" s="1"/>
  <c r="R49"/>
  <c r="R268" s="1"/>
  <c r="Q49"/>
  <c r="Q268" s="1"/>
  <c r="O49"/>
  <c r="O268" s="1"/>
  <c r="N49"/>
  <c r="N46" s="1"/>
  <c r="L49"/>
  <c r="L268" s="1"/>
  <c r="K49"/>
  <c r="K268" s="1"/>
  <c r="I49"/>
  <c r="I268" s="1"/>
  <c r="H49"/>
  <c r="H268" s="1"/>
  <c r="AO48"/>
  <c r="AO267" s="1"/>
  <c r="AL48"/>
  <c r="AL267" s="1"/>
  <c r="AI48"/>
  <c r="AI267" s="1"/>
  <c r="AF48"/>
  <c r="AF267" s="1"/>
  <c r="AC48"/>
  <c r="AC267" s="1"/>
  <c r="Z48"/>
  <c r="Z267" s="1"/>
  <c r="X48"/>
  <c r="X267" s="1"/>
  <c r="W48"/>
  <c r="W267" s="1"/>
  <c r="U48"/>
  <c r="U267" s="1"/>
  <c r="T48"/>
  <c r="T267" s="1"/>
  <c r="R48"/>
  <c r="R267" s="1"/>
  <c r="Q48"/>
  <c r="Q267" s="1"/>
  <c r="O48"/>
  <c r="O267" s="1"/>
  <c r="N48"/>
  <c r="N267" s="1"/>
  <c r="L48"/>
  <c r="L267" s="1"/>
  <c r="K48"/>
  <c r="K267" s="1"/>
  <c r="I48"/>
  <c r="I267" s="1"/>
  <c r="H48"/>
  <c r="H267" s="1"/>
  <c r="F48"/>
  <c r="AO47"/>
  <c r="AO266" s="1"/>
  <c r="AL47"/>
  <c r="AL266" s="1"/>
  <c r="AI47"/>
  <c r="AI266" s="1"/>
  <c r="AF47"/>
  <c r="AF266" s="1"/>
  <c r="AF265" s="1"/>
  <c r="AC47"/>
  <c r="AC266" s="1"/>
  <c r="Z47"/>
  <c r="Z266" s="1"/>
  <c r="X47"/>
  <c r="X266" s="1"/>
  <c r="X265" s="1"/>
  <c r="W47"/>
  <c r="W266" s="1"/>
  <c r="W265" s="1"/>
  <c r="U47"/>
  <c r="U266" s="1"/>
  <c r="T47"/>
  <c r="T266" s="1"/>
  <c r="R47"/>
  <c r="R266" s="1"/>
  <c r="R265" s="1"/>
  <c r="Q47"/>
  <c r="Q266" s="1"/>
  <c r="O47"/>
  <c r="O266" s="1"/>
  <c r="N47"/>
  <c r="N266" s="1"/>
  <c r="L47"/>
  <c r="L266" s="1"/>
  <c r="L265" s="1"/>
  <c r="K47"/>
  <c r="K266" s="1"/>
  <c r="K265" s="1"/>
  <c r="I47"/>
  <c r="I266" s="1"/>
  <c r="H47"/>
  <c r="H266" s="1"/>
  <c r="AI46"/>
  <c r="AF46"/>
  <c r="X46"/>
  <c r="W46"/>
  <c r="R46"/>
  <c r="Q46"/>
  <c r="L46"/>
  <c r="K46"/>
  <c r="F45"/>
  <c r="F44"/>
  <c r="E44"/>
  <c r="N268"/>
  <c r="F43"/>
  <c r="F42"/>
  <c r="E42"/>
  <c r="F41"/>
  <c r="E41"/>
  <c r="AO40"/>
  <c r="AL40"/>
  <c r="AI40"/>
  <c r="AF40"/>
  <c r="AH40" s="1"/>
  <c r="AC40"/>
  <c r="AE40" s="1"/>
  <c r="Z40"/>
  <c r="W40"/>
  <c r="T40"/>
  <c r="Q40"/>
  <c r="O40"/>
  <c r="F40" s="1"/>
  <c r="N40"/>
  <c r="K40"/>
  <c r="H40"/>
  <c r="F39"/>
  <c r="E39"/>
  <c r="F38"/>
  <c r="E38"/>
  <c r="F37"/>
  <c r="E37"/>
  <c r="F36"/>
  <c r="E36"/>
  <c r="AO35"/>
  <c r="AL35"/>
  <c r="AI35"/>
  <c r="AF35"/>
  <c r="AC35"/>
  <c r="Z35"/>
  <c r="W35"/>
  <c r="T35"/>
  <c r="Q35"/>
  <c r="N35"/>
  <c r="K35"/>
  <c r="H35"/>
  <c r="F35"/>
  <c r="AO33"/>
  <c r="AL33"/>
  <c r="AI33"/>
  <c r="AF33"/>
  <c r="AD33"/>
  <c r="AD263" s="1"/>
  <c r="AC33"/>
  <c r="AA33"/>
  <c r="Z33"/>
  <c r="X33"/>
  <c r="W33"/>
  <c r="U33"/>
  <c r="T33"/>
  <c r="R33"/>
  <c r="Q33"/>
  <c r="O33"/>
  <c r="N33"/>
  <c r="L33"/>
  <c r="K33"/>
  <c r="I33"/>
  <c r="H33"/>
  <c r="E33" s="1"/>
  <c r="F33"/>
  <c r="AM32"/>
  <c r="AL32"/>
  <c r="AJ32"/>
  <c r="AJ262" s="1"/>
  <c r="AI32"/>
  <c r="AG32"/>
  <c r="AF32"/>
  <c r="AD32"/>
  <c r="AC32"/>
  <c r="AA32"/>
  <c r="Z32"/>
  <c r="X32"/>
  <c r="W32"/>
  <c r="U32"/>
  <c r="T32"/>
  <c r="R32"/>
  <c r="Q32"/>
  <c r="O32"/>
  <c r="N32"/>
  <c r="L32"/>
  <c r="K32"/>
  <c r="I32"/>
  <c r="H32"/>
  <c r="AM31"/>
  <c r="AM261" s="1"/>
  <c r="AL31"/>
  <c r="AJ31"/>
  <c r="AG31"/>
  <c r="AF31"/>
  <c r="AD31"/>
  <c r="AC31"/>
  <c r="AA31"/>
  <c r="Z31"/>
  <c r="X31"/>
  <c r="W31"/>
  <c r="U31"/>
  <c r="T31"/>
  <c r="T29" s="1"/>
  <c r="R31"/>
  <c r="Q31"/>
  <c r="O31"/>
  <c r="O29" s="1"/>
  <c r="N31"/>
  <c r="N29" s="1"/>
  <c r="L31"/>
  <c r="K31"/>
  <c r="I31"/>
  <c r="I29" s="1"/>
  <c r="H31"/>
  <c r="H29" s="1"/>
  <c r="AO30"/>
  <c r="AM30"/>
  <c r="AL30"/>
  <c r="AJ30"/>
  <c r="AJ260" s="1"/>
  <c r="AI30"/>
  <c r="AG30"/>
  <c r="AF30"/>
  <c r="AD30"/>
  <c r="AD260" s="1"/>
  <c r="AC30"/>
  <c r="AA30"/>
  <c r="Z30"/>
  <c r="X30"/>
  <c r="W30"/>
  <c r="U30"/>
  <c r="T30"/>
  <c r="R30"/>
  <c r="Q30"/>
  <c r="O30"/>
  <c r="N30"/>
  <c r="L30"/>
  <c r="K30"/>
  <c r="I30"/>
  <c r="H30"/>
  <c r="E30" s="1"/>
  <c r="F30"/>
  <c r="AD29"/>
  <c r="W29"/>
  <c r="L29"/>
  <c r="M29" s="1"/>
  <c r="K29"/>
  <c r="F28"/>
  <c r="E28"/>
  <c r="F27"/>
  <c r="E27"/>
  <c r="AQ26"/>
  <c r="AN26"/>
  <c r="AK26"/>
  <c r="AB26"/>
  <c r="S26"/>
  <c r="P26"/>
  <c r="M26"/>
  <c r="F26"/>
  <c r="E26"/>
  <c r="F25"/>
  <c r="E25"/>
  <c r="AO24"/>
  <c r="AQ24" s="1"/>
  <c r="AM24"/>
  <c r="AL24"/>
  <c r="AJ24"/>
  <c r="AI24"/>
  <c r="AG24"/>
  <c r="AF24"/>
  <c r="AD24"/>
  <c r="AC24"/>
  <c r="AA24"/>
  <c r="Z24"/>
  <c r="X24"/>
  <c r="W24"/>
  <c r="U24"/>
  <c r="T24"/>
  <c r="R24"/>
  <c r="Q24"/>
  <c r="O24"/>
  <c r="N24"/>
  <c r="L24"/>
  <c r="K24"/>
  <c r="H24"/>
  <c r="F23"/>
  <c r="E23"/>
  <c r="AQ22"/>
  <c r="AN22"/>
  <c r="AK22"/>
  <c r="AH22"/>
  <c r="AB22"/>
  <c r="Y22"/>
  <c r="V22"/>
  <c r="S22"/>
  <c r="P22"/>
  <c r="M22"/>
  <c r="J22"/>
  <c r="F22"/>
  <c r="E22"/>
  <c r="AO21"/>
  <c r="AO31" s="1"/>
  <c r="AN21"/>
  <c r="AI31"/>
  <c r="AH21"/>
  <c r="AB21"/>
  <c r="Y21"/>
  <c r="V21"/>
  <c r="S21"/>
  <c r="P21"/>
  <c r="M21"/>
  <c r="J21"/>
  <c r="F21"/>
  <c r="E21"/>
  <c r="F20"/>
  <c r="E20"/>
  <c r="AM19"/>
  <c r="AL19"/>
  <c r="AJ19"/>
  <c r="AI19"/>
  <c r="AG19"/>
  <c r="AF19"/>
  <c r="AD19"/>
  <c r="AC19"/>
  <c r="AA19"/>
  <c r="Z19"/>
  <c r="X19"/>
  <c r="W19"/>
  <c r="U19"/>
  <c r="T19"/>
  <c r="R19"/>
  <c r="Q19"/>
  <c r="O19"/>
  <c r="N19"/>
  <c r="L19"/>
  <c r="K19"/>
  <c r="I19"/>
  <c r="H19"/>
  <c r="F18"/>
  <c r="E18"/>
  <c r="F17"/>
  <c r="E17"/>
  <c r="F16"/>
  <c r="E16"/>
  <c r="F15"/>
  <c r="E15"/>
  <c r="AO14"/>
  <c r="AL14"/>
  <c r="AI14"/>
  <c r="AF14"/>
  <c r="AC14"/>
  <c r="Z14"/>
  <c r="W14"/>
  <c r="T14"/>
  <c r="Q14"/>
  <c r="N14"/>
  <c r="K14"/>
  <c r="E14" s="1"/>
  <c r="H14"/>
  <c r="F14"/>
  <c r="F13"/>
  <c r="E13"/>
  <c r="F12"/>
  <c r="E12"/>
  <c r="F11"/>
  <c r="E11"/>
  <c r="F10"/>
  <c r="E10"/>
  <c r="AO9"/>
  <c r="AL9"/>
  <c r="AI9"/>
  <c r="AF9"/>
  <c r="AC9"/>
  <c r="Z9"/>
  <c r="AB9" s="1"/>
  <c r="X9"/>
  <c r="W9"/>
  <c r="T9"/>
  <c r="R9"/>
  <c r="F9" s="1"/>
  <c r="Q9"/>
  <c r="N9"/>
  <c r="K9"/>
  <c r="H9"/>
  <c r="AL143" l="1"/>
  <c r="AN143" s="1"/>
  <c r="AN146"/>
  <c r="AK145"/>
  <c r="E145"/>
  <c r="G145" s="1"/>
  <c r="AI143"/>
  <c r="AK143" s="1"/>
  <c r="G11"/>
  <c r="AO19"/>
  <c r="AQ19" s="1"/>
  <c r="AJ29"/>
  <c r="AA261"/>
  <c r="AL29"/>
  <c r="H46"/>
  <c r="T46"/>
  <c r="Z46"/>
  <c r="AL46"/>
  <c r="T265"/>
  <c r="AL265"/>
  <c r="AK71"/>
  <c r="AE79"/>
  <c r="AJ263"/>
  <c r="P88"/>
  <c r="M113"/>
  <c r="S113"/>
  <c r="E123"/>
  <c r="N159"/>
  <c r="F211"/>
  <c r="F226"/>
  <c r="G226" s="1"/>
  <c r="AF232"/>
  <c r="AD254"/>
  <c r="AG265"/>
  <c r="F284"/>
  <c r="N143"/>
  <c r="P143" s="1"/>
  <c r="P146"/>
  <c r="E47"/>
  <c r="F71"/>
  <c r="P118"/>
  <c r="V118"/>
  <c r="AH118"/>
  <c r="AN118"/>
  <c r="G152"/>
  <c r="F172"/>
  <c r="E185"/>
  <c r="E195"/>
  <c r="G195" s="1"/>
  <c r="P226"/>
  <c r="M239"/>
  <c r="I254"/>
  <c r="AF254"/>
  <c r="AH254" s="1"/>
  <c r="H143"/>
  <c r="J146"/>
  <c r="E146"/>
  <c r="G146" s="1"/>
  <c r="F47"/>
  <c r="P19"/>
  <c r="E48"/>
  <c r="F49"/>
  <c r="F50"/>
  <c r="AE19"/>
  <c r="AM29"/>
  <c r="AN29" s="1"/>
  <c r="AA260"/>
  <c r="AG260"/>
  <c r="AM260"/>
  <c r="Q29"/>
  <c r="AJ261"/>
  <c r="AJ273" s="1"/>
  <c r="AA262"/>
  <c r="AM262"/>
  <c r="AA263"/>
  <c r="AA275" s="1"/>
  <c r="I46"/>
  <c r="F46" s="1"/>
  <c r="O46"/>
  <c r="U46"/>
  <c r="AC46"/>
  <c r="AO46"/>
  <c r="O265"/>
  <c r="U265"/>
  <c r="AC265"/>
  <c r="AE265" s="1"/>
  <c r="AO265"/>
  <c r="AQ265" s="1"/>
  <c r="F267"/>
  <c r="E50"/>
  <c r="P66"/>
  <c r="AH71"/>
  <c r="AG76"/>
  <c r="E83"/>
  <c r="G83" s="1"/>
  <c r="AN83"/>
  <c r="AL88"/>
  <c r="AN88" s="1"/>
  <c r="AN91"/>
  <c r="AN98"/>
  <c r="F113"/>
  <c r="E115"/>
  <c r="P123"/>
  <c r="V123"/>
  <c r="AN123"/>
  <c r="F128"/>
  <c r="AN128"/>
  <c r="F159"/>
  <c r="S169"/>
  <c r="AK169"/>
  <c r="Y181"/>
  <c r="AK181"/>
  <c r="S182"/>
  <c r="AN182"/>
  <c r="E190"/>
  <c r="E233"/>
  <c r="AH235"/>
  <c r="F236"/>
  <c r="AL254"/>
  <c r="F244"/>
  <c r="W254"/>
  <c r="AP265"/>
  <c r="AE290"/>
  <c r="AK254"/>
  <c r="AK257"/>
  <c r="N254"/>
  <c r="P254" s="1"/>
  <c r="AH221"/>
  <c r="F235"/>
  <c r="AK216"/>
  <c r="AI232"/>
  <c r="AG232"/>
  <c r="AH232" s="1"/>
  <c r="AG261"/>
  <c r="AG273" s="1"/>
  <c r="AH169"/>
  <c r="F164"/>
  <c r="G164" s="1"/>
  <c r="AL179"/>
  <c r="AG179"/>
  <c r="AH154"/>
  <c r="F154"/>
  <c r="AH123"/>
  <c r="F118"/>
  <c r="G114"/>
  <c r="E88"/>
  <c r="G88" s="1"/>
  <c r="E46"/>
  <c r="E49"/>
  <c r="AI268"/>
  <c r="E284"/>
  <c r="E71"/>
  <c r="G74"/>
  <c r="E66"/>
  <c r="F66"/>
  <c r="F31"/>
  <c r="AG29"/>
  <c r="AF29"/>
  <c r="AG262"/>
  <c r="AG274" s="1"/>
  <c r="F19"/>
  <c r="E211"/>
  <c r="AE24"/>
  <c r="AC29"/>
  <c r="AE257"/>
  <c r="AE239"/>
  <c r="AE256"/>
  <c r="AE210"/>
  <c r="AE213"/>
  <c r="AE181"/>
  <c r="AE169"/>
  <c r="AE164"/>
  <c r="AE179"/>
  <c r="AE182"/>
  <c r="AE123"/>
  <c r="AE118"/>
  <c r="AE113"/>
  <c r="AE98"/>
  <c r="AE88"/>
  <c r="AE66"/>
  <c r="AE78"/>
  <c r="AD261"/>
  <c r="AE31"/>
  <c r="AD262"/>
  <c r="AE32"/>
  <c r="AA29"/>
  <c r="E61"/>
  <c r="E40"/>
  <c r="G246"/>
  <c r="Y257"/>
  <c r="AC254"/>
  <c r="AE254" s="1"/>
  <c r="T254"/>
  <c r="E226"/>
  <c r="E216"/>
  <c r="G216" s="1"/>
  <c r="G219"/>
  <c r="AN212"/>
  <c r="S205"/>
  <c r="AN205"/>
  <c r="AN210"/>
  <c r="AN213"/>
  <c r="W210"/>
  <c r="AI179"/>
  <c r="AK179" s="1"/>
  <c r="G167"/>
  <c r="X179"/>
  <c r="S128"/>
  <c r="Y128"/>
  <c r="AK113"/>
  <c r="Y113"/>
  <c r="Y88"/>
  <c r="S71"/>
  <c r="X29"/>
  <c r="Y19"/>
  <c r="G111"/>
  <c r="G21"/>
  <c r="M19"/>
  <c r="S19"/>
  <c r="V19"/>
  <c r="AB19"/>
  <c r="AH19"/>
  <c r="AN19"/>
  <c r="G22"/>
  <c r="E24"/>
  <c r="G26"/>
  <c r="Z29"/>
  <c r="S66"/>
  <c r="V66"/>
  <c r="AB66"/>
  <c r="AK66"/>
  <c r="AN66"/>
  <c r="Q78"/>
  <c r="S68"/>
  <c r="T79"/>
  <c r="T262" s="1"/>
  <c r="V69"/>
  <c r="Z79"/>
  <c r="AF79"/>
  <c r="AH79" s="1"/>
  <c r="G86"/>
  <c r="M118"/>
  <c r="S118"/>
  <c r="Y118"/>
  <c r="AK118"/>
  <c r="G120"/>
  <c r="M123"/>
  <c r="Y123"/>
  <c r="V128"/>
  <c r="AB128"/>
  <c r="AK128"/>
  <c r="AB130"/>
  <c r="AK149"/>
  <c r="G157"/>
  <c r="W179"/>
  <c r="AK182"/>
  <c r="G188"/>
  <c r="E200"/>
  <c r="P200"/>
  <c r="P24"/>
  <c r="S24"/>
  <c r="AB24"/>
  <c r="AN24"/>
  <c r="P29"/>
  <c r="P31"/>
  <c r="V31"/>
  <c r="E35"/>
  <c r="P40"/>
  <c r="G68"/>
  <c r="G69"/>
  <c r="Q79"/>
  <c r="W79"/>
  <c r="W262" s="1"/>
  <c r="G71"/>
  <c r="AO79"/>
  <c r="AQ79" s="1"/>
  <c r="F98"/>
  <c r="AB98"/>
  <c r="E103"/>
  <c r="P111"/>
  <c r="P113"/>
  <c r="AH113"/>
  <c r="AN113"/>
  <c r="AQ115"/>
  <c r="K182"/>
  <c r="AH159"/>
  <c r="AH162"/>
  <c r="J164"/>
  <c r="M164"/>
  <c r="P164"/>
  <c r="V164"/>
  <c r="AB164"/>
  <c r="AH164"/>
  <c r="AN164"/>
  <c r="M172"/>
  <c r="J179"/>
  <c r="V179"/>
  <c r="AN179"/>
  <c r="J181"/>
  <c r="M181"/>
  <c r="P181"/>
  <c r="S181"/>
  <c r="V181"/>
  <c r="AH181"/>
  <c r="AN181"/>
  <c r="F200"/>
  <c r="G200" s="1"/>
  <c r="N213"/>
  <c r="P213" s="1"/>
  <c r="AN216"/>
  <c r="AK221"/>
  <c r="G224"/>
  <c r="M226"/>
  <c r="AN226"/>
  <c r="E229"/>
  <c r="G229" s="1"/>
  <c r="P229"/>
  <c r="AK232"/>
  <c r="AN232"/>
  <c r="AK235"/>
  <c r="AN235"/>
  <c r="E236"/>
  <c r="AB239"/>
  <c r="U254"/>
  <c r="P205"/>
  <c r="N212"/>
  <c r="N210" s="1"/>
  <c r="E208"/>
  <c r="G208" s="1"/>
  <c r="P208"/>
  <c r="S208"/>
  <c r="S212"/>
  <c r="V212"/>
  <c r="M232"/>
  <c r="M235"/>
  <c r="AN239"/>
  <c r="AB241"/>
  <c r="K257"/>
  <c r="K254" s="1"/>
  <c r="M254" s="1"/>
  <c r="AN244"/>
  <c r="G247"/>
  <c r="E249"/>
  <c r="Y254"/>
  <c r="Y256"/>
  <c r="E290"/>
  <c r="P290"/>
  <c r="F256"/>
  <c r="F213"/>
  <c r="U210"/>
  <c r="V210" s="1"/>
  <c r="V182"/>
  <c r="V113"/>
  <c r="U29"/>
  <c r="V29" s="1"/>
  <c r="V239"/>
  <c r="G207"/>
  <c r="Y212"/>
  <c r="Y182"/>
  <c r="G172"/>
  <c r="Y179"/>
  <c r="G169"/>
  <c r="Y169"/>
  <c r="G181"/>
  <c r="G171"/>
  <c r="F205"/>
  <c r="R210"/>
  <c r="F210" s="1"/>
  <c r="R179"/>
  <c r="S179" s="1"/>
  <c r="G115"/>
  <c r="G116"/>
  <c r="S98"/>
  <c r="G101"/>
  <c r="F24"/>
  <c r="G24" s="1"/>
  <c r="R29"/>
  <c r="S29" s="1"/>
  <c r="E239"/>
  <c r="P256"/>
  <c r="G241"/>
  <c r="P239"/>
  <c r="G242"/>
  <c r="AH66"/>
  <c r="E9"/>
  <c r="G9" s="1"/>
  <c r="AB29"/>
  <c r="AI29"/>
  <c r="AK29" s="1"/>
  <c r="AQ31"/>
  <c r="AQ145"/>
  <c r="AB79"/>
  <c r="P179"/>
  <c r="AH182"/>
  <c r="E182"/>
  <c r="K179"/>
  <c r="P182"/>
  <c r="AD280"/>
  <c r="AD273"/>
  <c r="AA281"/>
  <c r="AA274"/>
  <c r="AM293"/>
  <c r="AM274"/>
  <c r="AA282"/>
  <c r="AD282"/>
  <c r="AD275"/>
  <c r="I272"/>
  <c r="F266"/>
  <c r="I265"/>
  <c r="AI265"/>
  <c r="F268"/>
  <c r="F269"/>
  <c r="I275"/>
  <c r="AO210"/>
  <c r="AQ210" s="1"/>
  <c r="AQ212"/>
  <c r="J19"/>
  <c r="AQ21"/>
  <c r="J29"/>
  <c r="J31"/>
  <c r="AB31"/>
  <c r="AH31"/>
  <c r="AN31"/>
  <c r="M32"/>
  <c r="S32"/>
  <c r="Y32"/>
  <c r="AK32"/>
  <c r="AO32"/>
  <c r="S69"/>
  <c r="AB69"/>
  <c r="AB71"/>
  <c r="AQ74"/>
  <c r="I77"/>
  <c r="L77"/>
  <c r="O77"/>
  <c r="O260" s="1"/>
  <c r="R77"/>
  <c r="R260" s="1"/>
  <c r="U77"/>
  <c r="X77"/>
  <c r="I78"/>
  <c r="I261" s="1"/>
  <c r="L78"/>
  <c r="O78"/>
  <c r="R78"/>
  <c r="S78" s="1"/>
  <c r="U78"/>
  <c r="X78"/>
  <c r="Z78"/>
  <c r="AB78" s="1"/>
  <c r="AC78"/>
  <c r="AC261" s="1"/>
  <c r="AI78"/>
  <c r="AI261" s="1"/>
  <c r="H79"/>
  <c r="K79"/>
  <c r="N79"/>
  <c r="R79"/>
  <c r="S79" s="1"/>
  <c r="X79"/>
  <c r="X262" s="1"/>
  <c r="AC79"/>
  <c r="AI79"/>
  <c r="H80"/>
  <c r="K80"/>
  <c r="N80"/>
  <c r="Q80"/>
  <c r="T80"/>
  <c r="W80"/>
  <c r="Z80"/>
  <c r="AC80"/>
  <c r="AF80"/>
  <c r="AI80"/>
  <c r="AL80"/>
  <c r="AO80"/>
  <c r="AO263" s="1"/>
  <c r="J88"/>
  <c r="E91"/>
  <c r="G91" s="1"/>
  <c r="J91"/>
  <c r="P91"/>
  <c r="S91"/>
  <c r="Y91"/>
  <c r="E98"/>
  <c r="M98"/>
  <c r="S101"/>
  <c r="E108"/>
  <c r="G108" s="1"/>
  <c r="E113"/>
  <c r="AK115"/>
  <c r="AQ116"/>
  <c r="E118"/>
  <c r="G118" s="1"/>
  <c r="F123"/>
  <c r="J123"/>
  <c r="E126"/>
  <c r="G126" s="1"/>
  <c r="P126"/>
  <c r="AQ126"/>
  <c r="E128"/>
  <c r="G128" s="1"/>
  <c r="E130"/>
  <c r="G130" s="1"/>
  <c r="S130"/>
  <c r="V130"/>
  <c r="AK130"/>
  <c r="AQ146"/>
  <c r="F149"/>
  <c r="G149" s="1"/>
  <c r="J149"/>
  <c r="E154"/>
  <c r="G154" s="1"/>
  <c r="E159"/>
  <c r="G159" s="1"/>
  <c r="E162"/>
  <c r="G162" s="1"/>
  <c r="S164"/>
  <c r="AK164"/>
  <c r="J169"/>
  <c r="J182"/>
  <c r="L182"/>
  <c r="AK205"/>
  <c r="S213"/>
  <c r="V254"/>
  <c r="AN254"/>
  <c r="V256"/>
  <c r="AN256"/>
  <c r="P257"/>
  <c r="AB257"/>
  <c r="AA279"/>
  <c r="AA272"/>
  <c r="AD279"/>
  <c r="AD272"/>
  <c r="AD259"/>
  <c r="AG279"/>
  <c r="AG272"/>
  <c r="AJ279"/>
  <c r="AJ272"/>
  <c r="AJ259"/>
  <c r="AM272"/>
  <c r="AM259"/>
  <c r="AA273"/>
  <c r="AA280"/>
  <c r="AG280"/>
  <c r="AM292"/>
  <c r="AM280" s="1"/>
  <c r="AM273"/>
  <c r="AD281"/>
  <c r="AD274"/>
  <c r="AJ281"/>
  <c r="AJ274"/>
  <c r="E266"/>
  <c r="H265"/>
  <c r="Q265"/>
  <c r="Z265"/>
  <c r="E267"/>
  <c r="E268"/>
  <c r="G268" s="1"/>
  <c r="E269"/>
  <c r="AG282"/>
  <c r="AG275"/>
  <c r="AJ282"/>
  <c r="AJ275"/>
  <c r="AM294"/>
  <c r="AM275"/>
  <c r="AK212"/>
  <c r="Q210"/>
  <c r="S210" s="1"/>
  <c r="Z254"/>
  <c r="AQ257"/>
  <c r="AO254"/>
  <c r="AQ254" s="1"/>
  <c r="AK19"/>
  <c r="AK21"/>
  <c r="M24"/>
  <c r="AK24"/>
  <c r="L260"/>
  <c r="U260"/>
  <c r="X260"/>
  <c r="E31"/>
  <c r="M31"/>
  <c r="O261"/>
  <c r="Q261"/>
  <c r="S31"/>
  <c r="U261"/>
  <c r="Y31"/>
  <c r="AK31"/>
  <c r="F32"/>
  <c r="H262"/>
  <c r="J32"/>
  <c r="P32"/>
  <c r="R262"/>
  <c r="V32"/>
  <c r="Z262"/>
  <c r="AB32"/>
  <c r="AH32"/>
  <c r="AN32"/>
  <c r="H263"/>
  <c r="K263"/>
  <c r="N263"/>
  <c r="Q263"/>
  <c r="T263"/>
  <c r="W263"/>
  <c r="Z263"/>
  <c r="AC263"/>
  <c r="AF263"/>
  <c r="AL263"/>
  <c r="G40"/>
  <c r="E43"/>
  <c r="G43" s="1"/>
  <c r="P43"/>
  <c r="N265"/>
  <c r="AB74"/>
  <c r="H77"/>
  <c r="H260" s="1"/>
  <c r="K77"/>
  <c r="K260" s="1"/>
  <c r="N77"/>
  <c r="N260" s="1"/>
  <c r="Q77"/>
  <c r="T77"/>
  <c r="T260" s="1"/>
  <c r="W77"/>
  <c r="W260" s="1"/>
  <c r="Z77"/>
  <c r="Z260" s="1"/>
  <c r="AC77"/>
  <c r="AC260" s="1"/>
  <c r="AF77"/>
  <c r="AF260" s="1"/>
  <c r="AI77"/>
  <c r="AL77"/>
  <c r="AL260" s="1"/>
  <c r="AO77"/>
  <c r="AO260" s="1"/>
  <c r="H78"/>
  <c r="H261" s="1"/>
  <c r="K78"/>
  <c r="K76" s="1"/>
  <c r="N78"/>
  <c r="N76" s="1"/>
  <c r="T78"/>
  <c r="W78"/>
  <c r="AF78"/>
  <c r="AL78"/>
  <c r="AO78"/>
  <c r="I79"/>
  <c r="L79"/>
  <c r="L262" s="1"/>
  <c r="O79"/>
  <c r="P79" s="1"/>
  <c r="U79"/>
  <c r="AL79"/>
  <c r="AL262" s="1"/>
  <c r="I80"/>
  <c r="L80"/>
  <c r="L263" s="1"/>
  <c r="O80"/>
  <c r="O263" s="1"/>
  <c r="R80"/>
  <c r="R263" s="1"/>
  <c r="U80"/>
  <c r="U263" s="1"/>
  <c r="X80"/>
  <c r="X263" s="1"/>
  <c r="M83"/>
  <c r="AK88"/>
  <c r="J113"/>
  <c r="AB113"/>
  <c r="J118"/>
  <c r="AB118"/>
  <c r="S123"/>
  <c r="AK123"/>
  <c r="F185"/>
  <c r="P185"/>
  <c r="E203"/>
  <c r="G203" s="1"/>
  <c r="P203"/>
  <c r="AQ203"/>
  <c r="E205"/>
  <c r="M205"/>
  <c r="V205"/>
  <c r="Y210"/>
  <c r="P212"/>
  <c r="V213"/>
  <c r="AB254"/>
  <c r="AB256"/>
  <c r="V257"/>
  <c r="AN257"/>
  <c r="AQ207"/>
  <c r="AK208"/>
  <c r="M210"/>
  <c r="E212"/>
  <c r="G212" s="1"/>
  <c r="M212"/>
  <c r="AI213"/>
  <c r="N235"/>
  <c r="F239"/>
  <c r="AM291"/>
  <c r="AN241"/>
  <c r="AN242"/>
  <c r="AQ242"/>
  <c r="E244"/>
  <c r="G244" s="1"/>
  <c r="AQ267"/>
  <c r="E221"/>
  <c r="G221" s="1"/>
  <c r="E256"/>
  <c r="AQ268"/>
  <c r="AP273"/>
  <c r="J143" l="1"/>
  <c r="E143"/>
  <c r="G143" s="1"/>
  <c r="AA259"/>
  <c r="F29"/>
  <c r="G185"/>
  <c r="V79"/>
  <c r="AO76"/>
  <c r="AQ76" s="1"/>
  <c r="G123"/>
  <c r="G113"/>
  <c r="AJ280"/>
  <c r="E19"/>
  <c r="G19" s="1"/>
  <c r="G256"/>
  <c r="G205"/>
  <c r="F254"/>
  <c r="F232"/>
  <c r="E257"/>
  <c r="G257" s="1"/>
  <c r="K262"/>
  <c r="K274" s="1"/>
  <c r="M257"/>
  <c r="G239"/>
  <c r="E179"/>
  <c r="AH179"/>
  <c r="AG259"/>
  <c r="AG281"/>
  <c r="G98"/>
  <c r="AF262"/>
  <c r="AF281" s="1"/>
  <c r="G66"/>
  <c r="AH29"/>
  <c r="G31"/>
  <c r="E254"/>
  <c r="G254" s="1"/>
  <c r="AE29"/>
  <c r="AE261"/>
  <c r="W76"/>
  <c r="Y29"/>
  <c r="F294"/>
  <c r="AM279"/>
  <c r="AM281"/>
  <c r="X282"/>
  <c r="X275"/>
  <c r="R282"/>
  <c r="R275"/>
  <c r="L282"/>
  <c r="L275"/>
  <c r="F263"/>
  <c r="AL281"/>
  <c r="AL274"/>
  <c r="AN274" s="1"/>
  <c r="AN262"/>
  <c r="H280"/>
  <c r="H273"/>
  <c r="AL272"/>
  <c r="AL279"/>
  <c r="AF272"/>
  <c r="AF279"/>
  <c r="Z272"/>
  <c r="Z279"/>
  <c r="T272"/>
  <c r="T279"/>
  <c r="N272"/>
  <c r="N279"/>
  <c r="H272"/>
  <c r="H279"/>
  <c r="H259"/>
  <c r="AO282"/>
  <c r="AO275"/>
  <c r="U282"/>
  <c r="U275"/>
  <c r="O282"/>
  <c r="O275"/>
  <c r="L281"/>
  <c r="L274"/>
  <c r="AO279"/>
  <c r="AO272"/>
  <c r="AC279"/>
  <c r="AC272"/>
  <c r="W279"/>
  <c r="W272"/>
  <c r="K279"/>
  <c r="K272"/>
  <c r="AI273"/>
  <c r="AK273" s="1"/>
  <c r="AI280"/>
  <c r="AK261"/>
  <c r="E235"/>
  <c r="G235" s="1"/>
  <c r="N232"/>
  <c r="AL275"/>
  <c r="AL282"/>
  <c r="AC282"/>
  <c r="AC275"/>
  <c r="W282"/>
  <c r="W275"/>
  <c r="Q282"/>
  <c r="Q275"/>
  <c r="K282"/>
  <c r="K275"/>
  <c r="X281"/>
  <c r="X274"/>
  <c r="Y262"/>
  <c r="Y281" s="1"/>
  <c r="T281"/>
  <c r="T274"/>
  <c r="H281"/>
  <c r="H274"/>
  <c r="AC273"/>
  <c r="AE273" s="1"/>
  <c r="AC280"/>
  <c r="O273"/>
  <c r="O280"/>
  <c r="U279"/>
  <c r="U272"/>
  <c r="O279"/>
  <c r="O272"/>
  <c r="AA278"/>
  <c r="E79"/>
  <c r="X76"/>
  <c r="AO262"/>
  <c r="AQ32"/>
  <c r="E32"/>
  <c r="G32" s="1"/>
  <c r="W281"/>
  <c r="W274"/>
  <c r="E213"/>
  <c r="G213" s="1"/>
  <c r="P235"/>
  <c r="F80"/>
  <c r="AF76"/>
  <c r="AH76" s="1"/>
  <c r="T76"/>
  <c r="W261"/>
  <c r="K261"/>
  <c r="AM282"/>
  <c r="AJ271"/>
  <c r="AD271"/>
  <c r="AC76"/>
  <c r="AE76" s="1"/>
  <c r="R76"/>
  <c r="L76"/>
  <c r="AI262"/>
  <c r="AC262"/>
  <c r="O262"/>
  <c r="O259" s="1"/>
  <c r="X261"/>
  <c r="R261"/>
  <c r="L261"/>
  <c r="AN79"/>
  <c r="AQ143"/>
  <c r="Q76"/>
  <c r="AO29"/>
  <c r="AQ29" s="1"/>
  <c r="F291"/>
  <c r="AM290"/>
  <c r="F79"/>
  <c r="E78"/>
  <c r="H76"/>
  <c r="E77"/>
  <c r="AF275"/>
  <c r="AF282"/>
  <c r="Z275"/>
  <c r="Z282"/>
  <c r="T275"/>
  <c r="T282"/>
  <c r="N275"/>
  <c r="N282"/>
  <c r="H275"/>
  <c r="H282"/>
  <c r="Z281"/>
  <c r="Z274"/>
  <c r="AB274" s="1"/>
  <c r="R281"/>
  <c r="R274"/>
  <c r="U273"/>
  <c r="U280"/>
  <c r="Q273"/>
  <c r="Q280"/>
  <c r="I273"/>
  <c r="I280"/>
  <c r="J261"/>
  <c r="J280" s="1"/>
  <c r="X279"/>
  <c r="X272"/>
  <c r="X259"/>
  <c r="R279"/>
  <c r="R272"/>
  <c r="R259"/>
  <c r="L279"/>
  <c r="L272"/>
  <c r="L259"/>
  <c r="F260"/>
  <c r="E265"/>
  <c r="AN292"/>
  <c r="F292"/>
  <c r="G292" s="1"/>
  <c r="AJ278"/>
  <c r="AD278"/>
  <c r="M182"/>
  <c r="L179"/>
  <c r="F182"/>
  <c r="G182" s="1"/>
  <c r="E80"/>
  <c r="AI76"/>
  <c r="Z76"/>
  <c r="I76"/>
  <c r="F78"/>
  <c r="F265"/>
  <c r="AN293"/>
  <c r="F293"/>
  <c r="G293" s="1"/>
  <c r="AK213"/>
  <c r="AL76"/>
  <c r="AN76" s="1"/>
  <c r="N262"/>
  <c r="AI210"/>
  <c r="E210" s="1"/>
  <c r="G210" s="1"/>
  <c r="AM271"/>
  <c r="AG271"/>
  <c r="AA271"/>
  <c r="P210"/>
  <c r="U76"/>
  <c r="V76" s="1"/>
  <c r="O76"/>
  <c r="P76" s="1"/>
  <c r="F77"/>
  <c r="AI263"/>
  <c r="U262"/>
  <c r="Q262"/>
  <c r="I262"/>
  <c r="AL261"/>
  <c r="AL259" s="1"/>
  <c r="AF261"/>
  <c r="Z261"/>
  <c r="Z259" s="1"/>
  <c r="T261"/>
  <c r="N261"/>
  <c r="P261" s="1"/>
  <c r="P280" s="1"/>
  <c r="AI260"/>
  <c r="Q260"/>
  <c r="F275"/>
  <c r="AB262"/>
  <c r="AB281" s="1"/>
  <c r="AK79"/>
  <c r="AK78"/>
  <c r="AH78"/>
  <c r="AO261"/>
  <c r="M262" l="1"/>
  <c r="M281" s="1"/>
  <c r="G78"/>
  <c r="K281"/>
  <c r="K278" s="1"/>
  <c r="F272"/>
  <c r="G265"/>
  <c r="AH262"/>
  <c r="AH281" s="1"/>
  <c r="AG278"/>
  <c r="AE262"/>
  <c r="AF274"/>
  <c r="AH274" s="1"/>
  <c r="G79"/>
  <c r="AO259"/>
  <c r="AQ259" s="1"/>
  <c r="E260"/>
  <c r="G260" s="1"/>
  <c r="F261"/>
  <c r="E262"/>
  <c r="AM278"/>
  <c r="AI279"/>
  <c r="AI272"/>
  <c r="AI259"/>
  <c r="T280"/>
  <c r="T278" s="1"/>
  <c r="T273"/>
  <c r="AF280"/>
  <c r="AF273"/>
  <c r="AH273" s="1"/>
  <c r="AH261"/>
  <c r="I281"/>
  <c r="I278" s="1"/>
  <c r="I274"/>
  <c r="J262"/>
  <c r="J281" s="1"/>
  <c r="F262"/>
  <c r="U281"/>
  <c r="U274"/>
  <c r="V274" s="1"/>
  <c r="V262"/>
  <c r="V281" s="1"/>
  <c r="AI282"/>
  <c r="E282" s="1"/>
  <c r="AI275"/>
  <c r="F76"/>
  <c r="AK76"/>
  <c r="F179"/>
  <c r="G179" s="1"/>
  <c r="M179"/>
  <c r="F279"/>
  <c r="J273"/>
  <c r="E275"/>
  <c r="E76"/>
  <c r="AN290"/>
  <c r="F290"/>
  <c r="G290" s="1"/>
  <c r="L280"/>
  <c r="L273"/>
  <c r="M261"/>
  <c r="M280" s="1"/>
  <c r="X280"/>
  <c r="X273"/>
  <c r="Y261"/>
  <c r="AC281"/>
  <c r="AC274"/>
  <c r="AE274" s="1"/>
  <c r="AE281"/>
  <c r="W273"/>
  <c r="W280"/>
  <c r="H271"/>
  <c r="V261"/>
  <c r="V273"/>
  <c r="U271"/>
  <c r="Y274"/>
  <c r="W259"/>
  <c r="M274"/>
  <c r="T259"/>
  <c r="T271"/>
  <c r="F282"/>
  <c r="AO273"/>
  <c r="AQ273" s="1"/>
  <c r="AO280"/>
  <c r="AQ261"/>
  <c r="AE280"/>
  <c r="Q279"/>
  <c r="Q272"/>
  <c r="Q259"/>
  <c r="N280"/>
  <c r="N273"/>
  <c r="P273" s="1"/>
  <c r="Z280"/>
  <c r="Z273"/>
  <c r="Z271" s="1"/>
  <c r="AB261"/>
  <c r="AL280"/>
  <c r="AL273"/>
  <c r="AN273" s="1"/>
  <c r="AN261"/>
  <c r="Q281"/>
  <c r="Q274"/>
  <c r="AK210"/>
  <c r="N281"/>
  <c r="N274"/>
  <c r="AB76"/>
  <c r="R280"/>
  <c r="R273"/>
  <c r="S273" s="1"/>
  <c r="S261"/>
  <c r="O281"/>
  <c r="O274"/>
  <c r="P262"/>
  <c r="P281" s="1"/>
  <c r="AI281"/>
  <c r="AI274"/>
  <c r="AK262"/>
  <c r="AK281" s="1"/>
  <c r="K273"/>
  <c r="K271" s="1"/>
  <c r="K280"/>
  <c r="AO281"/>
  <c r="AO274"/>
  <c r="AQ274" s="1"/>
  <c r="AQ262"/>
  <c r="U278"/>
  <c r="P232"/>
  <c r="E232"/>
  <c r="G232" s="1"/>
  <c r="AK280"/>
  <c r="H278"/>
  <c r="X271"/>
  <c r="I259"/>
  <c r="S262"/>
  <c r="S281" s="1"/>
  <c r="E263"/>
  <c r="S76"/>
  <c r="E29"/>
  <c r="G29" s="1"/>
  <c r="O271"/>
  <c r="U259"/>
  <c r="K259"/>
  <c r="M259" s="1"/>
  <c r="AC259"/>
  <c r="N259"/>
  <c r="P259" s="1"/>
  <c r="AF259"/>
  <c r="E261"/>
  <c r="AN281"/>
  <c r="E279" l="1"/>
  <c r="AC278"/>
  <c r="AE278" s="1"/>
  <c r="E274"/>
  <c r="P274"/>
  <c r="AK259"/>
  <c r="Z278"/>
  <c r="AB278" s="1"/>
  <c r="G262"/>
  <c r="AL278"/>
  <c r="AN278" s="1"/>
  <c r="AF278"/>
  <c r="AH278" s="1"/>
  <c r="AE259"/>
  <c r="G261"/>
  <c r="W271"/>
  <c r="AF271"/>
  <c r="AH271" s="1"/>
  <c r="N271"/>
  <c r="AO271"/>
  <c r="AQ271" s="1"/>
  <c r="L271"/>
  <c r="E273"/>
  <c r="AC271"/>
  <c r="W278"/>
  <c r="AB271"/>
  <c r="J259"/>
  <c r="F259"/>
  <c r="AQ281"/>
  <c r="S280"/>
  <c r="S259"/>
  <c r="AN280"/>
  <c r="AN259"/>
  <c r="Q278"/>
  <c r="AQ280"/>
  <c r="V280"/>
  <c r="V259"/>
  <c r="J274"/>
  <c r="F274"/>
  <c r="I271"/>
  <c r="AH280"/>
  <c r="AH259"/>
  <c r="AI278"/>
  <c r="M271"/>
  <c r="E259"/>
  <c r="F280"/>
  <c r="R278"/>
  <c r="S274"/>
  <c r="R271"/>
  <c r="E280"/>
  <c r="AO278"/>
  <c r="Y273"/>
  <c r="F273"/>
  <c r="X278"/>
  <c r="L278"/>
  <c r="V278"/>
  <c r="AK274"/>
  <c r="J278"/>
  <c r="AB280"/>
  <c r="AB259"/>
  <c r="AB273"/>
  <c r="Q271"/>
  <c r="Y280"/>
  <c r="Y259"/>
  <c r="F281"/>
  <c r="AI271"/>
  <c r="AL271"/>
  <c r="AN271" s="1"/>
  <c r="V271"/>
  <c r="N278"/>
  <c r="E272"/>
  <c r="E281"/>
  <c r="O278"/>
  <c r="M273"/>
  <c r="G76"/>
  <c r="G274" l="1"/>
  <c r="P271"/>
  <c r="G273"/>
  <c r="AE271"/>
  <c r="Y271"/>
  <c r="M278"/>
  <c r="G281"/>
  <c r="E278"/>
  <c r="G280"/>
  <c r="P278"/>
  <c r="AK271"/>
  <c r="Y278"/>
  <c r="AQ278"/>
  <c r="S278"/>
  <c r="AK278"/>
  <c r="J271"/>
  <c r="F271"/>
  <c r="F278"/>
  <c r="S271"/>
  <c r="E271"/>
  <c r="G259"/>
  <c r="G278" l="1"/>
  <c r="G271"/>
</calcChain>
</file>

<file path=xl/sharedStrings.xml><?xml version="1.0" encoding="utf-8"?>
<sst xmlns="http://schemas.openxmlformats.org/spreadsheetml/2006/main" count="555" uniqueCount="208">
  <si>
    <t>Наименование программных мероприятий</t>
  </si>
  <si>
    <t>Источники финансирования</t>
  </si>
  <si>
    <t>1.1.</t>
  </si>
  <si>
    <t>Подпрограмма I. Дошкольное образование</t>
  </si>
  <si>
    <t>Всего</t>
  </si>
  <si>
    <t>Бюджет Ханты-Мансийского автономного округа-Югры</t>
  </si>
  <si>
    <t>Бюджет городского округа Урай</t>
  </si>
  <si>
    <t>Управление образования и молодежной политики администрации города Урай</t>
  </si>
  <si>
    <t>ИТОГО по подпрограмме I:</t>
  </si>
  <si>
    <t>Подпрограмма II. Развитие современной инфраструктуры</t>
  </si>
  <si>
    <t>ИТОГО по подпрограмме II:</t>
  </si>
  <si>
    <t>Подпрограмма III. Общее и дополнительное образование</t>
  </si>
  <si>
    <t>ИТОГО по подпрограмме III:</t>
  </si>
  <si>
    <t>Подпрограмма IV. Развитие муниципальной методической службы</t>
  </si>
  <si>
    <t>ИТОГО по подпрограмме IV:</t>
  </si>
  <si>
    <t>Подпрограмма V. "Здоровьесбережение и здоровьесозидание"</t>
  </si>
  <si>
    <t>ИТОГО по подпрограмме V:</t>
  </si>
  <si>
    <t>Подпрограмма VI. Молодежная политика</t>
  </si>
  <si>
    <t>ИТОГО по подпрограмме VI:</t>
  </si>
  <si>
    <t>Подпрограмма VII. Каникулярный отдых</t>
  </si>
  <si>
    <t>ИТОГО по подпрограмме VII:</t>
  </si>
  <si>
    <t>ИТОГО по программе:</t>
  </si>
  <si>
    <t>1.2.</t>
  </si>
  <si>
    <t>Федеральный бюджет</t>
  </si>
  <si>
    <t>Внебюджетные средства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</si>
  <si>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</si>
  <si>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</si>
  <si>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</si>
  <si>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</si>
  <si>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</si>
  <si>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</si>
  <si>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</si>
  <si>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</si>
  <si>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</si>
  <si>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</si>
  <si>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</si>
  <si>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</si>
  <si>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Исполнитель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</si>
  <si>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</si>
  <si>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</si>
  <si>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</si>
  <si>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Объем финансирования всего на год, тыс.рублей</t>
  </si>
  <si>
    <t>Согласовано:</t>
  </si>
  <si>
    <t xml:space="preserve">Комитет по финансам администрации грода Урай </t>
  </si>
  <si>
    <t>Исполнитель Невская Ирина Евгеньевна</t>
  </si>
  <si>
    <t>Исполнение, %</t>
  </si>
  <si>
    <t>План</t>
  </si>
  <si>
    <t>Факт</t>
  </si>
  <si>
    <t>М.Н. Бусова</t>
  </si>
  <si>
    <t>Местный бюджет</t>
  </si>
  <si>
    <t>1.</t>
  </si>
  <si>
    <t>2.1.</t>
  </si>
  <si>
    <t>2.</t>
  </si>
  <si>
    <t>2.2.</t>
  </si>
  <si>
    <t>2.3.</t>
  </si>
  <si>
    <t>2.5.</t>
  </si>
  <si>
    <t>2.6.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</si>
  <si>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</si>
  <si>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</si>
  <si>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</si>
  <si>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</si>
  <si>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</si>
  <si>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</si>
  <si>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</si>
  <si>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</si>
  <si>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</si>
  <si>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</si>
  <si>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</si>
  <si>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</si>
  <si>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</si>
  <si>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</si>
  <si>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</si>
  <si>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</si>
  <si>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</si>
  <si>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</si>
  <si>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</si>
  <si>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</si>
  <si>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</si>
  <si>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</si>
  <si>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</si>
  <si>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</si>
  <si>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6.</t>
  </si>
  <si>
    <t>6.1.</t>
  </si>
  <si>
    <t>6.3.</t>
  </si>
  <si>
    <t>7.</t>
  </si>
  <si>
    <t>7.1.</t>
  </si>
  <si>
    <t>7.2.</t>
  </si>
  <si>
    <t>7.3.</t>
  </si>
  <si>
    <t>Поддержка инновационной деятельности дошкольных образовательных организаций (проведение грантовых конкурсов и  др.) (1, 2, 3, 4, 5)</t>
  </si>
  <si>
    <t>Организация мероприятий, направленных на развитие воспитанников дошкольных образовательных организаций (ежегодный городской шахматный турнир «Алая ладья», соревнования «Губернаторские состязания», соревнования «Мы – спортивная семья» и др.) (1, 2, 3, 4, 5)</t>
  </si>
  <si>
    <t>Материальная поддержка воспитания и обучения детей, посещающих дошкольные образовательные организации (1, 2, 3, 4, 5)</t>
  </si>
  <si>
    <t>Создание безопасных условий доставки обучающихся на образовательные, культурно-массовые и спортивные мероприятия, к местам отдыха и обратно (обеспечение автобусным транспортом)  (6)</t>
  </si>
  <si>
    <t>Строительство, проведение капитального ремонта и реконструкции объектов образования (6, 7, 8, 9, 10,11)</t>
  </si>
  <si>
    <t>Обеспечение безопасных и комфортных условий обучения, в том числе устранение предписаний надзорных органов (6, 7, 8, 9, 10, 11)</t>
  </si>
  <si>
    <t>Информатизация системы образования  (8)</t>
  </si>
  <si>
    <t>Поддержка инновационной деятельности  образовательных организаций (проведение грантовых конкурсов, поддержка ресурсных центров и др.) (14, 18)</t>
  </si>
  <si>
    <t>Организация и проведение мероприятий по развитию талантливых  детей и молодежи (участие в муниципальных, региональных, федеральных  учебно-исследовательских и творческих мероприятиях: олимпиады, сессии, форумы, чемпионаты, конкурсы, слеты, профильные смены; награждение  с участием главы города Урай, Губернатора Ханты-Мансийского автономного округа - Югры, награждение именной премией общества с ограниченной ответственностью «ЛУКОЙЛ – Западная Сибирь»  учащихся общеобразовательных организаций за отличную учебу и примерное поведение, достижение значительных результатов в олимпиадах, смотрах и конкурсах и др.) (13, 16, 18)</t>
  </si>
  <si>
    <t>Организация и проведение городского бала выпускников и участие в бале выпускников регионального уровня (16, 18)</t>
  </si>
  <si>
    <t>Реализация мероприятий, направленных на гражданско-патриотическое воспитание  молодежи (16, 17, 18)</t>
  </si>
  <si>
    <t>Мероприятия по профилактике правонарушений правил дорожного движения (проведение  и участие в мероприятиях городского, окружного, федерального уровней), приобретение учебного оборудования по правилам дорожного движения (16, 18)</t>
  </si>
  <si>
    <t>Мероприятия, способствующие развитию детских органов самоуправления (проведение  и участие в мероприятиях городского, окружного, федерального уровней) (16, 18, 19)</t>
  </si>
  <si>
    <t>Персонифицированное финансирование дополнительного образования детей (12, 17)</t>
  </si>
  <si>
    <t>Расходы на обеспечение проведения государственной итоговой аттестации (15, 18)</t>
  </si>
  <si>
    <t>Создание условий для повышения компетенций педагогов в контексте национальной системы учительского роста (20)</t>
  </si>
  <si>
    <t>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 (20, 21)</t>
  </si>
  <si>
    <t>Конкурсы в сфере образования. Организация и проведение профессиональных праздников  (20, 21)</t>
  </si>
  <si>
    <t>Расходы на обеспечение деятельности (оказание услуг) муниципального автономного учреждения города Урай «Городской методический центр» (20, 21, 22)</t>
  </si>
  <si>
    <t>Расходы на обеспечение деятельности Управления образования и молодежной политики администрации города Урай  (20, 21)</t>
  </si>
  <si>
    <t>Организация и участие в мероприятиях различного уровня, направленных на повышение квалификации специалистов  в сфере государственной молодежной политики (семинары, курсы повышения квалификации и др.) (20, 21)</t>
  </si>
  <si>
    <t>Мероприятия, направленные на формирование здорового образа жизни (проведение  и участие в мероприятиях городского, окружного, федерального уровней состязания, спартакиады и др.) (23)</t>
  </si>
  <si>
    <t>Мероприятия, направленные на повышение культуры безопасности, на снижение уровня детского травматизма и смертности несовершеннолетних от управляемых причин (проведение  и участие в мероприятиях городского, окружного, федерального уровней) (23)</t>
  </si>
  <si>
    <t>Обеспечение деятельности медицинского  блока образовательных организаций   (23)</t>
  </si>
  <si>
    <t>Обеспечение информирования обучающихся о неблагоприятных погодных условиях  (23)</t>
  </si>
  <si>
    <t>Организация питания обучающихся в муниципальных общеобразовательных организациях (23)</t>
  </si>
  <si>
    <t>Организация и проведение городских мероприятий, направленных на поддержку инициативы, развитие творческого, предпринимательского потенциала, повышение навыков и компетенций среди молодежи и общественных молодежных организаций (фестивали, форумы, конференции, конкурсы, встречи и др.). Награждение молодежи (выплата премий, стипендий, вознаграждений) (24)</t>
  </si>
  <si>
    <t>6.2.</t>
  </si>
  <si>
    <t>Организация участия детей и молодежи в возрасте от 14 до 30 лет во всероссийских, окружных молодежных мероприятиях (24)</t>
  </si>
  <si>
    <t>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 (конференции, форумы, сборы, походы, соревнования и др.) (24, 25, 26)</t>
  </si>
  <si>
    <t>Организация работы лагерей с дневным пребыванием детей и досуговых площадок (27)</t>
  </si>
  <si>
    <t>Организация выездного отдыха детей (27)</t>
  </si>
  <si>
    <t>Организация сплавов, походов (27)</t>
  </si>
  <si>
    <r>
      <t xml:space="preserve">Расходы на обеспечение деятельности (оказание услуг) муниципальных организаций  </t>
    </r>
    <r>
      <rPr>
        <b/>
        <sz val="9"/>
        <rFont val="Times New Roman"/>
        <family val="1"/>
        <charset val="204"/>
      </rPr>
      <t>дошкольного</t>
    </r>
    <r>
      <rPr>
        <sz val="9"/>
        <rFont val="Times New Roman"/>
        <family val="1"/>
        <charset val="204"/>
      </rPr>
      <t xml:space="preserve"> образования (1, 2, 3,.4, 5)</t>
    </r>
  </si>
  <si>
    <r>
      <t>Расходы на обеспечение деятельности (оказание услуг) муниципальных о</t>
    </r>
    <r>
      <rPr>
        <b/>
        <sz val="9"/>
        <rFont val="Times New Roman"/>
        <family val="1"/>
        <charset val="204"/>
      </rPr>
      <t>бщеобразовательных</t>
    </r>
    <r>
      <rPr>
        <sz val="9"/>
        <rFont val="Times New Roman"/>
        <family val="1"/>
        <charset val="204"/>
      </rPr>
      <t xml:space="preserve"> организаций (13, 18)</t>
    </r>
  </si>
  <si>
    <r>
      <t xml:space="preserve">Расходы на обеспечение деятельности (оказание услуг) муниципальных организаций  </t>
    </r>
    <r>
      <rPr>
        <b/>
        <sz val="9"/>
        <rFont val="Times New Roman"/>
        <family val="1"/>
        <charset val="204"/>
      </rPr>
      <t>дополнительного</t>
    </r>
    <r>
      <rPr>
        <sz val="9"/>
        <rFont val="Times New Roman"/>
        <family val="1"/>
        <charset val="204"/>
      </rPr>
      <t xml:space="preserve">  образования (12, 17)</t>
    </r>
  </si>
  <si>
    <t xml:space="preserve">№ </t>
  </si>
  <si>
    <t>Инвестиции в объекты муниципальной собственности</t>
  </si>
  <si>
    <t>Прочие расходы:</t>
  </si>
  <si>
    <t xml:space="preserve">В том числе: </t>
  </si>
  <si>
    <t xml:space="preserve">Соисполнитель 1
Муниципальное казенное учреждение «Управление капитального строительства города Урай»
</t>
  </si>
  <si>
    <t xml:space="preserve">Ответственный исполнитель
Управление образования и молодежной политики администрации города Урай
</t>
  </si>
  <si>
    <t>Муниципальное казенное учреждение «Управление капитального строительства города Урай»</t>
  </si>
  <si>
    <t>Управление образования и молодежной политики администрации города Урай; органы администрации города Урай: сводно-аналитический отдел администрации города Урай</t>
  </si>
  <si>
    <t>Управление образования и молодежной политики администрации города Урай; органы администрации города Урай: управление по культуре и социальным вопросам администрации города Урай, управление по физической культуре, спорту и туризму администрации города Урай</t>
  </si>
  <si>
    <t>Соисполнитель 2
Органы администрации города Урай (управление по культуре и социальным вопросам администрации города Урай, управление по физической культуре, спорту и туризму администрации города Урай, сводно-аналитический отдел администрации города Урай)</t>
  </si>
  <si>
    <t>И.В. Хусаинова</t>
  </si>
  <si>
    <t>тел.2-31-86 (822)</t>
  </si>
  <si>
    <t>Начальник УОиМП</t>
  </si>
  <si>
    <t>Остатки прошлых лет</t>
  </si>
  <si>
    <t>Финансирование по фактически начисленной компенсации части родительской платы</t>
  </si>
  <si>
    <t>Организация работы медицинского класса на базе МБОУ СОШ №4</t>
  </si>
  <si>
    <t>Обеспечение персонифицированного финансирования дополнительного образования детей</t>
  </si>
  <si>
    <t>Приобретение кубков для проведения городской спартакиады школьников "Старты надежд"</t>
  </si>
  <si>
    <t>Предоставление метеоинформации (трансляция объявлений)</t>
  </si>
  <si>
    <t>Оплата услуг модератора</t>
  </si>
  <si>
    <t>Осуществление деятельности муниципального ресурсного Центра развития и поддержки добровольчества (волонтерства) города Урай. Приобретение экипировки для волонтеров</t>
  </si>
  <si>
    <t>Экономия по фактически сложившимся расходам на оплату труда специалистов</t>
  </si>
  <si>
    <t>Проведение тестирования руководителей МБДОУ "Детский сад №21" и МБОУ СОШ №4</t>
  </si>
  <si>
    <t>2.3.1.</t>
  </si>
  <si>
    <t>2.3.2.</t>
  </si>
  <si>
    <t>2.3.3.</t>
  </si>
  <si>
    <t>Реализация основного мероприятия регионального проекта «Современная школа» (6, 7, 8, 9), в том числе:</t>
  </si>
  <si>
    <t>Приобретение, создание, реконструкция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 («Средняя школа в мкр. 1А (Общеобразовательная организация с универсальной безбарьерной средой))») (6, 7, 8, 9)</t>
  </si>
  <si>
    <t>Приобретение, создание, реконструкция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 («Школа в микрорайоне Земля Санникова (Общеобразовательная организация с универсальной безбарьерной средой)») (6, 7, 8, 9)</t>
  </si>
  <si>
    <t>Проведение ремонтных работ муниципальных образовательных организаций (6, 8)</t>
  </si>
  <si>
    <t>3.11.</t>
  </si>
  <si>
    <t>3.12.</t>
  </si>
  <si>
    <t>Реализация основного мероприятия регионального проекта «Современная школа». Расходы на обеспечение деятельности Центра образования цифрового и гуманитарного профилей "Точка роста" (12, 17)</t>
  </si>
  <si>
    <t>Реализация основного мероприятия регионального проекта «Успех каждого ребенка». Расходы на создание новых мест дополнительного образования детей (12, 17)</t>
  </si>
  <si>
    <t>Управление образования и молодежной политики администрации города Урай; муниципальное казенное учреждение «Управление капитального строительства города Урай»</t>
  </si>
  <si>
    <t>Предоставление электронных услуг Управлением образования и молодежной политики, образовательными организациями и МАУ "Городской методический центр"</t>
  </si>
  <si>
    <t>Приобретение наборов LEGO для робототехники в МБУ ДО "ЦМДО"</t>
  </si>
  <si>
    <t>Оплата труда специалиста по организации выездного отдыха. Приобретение канцелярских товаров. Размещение рекламных материалов</t>
  </si>
  <si>
    <t>Исполняющий обязанности заместителя начальника УОиМП</t>
  </si>
  <si>
    <t>Е.Г Городецких</t>
  </si>
  <si>
    <t>1.4.</t>
  </si>
  <si>
    <t>1.3.</t>
  </si>
  <si>
    <t>Выплата компенсации части родительской платы за 9 месяцев 2020 года</t>
  </si>
  <si>
    <t>Обеспечение деятельности восьми дошкольных образовательных учреждений в части выполнения стандарта дошкольного образования  за 9 месяцев 2020 года</t>
  </si>
  <si>
    <t>Обеспечение деятельности восьми дошкольных образовательных учреждений в части содержания здания и прочих общехозяйственных расходов за 9 месяцев 2020 года</t>
  </si>
  <si>
    <t>Экономия по замерам сопротивления изоляции электропроводки в МБУ ДО "ЦМДО"</t>
  </si>
  <si>
    <t>Приобретение формы для Парада Победы юнармейцам</t>
  </si>
  <si>
    <t>Обеспечение деятельности 6-ти общеобразовательных учреждений в части реализации стандарта (выплаты заработной платы, начислений на нее, учебных расходов) и информационного обеспечения в части доступа к образовательным ресурсам сети Интернет за 9 месяцев 2020 года</t>
  </si>
  <si>
    <t>Обеспечение деятельности 6-ти общеобразовательных учреждений в части содержания зданий и сооружений и прочих общехозяйственных расходов за 9 месяцев 2020 года</t>
  </si>
  <si>
    <t>Приобретение и монтаж трансляционного оборудования МБДОУ "Детский сад №21"</t>
  </si>
  <si>
    <t>Приобретение технологического оборудовния и мебели в МБОУ Гимназия, мебели, сплит-системы, сушилок для рук, бактерицидных облучателей в МБОУ СОШ №2, снегоуборочной техники, шкафчиков для одежды в МБОУ СОШ №4. Ремонт помещения здания МБОУ СОШ №12. Замена оконных блоков в МБУ ДО "ЦМДО"</t>
  </si>
  <si>
    <t xml:space="preserve">Участие учащихся в региональном этапе всероссийской олимпиады школьников. Награждение именными премиями ООО "ЛУКойл-Западная Сибирь" и премиями Главы города Урай учащихся общеобразовательных организаций </t>
  </si>
  <si>
    <t>Приобртение оборудования военно-патриотической направленности</t>
  </si>
  <si>
    <t>Отмена проведения военно-спортивной игры «Зарница» и поисковой экспедиции в связи с пандемией COVID-19</t>
  </si>
  <si>
    <t>Отмена проведения городской игры "Брейн-ринг"среди детских организаций в связи с пандемией COVID-19</t>
  </si>
  <si>
    <t>Экономия по оплате коммун.услуг,  льготного проезда (перенос отпуска), физической охране в связи с пандемией COVID-19</t>
  </si>
  <si>
    <t>Обеспечение деятельности МБУ ДО "ЦМДО" в части содержания зданий и сооружений и прочих общехозяйственных расходов за 9 месяев 2020 года</t>
  </si>
  <si>
    <t>Обеспечение защиты каналов связи. Приобретение оборудования и расходных материалов для проведения государственной итоговой аттестации. Выплата компенсации педагогам, привлекаемым к подготовке и проведению ГИА в пунктах проведения экзаменов</t>
  </si>
  <si>
    <t>Экономия по договорам на установку видеонаблюдения в МБОУ СОШ №6. Экономия по фактически сложившимся расходам на компенсацию в связи с сокращением колличества выездов экспртов</t>
  </si>
  <si>
    <t>Изготовление брендовой продукции при открытии Центра образования цифрового и гуманитарного профилей "Точка роста" на базе школы №12</t>
  </si>
  <si>
    <t>Приобретение оборудования для создания новых мест дополнительного образования детей на базе МБОУ Гимназия, МБОУ СОШ №2, 5 и МБУ ДО "ЦМДО"</t>
  </si>
  <si>
    <t>Организация и проведение городского педагогического совещания</t>
  </si>
  <si>
    <t>Обновление доски почета работников образованич и молодежной политики города Урай.</t>
  </si>
  <si>
    <t>Обеспечение деятельности МАУ "Городской методический центр" в части исполнения муниципального  задания за 9 месяцев 2020 года</t>
  </si>
  <si>
    <t>Осуществление деятельности по выплате компенсации части родительской платы (администрирование) за 9 месяцев 2020 года</t>
  </si>
  <si>
    <t>Расходы по содержанию аппарата Управления образования и молодежной политики за 9 месяцев 2020 года</t>
  </si>
  <si>
    <t>Экономия по фактически начисленной  заработной плате работникам (с учетом больничных листов), по оплате путевок и проезда санаторно-курортного лечения, фактическим расходам по служебным командировкам, оплатой услуг связи и прочих расходов в связи с принятием карантинных мероприятий</t>
  </si>
  <si>
    <t>Экономия по итогам закупки медицинского оборудования</t>
  </si>
  <si>
    <t>Приобретение оборудования для медицинского блока общеобразовательных организаций</t>
  </si>
  <si>
    <t xml:space="preserve">Обеспечение учащихся шести общеобразовательных организаций завтраками и обедами </t>
  </si>
  <si>
    <t>Вручение ежегодной молодежной премии Главы "Лауреат премии главы города"</t>
  </si>
  <si>
    <t>Организация муниципального этапа окружного иолодежного проекта "Лига молодых управленцев"</t>
  </si>
  <si>
    <t>Организация он-лайн лагеря дневного пребывания детей в период летних каникул</t>
  </si>
  <si>
    <t>Отмена организации лагеря дневного пребываня в период весенних каникул и уменьшениу охвата детей в период летних каникул в связи с проведением карантинных мероприятий</t>
  </si>
  <si>
    <t>Отклонение в связи с отменой выездного отдыха за пределы ХМАО - Югры</t>
  </si>
  <si>
    <t>Выплата ежемесячного денежного вознаграждения за классное руководство педагогическим работникам</t>
  </si>
  <si>
    <t>Не освоены средства на объекте «Капитальный ремонт МБОУ  "Гимназия"» по причине задержки поставки материалов от производителей материалов подрядной организации выполнявшей капитальный ремонт кровли здания школы, а так же в связи с существенными осадками в период выполнения работ, что привело к приостановке работ на объекте и переносу срока сдачи объекта. На отчетную дату работы на объекте завершены, принимается документация, оплата работ в октябре.</t>
  </si>
  <si>
    <t>Выполнение работ по капитальному ремонту кровли здания МБОУ  Гимназия</t>
  </si>
  <si>
    <t xml:space="preserve">Выполнение проектно-сметной документации по объекту "Капитальный ремонт МБУ ДО ЦМДО". Выполнение проектно-сметной документаци и ценовой эксертизы по объекту  «Капитальный ремонт МБОУ СОШ №6» </t>
  </si>
  <si>
    <t>Не освоенны денежные средства в сумме 44 529,2 тыс. руб., в том числе: по объекту  «Капитальный ремонт МБУ ДО «ЦМДО» в сумме 6 162,5 тыс. руб. по причине приостановки строительно-монтажных работ в июле месяце в связи с организацией в помещении  избирательного участка для голосования и соотвественно переносом срока завершения работ на объекте, освоение и оплата работ в октябре.                                    по объекту  «Капитальный ремонт МБОУ СОШ №6» не освоенно средств в сумме 41 053,8 тыс. руб. по причине устранения замечаний от приемочной комиссии подрядчиком. На отчетную дату работы на объекте завершены, ведется приемка и оформление работ, оплата в октябре.</t>
  </si>
  <si>
    <t>Выполнение работ по ремонту кровли здания МБУ ДО "ЦМДО". Выполнение капитального ремонта МБОУ СОШ №6</t>
  </si>
  <si>
    <t>Подготовка образовательных организаций к началу нового учебного года (ремонт помещений, сетей водоснабжения, узлов учета теплоснабжения, замеры сопротивления электроизоляции, огнезащитная обработка, приобретение технологического оборудования). Обеспечение антитеррористической безопасности образовательных организаций (оборудование помещений для охраны)</t>
  </si>
  <si>
    <t>Экономия по фактическим расходам на выполнение проектно-сметных работ</t>
  </si>
  <si>
    <t>Отчет о ходе исполнения комплексного плана (сетевого графика) реализации муниципальной программы "Развитие образования и молодежной политики в городе Урай " на 2019-2030 годы за 9 месяцев 2020 года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</si>
</sst>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_р_._-;_-@_-"/>
    <numFmt numFmtId="168" formatCode="_(* #,##0.00_);_(* \(#,##0.00\);_(* &quot;-&quot;??_);_(@_)"/>
    <numFmt numFmtId="169" formatCode="0.0%"/>
    <numFmt numFmtId="172" formatCode="_-* #,##0.00000_р_._-;\-* #,##0.00000_р_._-;_-* &quot;-&quot;??_р_._-;_-@_-"/>
    <numFmt numFmtId="174" formatCode="_-* #,##0.0000_р_._-;\-* #,##0.0000_р_._-;_-* &quot;-&quot;??_р_._-;_-@_-"/>
  </numFmts>
  <fonts count="15">
    <font>
      <sz val="11"/>
      <color theme="1"/>
      <name val="Calibri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39">
    <xf numFmtId="0" fontId="0" fillId="0" borderId="0" xfId="0"/>
    <xf numFmtId="166" fontId="6" fillId="2" borderId="0" xfId="1" applyNumberFormat="1" applyFont="1" applyFill="1" applyBorder="1" applyAlignment="1">
      <alignment vertical="center" wrapText="1"/>
    </xf>
    <xf numFmtId="166" fontId="6" fillId="2" borderId="0" xfId="1" applyNumberFormat="1" applyFont="1" applyFill="1" applyAlignment="1">
      <alignment vertical="center"/>
    </xf>
    <xf numFmtId="166" fontId="6" fillId="2" borderId="0" xfId="1" applyNumberFormat="1" applyFont="1" applyFill="1" applyAlignment="1">
      <alignment horizontal="left" vertical="center"/>
    </xf>
    <xf numFmtId="166" fontId="6" fillId="2" borderId="0" xfId="1" applyNumberFormat="1" applyFont="1" applyFill="1" applyBorder="1" applyAlignment="1">
      <alignment vertical="center"/>
    </xf>
    <xf numFmtId="166" fontId="6" fillId="2" borderId="0" xfId="1" applyNumberFormat="1" applyFont="1" applyFill="1" applyBorder="1" applyAlignment="1">
      <alignment horizontal="right" vertical="center"/>
    </xf>
    <xf numFmtId="166" fontId="7" fillId="2" borderId="0" xfId="1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6" fontId="6" fillId="2" borderId="0" xfId="0" applyNumberFormat="1" applyFont="1" applyFill="1" applyBorder="1" applyAlignment="1">
      <alignment vertical="center"/>
    </xf>
    <xf numFmtId="166" fontId="7" fillId="2" borderId="0" xfId="1" applyNumberFormat="1" applyFont="1" applyFill="1" applyBorder="1" applyAlignment="1">
      <alignment vertical="center"/>
    </xf>
    <xf numFmtId="166" fontId="7" fillId="2" borderId="0" xfId="1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66" fontId="2" fillId="2" borderId="0" xfId="1" applyNumberFormat="1" applyFont="1" applyFill="1" applyAlignment="1">
      <alignment horizontal="left"/>
    </xf>
    <xf numFmtId="166" fontId="2" fillId="2" borderId="0" xfId="1" applyNumberFormat="1" applyFont="1" applyFill="1" applyBorder="1" applyAlignment="1">
      <alignment horizontal="left" vertical="center"/>
    </xf>
    <xf numFmtId="166" fontId="2" fillId="2" borderId="0" xfId="1" applyNumberFormat="1" applyFont="1" applyFill="1" applyAlignment="1">
      <alignment horizontal="right" vertical="center"/>
    </xf>
    <xf numFmtId="166" fontId="5" fillId="2" borderId="0" xfId="1" applyNumberFormat="1" applyFont="1" applyFill="1" applyAlignment="1">
      <alignment horizontal="right" vertical="center"/>
    </xf>
    <xf numFmtId="164" fontId="2" fillId="2" borderId="0" xfId="1" applyNumberFormat="1" applyFont="1" applyFill="1" applyAlignment="1">
      <alignment horizontal="right" vertical="center"/>
    </xf>
    <xf numFmtId="164" fontId="3" fillId="2" borderId="0" xfId="1" applyNumberFormat="1" applyFont="1" applyFill="1" applyAlignment="1">
      <alignment vertical="center"/>
    </xf>
    <xf numFmtId="164" fontId="2" fillId="2" borderId="0" xfId="1" applyNumberFormat="1" applyFont="1" applyFill="1" applyAlignment="1">
      <alignment vertical="center"/>
    </xf>
    <xf numFmtId="166" fontId="5" fillId="2" borderId="0" xfId="1" applyNumberFormat="1" applyFont="1" applyFill="1" applyBorder="1" applyAlignment="1">
      <alignment horizontal="left" vertical="center" wrapText="1"/>
    </xf>
    <xf numFmtId="169" fontId="3" fillId="2" borderId="1" xfId="3" applyNumberFormat="1" applyFont="1" applyFill="1" applyBorder="1" applyAlignment="1">
      <alignment horizontal="center" vertical="top" wrapText="1"/>
    </xf>
    <xf numFmtId="169" fontId="10" fillId="2" borderId="1" xfId="3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/>
    </xf>
    <xf numFmtId="164" fontId="10" fillId="2" borderId="1" xfId="1" applyNumberFormat="1" applyFont="1" applyFill="1" applyBorder="1" applyAlignment="1">
      <alignment horizontal="center" vertical="top"/>
    </xf>
    <xf numFmtId="0" fontId="1" fillId="2" borderId="0" xfId="0" applyFont="1" applyFill="1"/>
    <xf numFmtId="0" fontId="12" fillId="2" borderId="8" xfId="0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justify" vertical="top" wrapText="1"/>
    </xf>
    <xf numFmtId="164" fontId="10" fillId="2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justify" vertical="top" wrapText="1"/>
    </xf>
    <xf numFmtId="164" fontId="2" fillId="2" borderId="1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/>
    </xf>
    <xf numFmtId="164" fontId="10" fillId="2" borderId="1" xfId="1" applyNumberFormat="1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vertical="top"/>
    </xf>
    <xf numFmtId="164" fontId="11" fillId="2" borderId="1" xfId="1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justify"/>
    </xf>
    <xf numFmtId="165" fontId="11" fillId="2" borderId="8" xfId="0" applyNumberFormat="1" applyFont="1" applyFill="1" applyBorder="1" applyAlignment="1">
      <alignment horizontal="center"/>
    </xf>
    <xf numFmtId="174" fontId="11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5" fontId="1" fillId="2" borderId="1" xfId="0" applyNumberFormat="1" applyFont="1" applyFill="1" applyBorder="1"/>
    <xf numFmtId="164" fontId="10" fillId="2" borderId="1" xfId="1" applyNumberFormat="1" applyFont="1" applyFill="1" applyBorder="1" applyAlignment="1">
      <alignment horizontal="justify" vertical="top"/>
    </xf>
    <xf numFmtId="0" fontId="2" fillId="2" borderId="1" xfId="0" applyNumberFormat="1" applyFont="1" applyFill="1" applyBorder="1" applyAlignment="1">
      <alignment horizontal="left" vertical="top" wrapText="1"/>
    </xf>
    <xf numFmtId="164" fontId="1" fillId="2" borderId="0" xfId="0" applyNumberFormat="1" applyFont="1" applyFill="1"/>
    <xf numFmtId="166" fontId="3" fillId="2" borderId="1" xfId="1" applyNumberFormat="1" applyFont="1" applyFill="1" applyBorder="1" applyAlignment="1">
      <alignment horizontal="center" vertical="top" wrapText="1"/>
    </xf>
    <xf numFmtId="43" fontId="3" fillId="2" borderId="1" xfId="1" applyFont="1" applyFill="1" applyBorder="1" applyAlignment="1">
      <alignment horizontal="center" vertical="top" wrapText="1"/>
    </xf>
    <xf numFmtId="172" fontId="3" fillId="2" borderId="1" xfId="1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1" fillId="2" borderId="0" xfId="0" applyFont="1" applyFill="1" applyBorder="1"/>
    <xf numFmtId="166" fontId="6" fillId="2" borderId="0" xfId="1" applyNumberFormat="1" applyFont="1" applyFill="1" applyAlignment="1"/>
    <xf numFmtId="166" fontId="6" fillId="2" borderId="8" xfId="1" applyNumberFormat="1" applyFont="1" applyFill="1" applyBorder="1" applyAlignment="1">
      <alignment horizontal="left"/>
    </xf>
    <xf numFmtId="0" fontId="6" fillId="2" borderId="8" xfId="0" applyFont="1" applyFill="1" applyBorder="1" applyAlignment="1"/>
    <xf numFmtId="166" fontId="6" fillId="2" borderId="8" xfId="0" applyNumberFormat="1" applyFont="1" applyFill="1" applyBorder="1" applyAlignment="1">
      <alignment horizontal="left"/>
    </xf>
    <xf numFmtId="166" fontId="6" fillId="2" borderId="0" xfId="0" applyNumberFormat="1" applyFont="1" applyFill="1" applyBorder="1" applyAlignment="1">
      <alignment horizontal="left"/>
    </xf>
    <xf numFmtId="166" fontId="6" fillId="2" borderId="0" xfId="1" applyNumberFormat="1" applyFont="1" applyFill="1" applyAlignment="1">
      <alignment horizontal="left"/>
    </xf>
    <xf numFmtId="166" fontId="6" fillId="2" borderId="0" xfId="1" applyNumberFormat="1" applyFont="1" applyFill="1" applyBorder="1" applyAlignment="1">
      <alignment horizontal="left"/>
    </xf>
    <xf numFmtId="0" fontId="6" fillId="2" borderId="0" xfId="0" applyFont="1" applyFill="1" applyBorder="1" applyAlignment="1"/>
    <xf numFmtId="166" fontId="6" fillId="2" borderId="0" xfId="1" applyNumberFormat="1" applyFont="1" applyFill="1" applyBorder="1" applyAlignment="1"/>
    <xf numFmtId="166" fontId="6" fillId="2" borderId="0" xfId="1" applyNumberFormat="1" applyFont="1" applyFill="1" applyAlignment="1">
      <alignment horizontal="righ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166" fontId="6" fillId="2" borderId="8" xfId="1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166" fontId="5" fillId="2" borderId="8" xfId="1" applyNumberFormat="1" applyFont="1" applyFill="1" applyBorder="1" applyAlignment="1">
      <alignment horizontal="left" vertical="center" wrapText="1"/>
    </xf>
    <xf numFmtId="174" fontId="3" fillId="2" borderId="1" xfId="1" applyNumberFormat="1" applyFont="1" applyFill="1" applyBorder="1" applyAlignment="1">
      <alignment horizontal="center" vertical="top" wrapText="1"/>
    </xf>
    <xf numFmtId="0" fontId="6" fillId="2" borderId="0" xfId="0" applyFont="1" applyFill="1" applyBorder="1"/>
    <xf numFmtId="165" fontId="2" fillId="2" borderId="1" xfId="0" applyNumberFormat="1" applyFont="1" applyFill="1" applyBorder="1" applyAlignment="1">
      <alignment horizontal="left" vertical="top" wrapText="1"/>
    </xf>
    <xf numFmtId="166" fontId="6" fillId="2" borderId="0" xfId="1" applyNumberFormat="1" applyFont="1" applyFill="1" applyAlignment="1">
      <alignment wrapText="1"/>
    </xf>
    <xf numFmtId="164" fontId="7" fillId="2" borderId="1" xfId="1" applyNumberFormat="1" applyFont="1" applyFill="1" applyBorder="1" applyAlignment="1">
      <alignment horizontal="center" vertical="top" wrapText="1"/>
    </xf>
    <xf numFmtId="166" fontId="2" fillId="2" borderId="0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center"/>
    </xf>
    <xf numFmtId="166" fontId="2" fillId="2" borderId="0" xfId="1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</cellXfs>
  <cellStyles count="4">
    <cellStyle name="Обычный" xfId="0" builtinId="0"/>
    <cellStyle name="Процентный" xfId="3" builtinId="5"/>
    <cellStyle name="Финансовый" xfId="1" builtinId="3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02"/>
  <sheetViews>
    <sheetView tabSelected="1" zoomScale="80" zoomScaleNormal="80" zoomScaleSheetLayoutView="8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R7" sqref="R7"/>
    </sheetView>
  </sheetViews>
  <sheetFormatPr defaultColWidth="9.140625" defaultRowHeight="15"/>
  <cols>
    <col min="1" max="1" width="4.5703125" style="26" customWidth="1"/>
    <col min="2" max="2" width="42.7109375" style="26" customWidth="1"/>
    <col min="3" max="3" width="29.42578125" style="26" hidden="1" customWidth="1"/>
    <col min="4" max="4" width="23.28515625" style="26" customWidth="1"/>
    <col min="5" max="5" width="10.5703125" style="26" customWidth="1"/>
    <col min="6" max="6" width="11" style="26" customWidth="1"/>
    <col min="7" max="7" width="7.42578125" style="26" customWidth="1"/>
    <col min="8" max="9" width="9.85546875" style="26" bestFit="1" customWidth="1"/>
    <col min="10" max="10" width="8.42578125" style="26" bestFit="1" customWidth="1"/>
    <col min="11" max="12" width="10.42578125" style="26" customWidth="1"/>
    <col min="13" max="13" width="7.28515625" style="26" customWidth="1"/>
    <col min="14" max="15" width="10.28515625" style="26" customWidth="1"/>
    <col min="16" max="16" width="7.28515625" style="26" customWidth="1"/>
    <col min="17" max="17" width="10.42578125" style="26" customWidth="1"/>
    <col min="18" max="18" width="10.28515625" style="26" customWidth="1"/>
    <col min="19" max="19" width="7.42578125" style="26" customWidth="1"/>
    <col min="20" max="21" width="10.42578125" style="26" customWidth="1"/>
    <col min="22" max="22" width="8.140625" style="26" customWidth="1"/>
    <col min="23" max="23" width="10.7109375" style="26" customWidth="1"/>
    <col min="24" max="24" width="10.42578125" style="26" customWidth="1"/>
    <col min="25" max="25" width="7.28515625" style="26" customWidth="1"/>
    <col min="26" max="27" width="10.5703125" style="26" customWidth="1"/>
    <col min="28" max="28" width="7.42578125" style="26" customWidth="1"/>
    <col min="29" max="29" width="11.140625" style="26" customWidth="1"/>
    <col min="30" max="30" width="9.42578125" style="26" customWidth="1"/>
    <col min="31" max="31" width="8.42578125" style="26" customWidth="1"/>
    <col min="32" max="32" width="10.28515625" style="26" customWidth="1"/>
    <col min="33" max="33" width="10.42578125" style="26" customWidth="1"/>
    <col min="34" max="34" width="9.7109375" style="26" customWidth="1"/>
    <col min="35" max="35" width="10.42578125" style="26" customWidth="1"/>
    <col min="36" max="36" width="9.85546875" style="26" hidden="1" customWidth="1"/>
    <col min="37" max="37" width="9.7109375" style="26" hidden="1" customWidth="1"/>
    <col min="38" max="38" width="11.42578125" style="26" customWidth="1"/>
    <col min="39" max="40" width="11.42578125" style="26" hidden="1" customWidth="1"/>
    <col min="41" max="41" width="11.42578125" style="26" customWidth="1"/>
    <col min="42" max="43" width="10.7109375" style="26" hidden="1" customWidth="1"/>
    <col min="44" max="45" width="28.28515625" style="26" customWidth="1"/>
    <col min="46" max="16384" width="9.140625" style="26"/>
  </cols>
  <sheetData>
    <row r="1" spans="1:45">
      <c r="A1" s="123" t="s">
        <v>207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</row>
    <row r="2" spans="1:4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</row>
    <row r="3" spans="1:45">
      <c r="A3" s="123" t="s">
        <v>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</row>
    <row r="4" spans="1:45">
      <c r="A4" s="27"/>
      <c r="B4" s="27"/>
      <c r="C4" s="27"/>
      <c r="D4" s="27"/>
      <c r="E4" s="28"/>
      <c r="F4" s="50"/>
      <c r="G4" s="28"/>
      <c r="H4" s="29"/>
      <c r="I4" s="29"/>
      <c r="J4" s="29"/>
      <c r="K4" s="30"/>
      <c r="L4" s="30"/>
      <c r="M4" s="30"/>
      <c r="N4" s="27"/>
      <c r="O4" s="27"/>
      <c r="P4" s="27"/>
      <c r="Q4" s="27"/>
      <c r="R4" s="27"/>
      <c r="S4" s="27"/>
      <c r="T4" s="27"/>
      <c r="U4" s="27"/>
      <c r="V4" s="27"/>
      <c r="W4" s="49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31"/>
      <c r="AP4" s="32"/>
      <c r="AQ4" s="32"/>
    </row>
    <row r="5" spans="1:45" ht="15" customHeight="1">
      <c r="A5" s="124" t="s">
        <v>124</v>
      </c>
      <c r="B5" s="124" t="s">
        <v>0</v>
      </c>
      <c r="C5" s="124" t="s">
        <v>37</v>
      </c>
      <c r="D5" s="124" t="s">
        <v>1</v>
      </c>
      <c r="E5" s="124" t="s">
        <v>41</v>
      </c>
      <c r="F5" s="124"/>
      <c r="G5" s="124"/>
      <c r="H5" s="125" t="s">
        <v>38</v>
      </c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7"/>
      <c r="AR5" s="128" t="s">
        <v>39</v>
      </c>
      <c r="AS5" s="128" t="s">
        <v>40</v>
      </c>
    </row>
    <row r="6" spans="1:45">
      <c r="A6" s="124"/>
      <c r="B6" s="124"/>
      <c r="C6" s="124"/>
      <c r="D6" s="124"/>
      <c r="E6" s="124"/>
      <c r="F6" s="124"/>
      <c r="G6" s="124"/>
      <c r="H6" s="124" t="s">
        <v>25</v>
      </c>
      <c r="I6" s="124"/>
      <c r="J6" s="124"/>
      <c r="K6" s="124" t="s">
        <v>26</v>
      </c>
      <c r="L6" s="124"/>
      <c r="M6" s="124"/>
      <c r="N6" s="124" t="s">
        <v>27</v>
      </c>
      <c r="O6" s="124"/>
      <c r="P6" s="124"/>
      <c r="Q6" s="124" t="s">
        <v>28</v>
      </c>
      <c r="R6" s="124"/>
      <c r="S6" s="124"/>
      <c r="T6" s="124" t="s">
        <v>29</v>
      </c>
      <c r="U6" s="124"/>
      <c r="V6" s="124"/>
      <c r="W6" s="124" t="s">
        <v>30</v>
      </c>
      <c r="X6" s="124"/>
      <c r="Y6" s="124"/>
      <c r="Z6" s="124" t="s">
        <v>31</v>
      </c>
      <c r="AA6" s="124"/>
      <c r="AB6" s="124"/>
      <c r="AC6" s="124" t="s">
        <v>32</v>
      </c>
      <c r="AD6" s="124"/>
      <c r="AE6" s="124"/>
      <c r="AF6" s="124" t="s">
        <v>33</v>
      </c>
      <c r="AG6" s="124"/>
      <c r="AH6" s="124"/>
      <c r="AI6" s="124" t="s">
        <v>34</v>
      </c>
      <c r="AJ6" s="124"/>
      <c r="AK6" s="124"/>
      <c r="AL6" s="124" t="s">
        <v>35</v>
      </c>
      <c r="AM6" s="124"/>
      <c r="AN6" s="124"/>
      <c r="AO6" s="124" t="s">
        <v>36</v>
      </c>
      <c r="AP6" s="124"/>
      <c r="AQ6" s="124"/>
      <c r="AR6" s="129"/>
      <c r="AS6" s="129"/>
    </row>
    <row r="7" spans="1:45" ht="24.75">
      <c r="A7" s="124"/>
      <c r="B7" s="124"/>
      <c r="C7" s="124"/>
      <c r="D7" s="124"/>
      <c r="E7" s="51" t="s">
        <v>46</v>
      </c>
      <c r="F7" s="51" t="s">
        <v>47</v>
      </c>
      <c r="G7" s="52" t="s">
        <v>45</v>
      </c>
      <c r="H7" s="51" t="s">
        <v>46</v>
      </c>
      <c r="I7" s="51" t="s">
        <v>47</v>
      </c>
      <c r="J7" s="52" t="s">
        <v>45</v>
      </c>
      <c r="K7" s="51" t="s">
        <v>46</v>
      </c>
      <c r="L7" s="51" t="s">
        <v>47</v>
      </c>
      <c r="M7" s="52" t="s">
        <v>45</v>
      </c>
      <c r="N7" s="51" t="s">
        <v>46</v>
      </c>
      <c r="O7" s="51" t="s">
        <v>47</v>
      </c>
      <c r="P7" s="52" t="s">
        <v>45</v>
      </c>
      <c r="Q7" s="51" t="s">
        <v>46</v>
      </c>
      <c r="R7" s="51" t="s">
        <v>47</v>
      </c>
      <c r="S7" s="52" t="s">
        <v>45</v>
      </c>
      <c r="T7" s="51" t="s">
        <v>46</v>
      </c>
      <c r="U7" s="51" t="s">
        <v>47</v>
      </c>
      <c r="V7" s="52" t="s">
        <v>45</v>
      </c>
      <c r="W7" s="51" t="s">
        <v>46</v>
      </c>
      <c r="X7" s="51" t="s">
        <v>47</v>
      </c>
      <c r="Y7" s="52" t="s">
        <v>45</v>
      </c>
      <c r="Z7" s="51" t="s">
        <v>46</v>
      </c>
      <c r="AA7" s="51" t="s">
        <v>47</v>
      </c>
      <c r="AB7" s="52" t="s">
        <v>45</v>
      </c>
      <c r="AC7" s="51" t="s">
        <v>46</v>
      </c>
      <c r="AD7" s="51" t="s">
        <v>47</v>
      </c>
      <c r="AE7" s="52" t="s">
        <v>45</v>
      </c>
      <c r="AF7" s="51" t="s">
        <v>46</v>
      </c>
      <c r="AG7" s="51" t="s">
        <v>47</v>
      </c>
      <c r="AH7" s="52" t="s">
        <v>45</v>
      </c>
      <c r="AI7" s="51" t="s">
        <v>46</v>
      </c>
      <c r="AJ7" s="51" t="s">
        <v>47</v>
      </c>
      <c r="AK7" s="52" t="s">
        <v>45</v>
      </c>
      <c r="AL7" s="51" t="s">
        <v>46</v>
      </c>
      <c r="AM7" s="51" t="s">
        <v>47</v>
      </c>
      <c r="AN7" s="52" t="s">
        <v>45</v>
      </c>
      <c r="AO7" s="51" t="s">
        <v>46</v>
      </c>
      <c r="AP7" s="51" t="s">
        <v>47</v>
      </c>
      <c r="AQ7" s="52" t="s">
        <v>45</v>
      </c>
      <c r="AR7" s="130"/>
      <c r="AS7" s="130"/>
    </row>
    <row r="8" spans="1:45" ht="15.75">
      <c r="A8" s="83" t="s">
        <v>50</v>
      </c>
      <c r="B8" s="34" t="s">
        <v>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3"/>
      <c r="AS8" s="33"/>
    </row>
    <row r="9" spans="1:45" ht="15.75" customHeight="1">
      <c r="A9" s="90" t="s">
        <v>2</v>
      </c>
      <c r="B9" s="90" t="s">
        <v>88</v>
      </c>
      <c r="C9" s="90" t="s">
        <v>7</v>
      </c>
      <c r="D9" s="35" t="s">
        <v>4</v>
      </c>
      <c r="E9" s="23">
        <f>H9+K9+N9+Q9+T9+W9+Z9+AC9+AF9+AI9+AL9+AO9</f>
        <v>250</v>
      </c>
      <c r="F9" s="23">
        <f>I9+L9+O9+R9+U9+X9+AA9+AD9+AG9+AJ9+AM9+AP9</f>
        <v>250</v>
      </c>
      <c r="G9" s="24">
        <f>F9/E9*100</f>
        <v>100</v>
      </c>
      <c r="H9" s="23">
        <f>H10+H11+H12+H13</f>
        <v>0</v>
      </c>
      <c r="I9" s="23"/>
      <c r="J9" s="23"/>
      <c r="K9" s="23">
        <f t="shared" ref="K9:AO9" si="0">K10+K11+K12+K13</f>
        <v>0</v>
      </c>
      <c r="L9" s="23"/>
      <c r="M9" s="23"/>
      <c r="N9" s="23">
        <f t="shared" si="0"/>
        <v>0</v>
      </c>
      <c r="O9" s="23"/>
      <c r="P9" s="23"/>
      <c r="Q9" s="23">
        <f t="shared" si="0"/>
        <v>0</v>
      </c>
      <c r="R9" s="23">
        <f t="shared" si="0"/>
        <v>0</v>
      </c>
      <c r="S9" s="24"/>
      <c r="T9" s="23">
        <f t="shared" si="0"/>
        <v>0</v>
      </c>
      <c r="U9" s="23"/>
      <c r="V9" s="23"/>
      <c r="W9" s="23">
        <f t="shared" si="0"/>
        <v>0</v>
      </c>
      <c r="X9" s="23">
        <f t="shared" si="0"/>
        <v>0</v>
      </c>
      <c r="Y9" s="24"/>
      <c r="Z9" s="23">
        <f t="shared" si="0"/>
        <v>250</v>
      </c>
      <c r="AA9" s="23">
        <f t="shared" si="0"/>
        <v>250</v>
      </c>
      <c r="AB9" s="24">
        <f>AA9/Z9*100</f>
        <v>100</v>
      </c>
      <c r="AC9" s="23">
        <f t="shared" si="0"/>
        <v>0</v>
      </c>
      <c r="AD9" s="23">
        <f t="shared" si="0"/>
        <v>0</v>
      </c>
      <c r="AE9" s="23"/>
      <c r="AF9" s="23">
        <f t="shared" si="0"/>
        <v>0</v>
      </c>
      <c r="AG9" s="23"/>
      <c r="AH9" s="23"/>
      <c r="AI9" s="23">
        <f t="shared" si="0"/>
        <v>0</v>
      </c>
      <c r="AJ9" s="23"/>
      <c r="AK9" s="23"/>
      <c r="AL9" s="23">
        <f t="shared" si="0"/>
        <v>0</v>
      </c>
      <c r="AM9" s="23"/>
      <c r="AN9" s="23"/>
      <c r="AO9" s="23">
        <f t="shared" si="0"/>
        <v>0</v>
      </c>
      <c r="AP9" s="23"/>
      <c r="AQ9" s="23"/>
      <c r="AR9" s="33"/>
      <c r="AS9" s="33"/>
    </row>
    <row r="10" spans="1:45">
      <c r="A10" s="90"/>
      <c r="B10" s="90"/>
      <c r="C10" s="90"/>
      <c r="D10" s="35" t="s">
        <v>23</v>
      </c>
      <c r="E10" s="23">
        <f t="shared" ref="E10:F28" si="1">H10+K10+N10+Q10+T10+W10+Z10+AC10+AF10+AI10+AL10+AO10</f>
        <v>0</v>
      </c>
      <c r="F10" s="23">
        <f t="shared" si="1"/>
        <v>0</v>
      </c>
      <c r="G10" s="21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1"/>
      <c r="T10" s="23"/>
      <c r="U10" s="23"/>
      <c r="V10" s="23"/>
      <c r="W10" s="23"/>
      <c r="X10" s="23"/>
      <c r="Y10" s="21"/>
      <c r="Z10" s="23"/>
      <c r="AA10" s="23"/>
      <c r="AB10" s="24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33"/>
      <c r="AS10" s="33"/>
    </row>
    <row r="11" spans="1:45" ht="40.5" customHeight="1">
      <c r="A11" s="90"/>
      <c r="B11" s="90"/>
      <c r="C11" s="90"/>
      <c r="D11" s="35" t="s">
        <v>5</v>
      </c>
      <c r="E11" s="23">
        <f t="shared" si="1"/>
        <v>250</v>
      </c>
      <c r="F11" s="23">
        <f t="shared" si="1"/>
        <v>250</v>
      </c>
      <c r="G11" s="24">
        <f>F11/E11*100</f>
        <v>100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  <c r="T11" s="23"/>
      <c r="U11" s="23"/>
      <c r="V11" s="23"/>
      <c r="W11" s="23"/>
      <c r="X11" s="23"/>
      <c r="Y11" s="24"/>
      <c r="Z11" s="23">
        <v>250</v>
      </c>
      <c r="AA11" s="23">
        <v>250</v>
      </c>
      <c r="AB11" s="24">
        <f>AA11/Z11*100</f>
        <v>100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86" t="s">
        <v>173</v>
      </c>
      <c r="AS11" s="33"/>
    </row>
    <row r="12" spans="1:45">
      <c r="A12" s="90"/>
      <c r="B12" s="90"/>
      <c r="C12" s="90"/>
      <c r="D12" s="35" t="s">
        <v>49</v>
      </c>
      <c r="E12" s="23">
        <f t="shared" si="1"/>
        <v>0</v>
      </c>
      <c r="F12" s="23">
        <f t="shared" si="1"/>
        <v>0</v>
      </c>
      <c r="G12" s="21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33"/>
      <c r="AS12" s="33"/>
    </row>
    <row r="13" spans="1:45">
      <c r="A13" s="90"/>
      <c r="B13" s="90"/>
      <c r="C13" s="90"/>
      <c r="D13" s="35" t="s">
        <v>24</v>
      </c>
      <c r="E13" s="23">
        <f t="shared" si="1"/>
        <v>0</v>
      </c>
      <c r="F13" s="23">
        <f t="shared" si="1"/>
        <v>0</v>
      </c>
      <c r="G13" s="21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33"/>
      <c r="AS13" s="33"/>
    </row>
    <row r="14" spans="1:45" ht="15.75" customHeight="1">
      <c r="A14" s="90" t="s">
        <v>22</v>
      </c>
      <c r="B14" s="90" t="s">
        <v>89</v>
      </c>
      <c r="C14" s="90" t="s">
        <v>7</v>
      </c>
      <c r="D14" s="35" t="s">
        <v>4</v>
      </c>
      <c r="E14" s="23">
        <f t="shared" si="1"/>
        <v>0</v>
      </c>
      <c r="F14" s="23">
        <f t="shared" si="1"/>
        <v>0</v>
      </c>
      <c r="G14" s="21"/>
      <c r="H14" s="23">
        <f>H15+H16+H17+H18</f>
        <v>0</v>
      </c>
      <c r="I14" s="23"/>
      <c r="J14" s="23"/>
      <c r="K14" s="23">
        <f t="shared" ref="K14:AO14" si="2">K15+K16+K17+K18</f>
        <v>0</v>
      </c>
      <c r="L14" s="23"/>
      <c r="M14" s="23"/>
      <c r="N14" s="23">
        <f t="shared" si="2"/>
        <v>0</v>
      </c>
      <c r="O14" s="23"/>
      <c r="P14" s="23"/>
      <c r="Q14" s="23">
        <f t="shared" si="2"/>
        <v>0</v>
      </c>
      <c r="R14" s="23"/>
      <c r="S14" s="23"/>
      <c r="T14" s="23">
        <f t="shared" si="2"/>
        <v>0</v>
      </c>
      <c r="U14" s="23"/>
      <c r="V14" s="23"/>
      <c r="W14" s="23">
        <f t="shared" si="2"/>
        <v>0</v>
      </c>
      <c r="X14" s="23"/>
      <c r="Y14" s="23"/>
      <c r="Z14" s="23">
        <f t="shared" si="2"/>
        <v>0</v>
      </c>
      <c r="AA14" s="23"/>
      <c r="AB14" s="23"/>
      <c r="AC14" s="23">
        <f t="shared" si="2"/>
        <v>0</v>
      </c>
      <c r="AD14" s="23">
        <f t="shared" si="2"/>
        <v>0</v>
      </c>
      <c r="AE14" s="23"/>
      <c r="AF14" s="23">
        <f t="shared" si="2"/>
        <v>0</v>
      </c>
      <c r="AG14" s="23"/>
      <c r="AH14" s="23"/>
      <c r="AI14" s="23">
        <f t="shared" si="2"/>
        <v>0</v>
      </c>
      <c r="AJ14" s="23"/>
      <c r="AK14" s="23"/>
      <c r="AL14" s="23">
        <f t="shared" si="2"/>
        <v>0</v>
      </c>
      <c r="AM14" s="23"/>
      <c r="AN14" s="23"/>
      <c r="AO14" s="23">
        <f t="shared" si="2"/>
        <v>0</v>
      </c>
      <c r="AP14" s="23"/>
      <c r="AQ14" s="23"/>
      <c r="AR14" s="33"/>
      <c r="AS14" s="33"/>
    </row>
    <row r="15" spans="1:45">
      <c r="A15" s="90"/>
      <c r="B15" s="90"/>
      <c r="C15" s="90"/>
      <c r="D15" s="35" t="s">
        <v>23</v>
      </c>
      <c r="E15" s="23">
        <f t="shared" si="1"/>
        <v>0</v>
      </c>
      <c r="F15" s="23">
        <f t="shared" si="1"/>
        <v>0</v>
      </c>
      <c r="G15" s="21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33"/>
      <c r="AS15" s="33"/>
    </row>
    <row r="16" spans="1:45" ht="24">
      <c r="A16" s="90"/>
      <c r="B16" s="90"/>
      <c r="C16" s="90"/>
      <c r="D16" s="35" t="s">
        <v>5</v>
      </c>
      <c r="E16" s="23">
        <f t="shared" si="1"/>
        <v>0</v>
      </c>
      <c r="F16" s="23">
        <f t="shared" si="1"/>
        <v>0</v>
      </c>
      <c r="G16" s="21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33"/>
      <c r="AS16" s="33"/>
    </row>
    <row r="17" spans="1:45">
      <c r="A17" s="90"/>
      <c r="B17" s="90"/>
      <c r="C17" s="90"/>
      <c r="D17" s="35" t="s">
        <v>49</v>
      </c>
      <c r="E17" s="23">
        <f t="shared" si="1"/>
        <v>0</v>
      </c>
      <c r="F17" s="23">
        <f t="shared" si="1"/>
        <v>0</v>
      </c>
      <c r="G17" s="21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33"/>
      <c r="AS17" s="33"/>
    </row>
    <row r="18" spans="1:45">
      <c r="A18" s="90"/>
      <c r="B18" s="90"/>
      <c r="C18" s="90"/>
      <c r="D18" s="35" t="s">
        <v>24</v>
      </c>
      <c r="E18" s="23">
        <f t="shared" si="1"/>
        <v>0</v>
      </c>
      <c r="F18" s="23">
        <f t="shared" si="1"/>
        <v>0</v>
      </c>
      <c r="G18" s="21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33"/>
      <c r="AS18" s="33"/>
    </row>
    <row r="19" spans="1:45" ht="15.75" customHeight="1">
      <c r="A19" s="90" t="s">
        <v>165</v>
      </c>
      <c r="B19" s="90" t="s">
        <v>121</v>
      </c>
      <c r="C19" s="90" t="s">
        <v>7</v>
      </c>
      <c r="D19" s="35" t="s">
        <v>4</v>
      </c>
      <c r="E19" s="23">
        <f>H19+K19+N19+Q19+T19+W19+Z19+AC19+AF19+AI19+AL19+AO19</f>
        <v>698885.10000000009</v>
      </c>
      <c r="F19" s="23">
        <f>I19+L19+O19+R19+U19+X19+AA19+AD19+AG19+AJ19+AM19+AP19</f>
        <v>475931.40000000008</v>
      </c>
      <c r="G19" s="24">
        <f>F19/E19*100</f>
        <v>68.098661711345684</v>
      </c>
      <c r="H19" s="23">
        <f>H20+H21+H22+H23</f>
        <v>16695.5</v>
      </c>
      <c r="I19" s="23">
        <f>I20+I21+I22+I23</f>
        <v>16695.5</v>
      </c>
      <c r="J19" s="24">
        <f>I19/H19*100</f>
        <v>100</v>
      </c>
      <c r="K19" s="23">
        <f t="shared" ref="K19:AO19" si="3">K20+K21+K22+K23</f>
        <v>53273.5</v>
      </c>
      <c r="L19" s="23">
        <f t="shared" si="3"/>
        <v>53273.5</v>
      </c>
      <c r="M19" s="24">
        <f>L19/K19*100</f>
        <v>100</v>
      </c>
      <c r="N19" s="23">
        <f t="shared" si="3"/>
        <v>49470.1</v>
      </c>
      <c r="O19" s="23">
        <f t="shared" si="3"/>
        <v>49470.1</v>
      </c>
      <c r="P19" s="24">
        <f>O19/N19*100</f>
        <v>100</v>
      </c>
      <c r="Q19" s="23">
        <f t="shared" si="3"/>
        <v>61917.100000000006</v>
      </c>
      <c r="R19" s="23">
        <f t="shared" si="3"/>
        <v>63424.100000000006</v>
      </c>
      <c r="S19" s="24">
        <f>R19/Q19*100</f>
        <v>102.43389952048787</v>
      </c>
      <c r="T19" s="23">
        <f t="shared" si="3"/>
        <v>80500.7</v>
      </c>
      <c r="U19" s="23">
        <f t="shared" si="3"/>
        <v>79690.7</v>
      </c>
      <c r="V19" s="24">
        <f>U19/T19*100</f>
        <v>98.993797569462131</v>
      </c>
      <c r="W19" s="23">
        <f t="shared" si="3"/>
        <v>77625.399999999994</v>
      </c>
      <c r="X19" s="23">
        <f t="shared" si="3"/>
        <v>76928.399999999994</v>
      </c>
      <c r="Y19" s="24">
        <f>X19/W19*100</f>
        <v>99.102098024615657</v>
      </c>
      <c r="Z19" s="23">
        <f t="shared" si="3"/>
        <v>64776.700000000004</v>
      </c>
      <c r="AA19" s="23">
        <f t="shared" si="3"/>
        <v>64276.700000000004</v>
      </c>
      <c r="AB19" s="24">
        <f>AA19/Z19*100</f>
        <v>99.228117517564186</v>
      </c>
      <c r="AC19" s="23">
        <f t="shared" si="3"/>
        <v>39978.699999999997</v>
      </c>
      <c r="AD19" s="23">
        <f t="shared" si="3"/>
        <v>37836.699999999997</v>
      </c>
      <c r="AE19" s="24">
        <f>AD19/AC19*100</f>
        <v>94.642146943247269</v>
      </c>
      <c r="AF19" s="23">
        <f t="shared" si="3"/>
        <v>31693.7</v>
      </c>
      <c r="AG19" s="23">
        <f t="shared" si="3"/>
        <v>34335.700000000012</v>
      </c>
      <c r="AH19" s="24">
        <f>AG19/AF19*100</f>
        <v>108.33604154768932</v>
      </c>
      <c r="AI19" s="23">
        <f t="shared" si="3"/>
        <v>68045.3</v>
      </c>
      <c r="AJ19" s="23">
        <f t="shared" si="3"/>
        <v>0</v>
      </c>
      <c r="AK19" s="24">
        <f>AJ19/AI19*100</f>
        <v>0</v>
      </c>
      <c r="AL19" s="23">
        <f>AL20+AL21+AL22+AL23</f>
        <v>56369.7</v>
      </c>
      <c r="AM19" s="23">
        <f>AM20+AM21+AM22+AM23</f>
        <v>0</v>
      </c>
      <c r="AN19" s="24">
        <f>AM19/AL19*100</f>
        <v>0</v>
      </c>
      <c r="AO19" s="23">
        <f t="shared" si="3"/>
        <v>98538.700000000012</v>
      </c>
      <c r="AP19" s="23"/>
      <c r="AQ19" s="21">
        <f t="shared" ref="AQ19:AQ22" si="4">AP19/AO19</f>
        <v>0</v>
      </c>
      <c r="AR19" s="33"/>
      <c r="AS19" s="33"/>
    </row>
    <row r="20" spans="1:45">
      <c r="A20" s="90"/>
      <c r="B20" s="90"/>
      <c r="C20" s="90"/>
      <c r="D20" s="35" t="s">
        <v>23</v>
      </c>
      <c r="E20" s="23">
        <f t="shared" si="1"/>
        <v>0</v>
      </c>
      <c r="F20" s="23">
        <f t="shared" si="1"/>
        <v>0</v>
      </c>
      <c r="G20" s="21"/>
      <c r="H20" s="23"/>
      <c r="I20" s="23"/>
      <c r="J20" s="21"/>
      <c r="K20" s="23"/>
      <c r="L20" s="23"/>
      <c r="M20" s="21"/>
      <c r="N20" s="23"/>
      <c r="O20" s="23"/>
      <c r="P20" s="21"/>
      <c r="Q20" s="23"/>
      <c r="R20" s="23"/>
      <c r="S20" s="21"/>
      <c r="T20" s="23"/>
      <c r="U20" s="23"/>
      <c r="V20" s="21"/>
      <c r="W20" s="23"/>
      <c r="X20" s="23"/>
      <c r="Y20" s="21"/>
      <c r="Z20" s="23"/>
      <c r="AA20" s="23"/>
      <c r="AB20" s="21"/>
      <c r="AC20" s="23"/>
      <c r="AD20" s="23"/>
      <c r="AE20" s="21"/>
      <c r="AF20" s="23"/>
      <c r="AG20" s="23"/>
      <c r="AH20" s="21"/>
      <c r="AI20" s="23"/>
      <c r="AJ20" s="23"/>
      <c r="AK20" s="21"/>
      <c r="AL20" s="23"/>
      <c r="AM20" s="23"/>
      <c r="AN20" s="21"/>
      <c r="AO20" s="23"/>
      <c r="AP20" s="23"/>
      <c r="AQ20" s="21"/>
      <c r="AR20" s="33"/>
      <c r="AS20" s="33"/>
    </row>
    <row r="21" spans="1:45" ht="61.15" customHeight="1">
      <c r="A21" s="90"/>
      <c r="B21" s="90"/>
      <c r="C21" s="90"/>
      <c r="D21" s="35" t="s">
        <v>5</v>
      </c>
      <c r="E21" s="23">
        <f t="shared" si="1"/>
        <v>579505.80000000005</v>
      </c>
      <c r="F21" s="23">
        <f t="shared" si="1"/>
        <v>401856.4</v>
      </c>
      <c r="G21" s="24">
        <f>F21/E21*100</f>
        <v>69.344672650385903</v>
      </c>
      <c r="H21" s="23">
        <v>14401</v>
      </c>
      <c r="I21" s="23">
        <v>14401</v>
      </c>
      <c r="J21" s="24">
        <f>I21/H21*100</f>
        <v>100</v>
      </c>
      <c r="K21" s="23">
        <v>42416</v>
      </c>
      <c r="L21" s="23">
        <v>42416</v>
      </c>
      <c r="M21" s="24">
        <f>L21/K21*100</f>
        <v>100</v>
      </c>
      <c r="N21" s="23">
        <v>39930</v>
      </c>
      <c r="O21" s="23">
        <v>39930</v>
      </c>
      <c r="P21" s="24">
        <f>O21/N21*100</f>
        <v>100</v>
      </c>
      <c r="Q21" s="23">
        <v>49934.9</v>
      </c>
      <c r="R21" s="23">
        <v>49934.9</v>
      </c>
      <c r="S21" s="24">
        <f>R21/Q21*100</f>
        <v>100</v>
      </c>
      <c r="T21" s="23">
        <v>69285</v>
      </c>
      <c r="U21" s="23">
        <v>69285</v>
      </c>
      <c r="V21" s="24">
        <f>U21/T21*100</f>
        <v>100</v>
      </c>
      <c r="W21" s="23">
        <f>71612</f>
        <v>71612</v>
      </c>
      <c r="X21" s="23">
        <f>71612</f>
        <v>71612</v>
      </c>
      <c r="Y21" s="24">
        <f>X21/W21*100</f>
        <v>100</v>
      </c>
      <c r="Z21" s="23">
        <v>52512.800000000003</v>
      </c>
      <c r="AA21" s="23">
        <v>52012.800000000003</v>
      </c>
      <c r="AB21" s="24">
        <f>AA21/Z21*100</f>
        <v>99.047851190566874</v>
      </c>
      <c r="AC21" s="23">
        <v>31896</v>
      </c>
      <c r="AD21" s="23">
        <v>31896</v>
      </c>
      <c r="AE21" s="24">
        <f>AD21/AC21*100</f>
        <v>100</v>
      </c>
      <c r="AF21" s="23">
        <f>29868.7</f>
        <v>29868.7</v>
      </c>
      <c r="AG21" s="23">
        <v>30368.700000000012</v>
      </c>
      <c r="AH21" s="24">
        <f>AG21/AF21*100</f>
        <v>101.67399317680386</v>
      </c>
      <c r="AI21" s="23">
        <f>39717+15900.5+532.3</f>
        <v>56149.8</v>
      </c>
      <c r="AJ21" s="23"/>
      <c r="AK21" s="24">
        <f>AJ21/AI21*100</f>
        <v>0</v>
      </c>
      <c r="AL21" s="23">
        <v>40714</v>
      </c>
      <c r="AM21" s="23"/>
      <c r="AN21" s="24">
        <f>AM21/AL21*100</f>
        <v>0</v>
      </c>
      <c r="AO21" s="23">
        <f>65147.9+15637.7</f>
        <v>80785.600000000006</v>
      </c>
      <c r="AP21" s="23"/>
      <c r="AQ21" s="21">
        <f t="shared" si="4"/>
        <v>0</v>
      </c>
      <c r="AR21" s="83" t="s">
        <v>167</v>
      </c>
      <c r="AS21" s="33"/>
    </row>
    <row r="22" spans="1:45" ht="74.25" customHeight="1">
      <c r="A22" s="90"/>
      <c r="B22" s="90"/>
      <c r="C22" s="90"/>
      <c r="D22" s="35" t="s">
        <v>49</v>
      </c>
      <c r="E22" s="23">
        <f t="shared" si="1"/>
        <v>119379.29999999999</v>
      </c>
      <c r="F22" s="23">
        <f t="shared" si="1"/>
        <v>74075</v>
      </c>
      <c r="G22" s="24">
        <f>F22/E22*100</f>
        <v>62.050120917110426</v>
      </c>
      <c r="H22" s="23">
        <v>2294.5</v>
      </c>
      <c r="I22" s="23">
        <v>2294.5</v>
      </c>
      <c r="J22" s="24">
        <f>I22/H22*100</f>
        <v>100</v>
      </c>
      <c r="K22" s="23">
        <v>10857.5</v>
      </c>
      <c r="L22" s="23">
        <v>10857.5</v>
      </c>
      <c r="M22" s="24">
        <f>L22/K22*100</f>
        <v>100</v>
      </c>
      <c r="N22" s="23">
        <v>9540.1</v>
      </c>
      <c r="O22" s="23">
        <v>9540.1</v>
      </c>
      <c r="P22" s="24">
        <f>O22/N22*100</f>
        <v>100</v>
      </c>
      <c r="Q22" s="23">
        <v>11982.2</v>
      </c>
      <c r="R22" s="23">
        <v>13489.2</v>
      </c>
      <c r="S22" s="24">
        <f>R22/Q22*100</f>
        <v>112.57698920064763</v>
      </c>
      <c r="T22" s="23">
        <v>11215.7</v>
      </c>
      <c r="U22" s="23">
        <v>10405.699999999997</v>
      </c>
      <c r="V22" s="24">
        <f>U22/T22*100</f>
        <v>92.777980866107299</v>
      </c>
      <c r="W22" s="23">
        <f>10880-4866.6</f>
        <v>6013.4</v>
      </c>
      <c r="X22" s="23">
        <v>5316.4</v>
      </c>
      <c r="Y22" s="24">
        <f>X22/W22*100</f>
        <v>88.40921940998436</v>
      </c>
      <c r="Z22" s="23">
        <v>12263.9</v>
      </c>
      <c r="AA22" s="23">
        <v>12263.9</v>
      </c>
      <c r="AB22" s="24">
        <f>AA22/Z22*100</f>
        <v>100</v>
      </c>
      <c r="AC22" s="23">
        <v>8082.7</v>
      </c>
      <c r="AD22" s="23">
        <v>5940.7</v>
      </c>
      <c r="AE22" s="24">
        <f>AD22/AC22*100</f>
        <v>73.498954557264284</v>
      </c>
      <c r="AF22" s="23">
        <f>7932.6+674.4-6782</f>
        <v>1825</v>
      </c>
      <c r="AG22" s="23">
        <f>3966.9+0.1</f>
        <v>3967</v>
      </c>
      <c r="AH22" s="24">
        <f>AG22/AF22*100</f>
        <v>217.36986301369865</v>
      </c>
      <c r="AI22" s="23">
        <v>11895.5</v>
      </c>
      <c r="AJ22" s="23"/>
      <c r="AK22" s="24">
        <f>AJ22/AI22*100</f>
        <v>0</v>
      </c>
      <c r="AL22" s="23">
        <f>8873.7+6782</f>
        <v>15655.7</v>
      </c>
      <c r="AM22" s="23"/>
      <c r="AN22" s="24">
        <f>AM22/AL22*100</f>
        <v>0</v>
      </c>
      <c r="AO22" s="23">
        <f>15394.9+2358.2</f>
        <v>17753.099999999999</v>
      </c>
      <c r="AP22" s="23"/>
      <c r="AQ22" s="21">
        <f t="shared" si="4"/>
        <v>0</v>
      </c>
      <c r="AR22" s="83" t="s">
        <v>168</v>
      </c>
      <c r="AS22" s="33"/>
    </row>
    <row r="23" spans="1:45">
      <c r="A23" s="90"/>
      <c r="B23" s="90"/>
      <c r="C23" s="90"/>
      <c r="D23" s="35" t="s">
        <v>24</v>
      </c>
      <c r="E23" s="23">
        <f t="shared" si="1"/>
        <v>0</v>
      </c>
      <c r="F23" s="23">
        <f t="shared" si="1"/>
        <v>0</v>
      </c>
      <c r="G23" s="21"/>
      <c r="H23" s="23"/>
      <c r="I23" s="23"/>
      <c r="J23" s="23"/>
      <c r="K23" s="23"/>
      <c r="L23" s="23"/>
      <c r="M23" s="24"/>
      <c r="N23" s="23"/>
      <c r="O23" s="23"/>
      <c r="P23" s="24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1"/>
      <c r="AI23" s="23"/>
      <c r="AJ23" s="23"/>
      <c r="AK23" s="21"/>
      <c r="AL23" s="23"/>
      <c r="AM23" s="23"/>
      <c r="AN23" s="23"/>
      <c r="AO23" s="23"/>
      <c r="AP23" s="23"/>
      <c r="AQ23" s="23"/>
      <c r="AR23" s="33"/>
      <c r="AS23" s="33"/>
    </row>
    <row r="24" spans="1:45" ht="15.75" customHeight="1">
      <c r="A24" s="122" t="s">
        <v>164</v>
      </c>
      <c r="B24" s="90" t="s">
        <v>90</v>
      </c>
      <c r="C24" s="90" t="s">
        <v>7</v>
      </c>
      <c r="D24" s="35" t="s">
        <v>4</v>
      </c>
      <c r="E24" s="23">
        <f t="shared" si="1"/>
        <v>19419</v>
      </c>
      <c r="F24" s="23">
        <f t="shared" si="1"/>
        <v>10675.4</v>
      </c>
      <c r="G24" s="24">
        <f>F24/E24*100</f>
        <v>54.973994541428496</v>
      </c>
      <c r="H24" s="23">
        <f>H25+H26+H27+H28</f>
        <v>0</v>
      </c>
      <c r="I24" s="23"/>
      <c r="J24" s="23"/>
      <c r="K24" s="23">
        <f t="shared" ref="K24:AO24" si="5">K25+K26+K27+K28</f>
        <v>3454</v>
      </c>
      <c r="L24" s="23">
        <f t="shared" si="5"/>
        <v>2438.6</v>
      </c>
      <c r="M24" s="24">
        <f t="shared" ref="M24:M26" si="6">L24/K24*100</f>
        <v>70.602200347423278</v>
      </c>
      <c r="N24" s="23">
        <f t="shared" si="5"/>
        <v>3100</v>
      </c>
      <c r="O24" s="23">
        <f t="shared" si="5"/>
        <v>2346.6</v>
      </c>
      <c r="P24" s="24">
        <f t="shared" ref="P24:P26" si="7">O24/N24*100</f>
        <v>75.696774193548393</v>
      </c>
      <c r="Q24" s="23">
        <f t="shared" si="5"/>
        <v>2446</v>
      </c>
      <c r="R24" s="23">
        <f t="shared" si="5"/>
        <v>2456.1999999999998</v>
      </c>
      <c r="S24" s="24">
        <f>R24/Q24*100</f>
        <v>100.41700735895338</v>
      </c>
      <c r="T24" s="23">
        <f t="shared" si="5"/>
        <v>0</v>
      </c>
      <c r="U24" s="23">
        <f t="shared" si="5"/>
        <v>321.3</v>
      </c>
      <c r="V24" s="24"/>
      <c r="W24" s="23">
        <f t="shared" si="5"/>
        <v>0</v>
      </c>
      <c r="X24" s="23">
        <f t="shared" si="5"/>
        <v>460.6</v>
      </c>
      <c r="Y24" s="24"/>
      <c r="Z24" s="23">
        <f t="shared" si="5"/>
        <v>2200</v>
      </c>
      <c r="AA24" s="23">
        <f t="shared" si="5"/>
        <v>955</v>
      </c>
      <c r="AB24" s="24">
        <f>AA24/Z24*100</f>
        <v>43.409090909090907</v>
      </c>
      <c r="AC24" s="23">
        <f t="shared" si="5"/>
        <v>218</v>
      </c>
      <c r="AD24" s="23">
        <f t="shared" si="5"/>
        <v>843.9</v>
      </c>
      <c r="AE24" s="24">
        <f>AD24/AC24*100</f>
        <v>387.11009174311926</v>
      </c>
      <c r="AF24" s="23">
        <f t="shared" si="5"/>
        <v>0</v>
      </c>
      <c r="AG24" s="23">
        <f t="shared" si="5"/>
        <v>853.2</v>
      </c>
      <c r="AH24" s="24"/>
      <c r="AI24" s="23">
        <f t="shared" si="5"/>
        <v>2000</v>
      </c>
      <c r="AJ24" s="23">
        <f t="shared" si="5"/>
        <v>0</v>
      </c>
      <c r="AK24" s="24">
        <f>AJ24/AI24*100</f>
        <v>0</v>
      </c>
      <c r="AL24" s="23">
        <f t="shared" si="5"/>
        <v>3000</v>
      </c>
      <c r="AM24" s="23">
        <f t="shared" si="5"/>
        <v>0</v>
      </c>
      <c r="AN24" s="24">
        <f>AM24/AL24*100</f>
        <v>0</v>
      </c>
      <c r="AO24" s="23">
        <f t="shared" si="5"/>
        <v>3001</v>
      </c>
      <c r="AP24" s="23"/>
      <c r="AQ24" s="21">
        <f t="shared" ref="AQ24:AQ26" si="8">AP24/AO24</f>
        <v>0</v>
      </c>
      <c r="AR24" s="33"/>
      <c r="AS24" s="33"/>
    </row>
    <row r="25" spans="1:45">
      <c r="A25" s="90"/>
      <c r="B25" s="90"/>
      <c r="C25" s="90"/>
      <c r="D25" s="35" t="s">
        <v>23</v>
      </c>
      <c r="E25" s="23">
        <f t="shared" si="1"/>
        <v>0</v>
      </c>
      <c r="F25" s="23">
        <f t="shared" si="1"/>
        <v>0</v>
      </c>
      <c r="G25" s="21"/>
      <c r="H25" s="23"/>
      <c r="I25" s="23"/>
      <c r="J25" s="23"/>
      <c r="K25" s="23"/>
      <c r="L25" s="23"/>
      <c r="M25" s="24"/>
      <c r="N25" s="23"/>
      <c r="O25" s="23"/>
      <c r="P25" s="24"/>
      <c r="Q25" s="23"/>
      <c r="R25" s="23"/>
      <c r="S25" s="21"/>
      <c r="T25" s="23"/>
      <c r="U25" s="23"/>
      <c r="V25" s="21"/>
      <c r="W25" s="23"/>
      <c r="X25" s="23"/>
      <c r="Y25" s="21"/>
      <c r="Z25" s="23"/>
      <c r="AA25" s="23"/>
      <c r="AB25" s="21"/>
      <c r="AC25" s="23"/>
      <c r="AD25" s="23"/>
      <c r="AE25" s="21"/>
      <c r="AF25" s="23"/>
      <c r="AG25" s="23"/>
      <c r="AH25" s="21"/>
      <c r="AI25" s="23"/>
      <c r="AJ25" s="23"/>
      <c r="AK25" s="21"/>
      <c r="AL25" s="23"/>
      <c r="AM25" s="23"/>
      <c r="AN25" s="21"/>
      <c r="AO25" s="23"/>
      <c r="AP25" s="23"/>
      <c r="AQ25" s="21"/>
      <c r="AR25" s="33"/>
      <c r="AS25" s="33"/>
    </row>
    <row r="26" spans="1:45" ht="36" customHeight="1">
      <c r="A26" s="90"/>
      <c r="B26" s="90"/>
      <c r="C26" s="90"/>
      <c r="D26" s="35" t="s">
        <v>5</v>
      </c>
      <c r="E26" s="23">
        <f t="shared" si="1"/>
        <v>19419</v>
      </c>
      <c r="F26" s="23">
        <f t="shared" si="1"/>
        <v>10675.4</v>
      </c>
      <c r="G26" s="24">
        <f>F26/E26*100</f>
        <v>54.973994541428496</v>
      </c>
      <c r="H26" s="23">
        <v>0</v>
      </c>
      <c r="I26" s="23"/>
      <c r="J26" s="23"/>
      <c r="K26" s="23">
        <v>3454</v>
      </c>
      <c r="L26" s="23">
        <v>2438.6</v>
      </c>
      <c r="M26" s="24">
        <f t="shared" si="6"/>
        <v>70.602200347423278</v>
      </c>
      <c r="N26" s="23">
        <v>3100</v>
      </c>
      <c r="O26" s="23">
        <v>2346.6</v>
      </c>
      <c r="P26" s="24">
        <f t="shared" si="7"/>
        <v>75.696774193548393</v>
      </c>
      <c r="Q26" s="23">
        <f>3550-1104</f>
        <v>2446</v>
      </c>
      <c r="R26" s="23">
        <v>2456.1999999999998</v>
      </c>
      <c r="S26" s="24">
        <f>R26/Q26*100</f>
        <v>100.41700735895338</v>
      </c>
      <c r="T26" s="23">
        <f>4000-4000</f>
        <v>0</v>
      </c>
      <c r="U26" s="23">
        <v>321.3</v>
      </c>
      <c r="V26" s="24"/>
      <c r="W26" s="23">
        <f>3300-3300</f>
        <v>0</v>
      </c>
      <c r="X26" s="23">
        <v>460.6</v>
      </c>
      <c r="Y26" s="24"/>
      <c r="Z26" s="23">
        <v>2200</v>
      </c>
      <c r="AA26" s="23">
        <v>955</v>
      </c>
      <c r="AB26" s="24">
        <f>AA26/Z26*100</f>
        <v>43.409090909090907</v>
      </c>
      <c r="AC26" s="23">
        <f>1650-1432</f>
        <v>218</v>
      </c>
      <c r="AD26" s="23">
        <v>843.9</v>
      </c>
      <c r="AE26" s="24">
        <f>AD26/AC26*100</f>
        <v>387.11009174311926</v>
      </c>
      <c r="AF26" s="23">
        <f>1900+8404-4765-5539</f>
        <v>0</v>
      </c>
      <c r="AG26" s="23">
        <v>853.2</v>
      </c>
      <c r="AH26" s="24"/>
      <c r="AI26" s="23">
        <f>3000-1000</f>
        <v>2000</v>
      </c>
      <c r="AJ26" s="23"/>
      <c r="AK26" s="24">
        <f>AJ26/AI26*100</f>
        <v>0</v>
      </c>
      <c r="AL26" s="23">
        <f>4200-1200</f>
        <v>3000</v>
      </c>
      <c r="AM26" s="23"/>
      <c r="AN26" s="24">
        <f>AM26/AL26*100</f>
        <v>0</v>
      </c>
      <c r="AO26" s="23">
        <f>8400-5399</f>
        <v>3001</v>
      </c>
      <c r="AP26" s="23"/>
      <c r="AQ26" s="21">
        <f t="shared" si="8"/>
        <v>0</v>
      </c>
      <c r="AR26" s="83" t="s">
        <v>166</v>
      </c>
      <c r="AS26" s="83" t="s">
        <v>138</v>
      </c>
    </row>
    <row r="27" spans="1:45">
      <c r="A27" s="90"/>
      <c r="B27" s="90"/>
      <c r="C27" s="90"/>
      <c r="D27" s="35" t="s">
        <v>49</v>
      </c>
      <c r="E27" s="23">
        <f t="shared" si="1"/>
        <v>0</v>
      </c>
      <c r="F27" s="23">
        <f t="shared" si="1"/>
        <v>0</v>
      </c>
      <c r="G27" s="24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4"/>
      <c r="T27" s="23"/>
      <c r="U27" s="23"/>
      <c r="V27" s="24"/>
      <c r="W27" s="23"/>
      <c r="X27" s="23"/>
      <c r="Y27" s="24"/>
      <c r="Z27" s="23"/>
      <c r="AA27" s="23"/>
      <c r="AB27" s="24"/>
      <c r="AC27" s="23"/>
      <c r="AD27" s="23"/>
      <c r="AE27" s="23"/>
      <c r="AF27" s="23"/>
      <c r="AG27" s="23"/>
      <c r="AH27" s="24"/>
      <c r="AI27" s="23"/>
      <c r="AJ27" s="23"/>
      <c r="AK27" s="23"/>
      <c r="AL27" s="23"/>
      <c r="AM27" s="23"/>
      <c r="AN27" s="24"/>
      <c r="AO27" s="23"/>
      <c r="AP27" s="23"/>
      <c r="AQ27" s="23"/>
      <c r="AR27" s="33"/>
      <c r="AS27" s="33"/>
    </row>
    <row r="28" spans="1:45">
      <c r="A28" s="90"/>
      <c r="B28" s="90"/>
      <c r="C28" s="90"/>
      <c r="D28" s="35" t="s">
        <v>24</v>
      </c>
      <c r="E28" s="23">
        <f t="shared" si="1"/>
        <v>0</v>
      </c>
      <c r="F28" s="23">
        <f t="shared" si="1"/>
        <v>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33"/>
      <c r="AS28" s="33"/>
    </row>
    <row r="29" spans="1:45" ht="12" customHeight="1">
      <c r="A29" s="121" t="s">
        <v>8</v>
      </c>
      <c r="B29" s="121"/>
      <c r="C29" s="121"/>
      <c r="D29" s="36" t="s">
        <v>4</v>
      </c>
      <c r="E29" s="37">
        <f t="shared" ref="E29:F33" si="9">H29+K29+N29+Q29+T29+W29+Z29+AC29+AF29+AI29+AL29+AO29</f>
        <v>718554.10000000009</v>
      </c>
      <c r="F29" s="37">
        <f t="shared" si="9"/>
        <v>486856.8</v>
      </c>
      <c r="G29" s="25">
        <f>F29/E29*100</f>
        <v>67.755065345810422</v>
      </c>
      <c r="H29" s="37">
        <f>H31+H30+H32+H33</f>
        <v>16695.5</v>
      </c>
      <c r="I29" s="37">
        <f>I31+I30+I32+I33</f>
        <v>16695.5</v>
      </c>
      <c r="J29" s="25">
        <f>I29/H29*100</f>
        <v>100</v>
      </c>
      <c r="K29" s="37">
        <f t="shared" ref="K29:AO29" si="10">K31+K30+K32+K33</f>
        <v>56727.5</v>
      </c>
      <c r="L29" s="37">
        <f t="shared" si="10"/>
        <v>55712.1</v>
      </c>
      <c r="M29" s="25">
        <f>L29/K29*100</f>
        <v>98.210039222599264</v>
      </c>
      <c r="N29" s="37">
        <f t="shared" si="10"/>
        <v>52570.1</v>
      </c>
      <c r="O29" s="37">
        <f t="shared" si="10"/>
        <v>51816.7</v>
      </c>
      <c r="P29" s="25">
        <f>O29/N29*100</f>
        <v>98.566865956123337</v>
      </c>
      <c r="Q29" s="37">
        <f t="shared" si="10"/>
        <v>64363.100000000006</v>
      </c>
      <c r="R29" s="37">
        <f t="shared" si="10"/>
        <v>65880.3</v>
      </c>
      <c r="S29" s="25">
        <f>R29/Q29*100</f>
        <v>102.35725128217877</v>
      </c>
      <c r="T29" s="37">
        <f t="shared" si="10"/>
        <v>80500.7</v>
      </c>
      <c r="U29" s="37">
        <f t="shared" si="10"/>
        <v>80012</v>
      </c>
      <c r="V29" s="25">
        <f>U29/T29*100</f>
        <v>99.392924533575496</v>
      </c>
      <c r="W29" s="37">
        <f t="shared" si="10"/>
        <v>77625.399999999994</v>
      </c>
      <c r="X29" s="37">
        <f t="shared" si="10"/>
        <v>77389</v>
      </c>
      <c r="Y29" s="25">
        <f>X29/W29*100</f>
        <v>99.695460506483712</v>
      </c>
      <c r="Z29" s="37">
        <f t="shared" si="10"/>
        <v>67226.7</v>
      </c>
      <c r="AA29" s="37">
        <f t="shared" si="10"/>
        <v>65481.700000000004</v>
      </c>
      <c r="AB29" s="25">
        <f>AA29/Z29*100</f>
        <v>97.404305134715827</v>
      </c>
      <c r="AC29" s="37">
        <f t="shared" si="10"/>
        <v>40196.699999999997</v>
      </c>
      <c r="AD29" s="37">
        <f t="shared" si="10"/>
        <v>38680.6</v>
      </c>
      <c r="AE29" s="25">
        <f>AD29/AC29*100</f>
        <v>96.228297347792235</v>
      </c>
      <c r="AF29" s="37">
        <f t="shared" si="10"/>
        <v>31693.7</v>
      </c>
      <c r="AG29" s="37">
        <f t="shared" si="10"/>
        <v>35188.900000000009</v>
      </c>
      <c r="AH29" s="25">
        <f>AG29/AF29*100</f>
        <v>111.02805920419519</v>
      </c>
      <c r="AI29" s="37">
        <f t="shared" si="10"/>
        <v>70045.3</v>
      </c>
      <c r="AJ29" s="37">
        <f t="shared" si="10"/>
        <v>0</v>
      </c>
      <c r="AK29" s="25">
        <f>AJ29/AI29*100</f>
        <v>0</v>
      </c>
      <c r="AL29" s="37">
        <f t="shared" si="10"/>
        <v>59369.7</v>
      </c>
      <c r="AM29" s="37">
        <f t="shared" si="10"/>
        <v>0</v>
      </c>
      <c r="AN29" s="25">
        <f>AM29/AL29*100</f>
        <v>0</v>
      </c>
      <c r="AO29" s="37">
        <f t="shared" si="10"/>
        <v>101539.70000000001</v>
      </c>
      <c r="AP29" s="37"/>
      <c r="AQ29" s="22">
        <f t="shared" ref="AQ29:AQ32" si="11">AP29/AO29</f>
        <v>0</v>
      </c>
      <c r="AR29" s="33"/>
      <c r="AS29" s="33"/>
    </row>
    <row r="30" spans="1:45" ht="13.5" customHeight="1">
      <c r="A30" s="121"/>
      <c r="B30" s="121"/>
      <c r="C30" s="121"/>
      <c r="D30" s="36" t="s">
        <v>23</v>
      </c>
      <c r="E30" s="37">
        <f t="shared" si="9"/>
        <v>0</v>
      </c>
      <c r="F30" s="37">
        <f t="shared" si="9"/>
        <v>0</v>
      </c>
      <c r="G30" s="22"/>
      <c r="H30" s="37">
        <f t="shared" ref="H30:I33" si="12">H10+H15+H20+H25</f>
        <v>0</v>
      </c>
      <c r="I30" s="37">
        <f t="shared" si="12"/>
        <v>0</v>
      </c>
      <c r="J30" s="22"/>
      <c r="K30" s="37">
        <f t="shared" ref="K30:AO33" si="13">K10+K15+K20+K25</f>
        <v>0</v>
      </c>
      <c r="L30" s="37">
        <f t="shared" si="13"/>
        <v>0</v>
      </c>
      <c r="M30" s="22"/>
      <c r="N30" s="37">
        <f t="shared" si="13"/>
        <v>0</v>
      </c>
      <c r="O30" s="37">
        <f t="shared" si="13"/>
        <v>0</v>
      </c>
      <c r="P30" s="22"/>
      <c r="Q30" s="37">
        <f t="shared" si="13"/>
        <v>0</v>
      </c>
      <c r="R30" s="37">
        <f t="shared" si="13"/>
        <v>0</v>
      </c>
      <c r="S30" s="22"/>
      <c r="T30" s="37">
        <f t="shared" si="13"/>
        <v>0</v>
      </c>
      <c r="U30" s="37">
        <f t="shared" si="13"/>
        <v>0</v>
      </c>
      <c r="V30" s="22"/>
      <c r="W30" s="37">
        <f t="shared" si="13"/>
        <v>0</v>
      </c>
      <c r="X30" s="37">
        <f t="shared" si="13"/>
        <v>0</v>
      </c>
      <c r="Y30" s="22"/>
      <c r="Z30" s="37">
        <f t="shared" si="13"/>
        <v>0</v>
      </c>
      <c r="AA30" s="37">
        <f t="shared" si="13"/>
        <v>0</v>
      </c>
      <c r="AB30" s="22"/>
      <c r="AC30" s="37">
        <f t="shared" si="13"/>
        <v>0</v>
      </c>
      <c r="AD30" s="37">
        <f t="shared" si="13"/>
        <v>0</v>
      </c>
      <c r="AE30" s="22"/>
      <c r="AF30" s="37">
        <f t="shared" si="13"/>
        <v>0</v>
      </c>
      <c r="AG30" s="37">
        <f t="shared" si="13"/>
        <v>0</v>
      </c>
      <c r="AH30" s="22"/>
      <c r="AI30" s="37">
        <f t="shared" si="13"/>
        <v>0</v>
      </c>
      <c r="AJ30" s="37">
        <f t="shared" si="13"/>
        <v>0</v>
      </c>
      <c r="AK30" s="22"/>
      <c r="AL30" s="37">
        <f t="shared" si="13"/>
        <v>0</v>
      </c>
      <c r="AM30" s="37">
        <f t="shared" si="13"/>
        <v>0</v>
      </c>
      <c r="AN30" s="22"/>
      <c r="AO30" s="37">
        <f t="shared" si="13"/>
        <v>0</v>
      </c>
      <c r="AP30" s="23"/>
      <c r="AQ30" s="22"/>
      <c r="AR30" s="33"/>
      <c r="AS30" s="33"/>
    </row>
    <row r="31" spans="1:45" ht="23.25" customHeight="1">
      <c r="A31" s="121"/>
      <c r="B31" s="121"/>
      <c r="C31" s="121"/>
      <c r="D31" s="36" t="s">
        <v>5</v>
      </c>
      <c r="E31" s="37">
        <f t="shared" si="9"/>
        <v>599174.80000000005</v>
      </c>
      <c r="F31" s="37">
        <f t="shared" si="9"/>
        <v>412781.8</v>
      </c>
      <c r="G31" s="25">
        <f>F31/E31*100</f>
        <v>68.891715739714016</v>
      </c>
      <c r="H31" s="37">
        <f t="shared" si="12"/>
        <v>14401</v>
      </c>
      <c r="I31" s="37">
        <f t="shared" si="12"/>
        <v>14401</v>
      </c>
      <c r="J31" s="25">
        <f>I31/H31*100</f>
        <v>100</v>
      </c>
      <c r="K31" s="37">
        <f t="shared" si="13"/>
        <v>45870</v>
      </c>
      <c r="L31" s="37">
        <f t="shared" si="13"/>
        <v>44854.6</v>
      </c>
      <c r="M31" s="25">
        <f>L31/K31*100</f>
        <v>97.78635273599302</v>
      </c>
      <c r="N31" s="37">
        <f t="shared" si="13"/>
        <v>43030</v>
      </c>
      <c r="O31" s="37">
        <f t="shared" si="13"/>
        <v>42276.6</v>
      </c>
      <c r="P31" s="25">
        <f>O31/N31*100</f>
        <v>98.249128514989536</v>
      </c>
      <c r="Q31" s="37">
        <f t="shared" si="13"/>
        <v>52380.9</v>
      </c>
      <c r="R31" s="37">
        <f t="shared" si="13"/>
        <v>52391.1</v>
      </c>
      <c r="S31" s="25">
        <f>R31/Q31*100</f>
        <v>100.01947274674548</v>
      </c>
      <c r="T31" s="37">
        <f t="shared" si="13"/>
        <v>69285</v>
      </c>
      <c r="U31" s="37">
        <f t="shared" si="13"/>
        <v>69606.3</v>
      </c>
      <c r="V31" s="25">
        <f>U31/T31*100</f>
        <v>100.46373673955402</v>
      </c>
      <c r="W31" s="37">
        <f t="shared" si="13"/>
        <v>71612</v>
      </c>
      <c r="X31" s="37">
        <f t="shared" si="13"/>
        <v>72072.600000000006</v>
      </c>
      <c r="Y31" s="25">
        <f>X31/W31*100</f>
        <v>100.64318829246497</v>
      </c>
      <c r="Z31" s="37">
        <f t="shared" si="13"/>
        <v>54962.8</v>
      </c>
      <c r="AA31" s="37">
        <f t="shared" si="13"/>
        <v>53217.8</v>
      </c>
      <c r="AB31" s="25">
        <f>AA31/Z31*100</f>
        <v>96.825125357514537</v>
      </c>
      <c r="AC31" s="37">
        <f t="shared" si="13"/>
        <v>32114</v>
      </c>
      <c r="AD31" s="37">
        <f t="shared" si="13"/>
        <v>32739.9</v>
      </c>
      <c r="AE31" s="25">
        <f>AD31/AC31*100</f>
        <v>101.94899420813353</v>
      </c>
      <c r="AF31" s="37">
        <f t="shared" si="13"/>
        <v>29868.7</v>
      </c>
      <c r="AG31" s="37">
        <f t="shared" si="13"/>
        <v>31221.900000000012</v>
      </c>
      <c r="AH31" s="25">
        <f>AG31/AF31*100</f>
        <v>104.53049513370188</v>
      </c>
      <c r="AI31" s="37">
        <f t="shared" si="13"/>
        <v>58149.8</v>
      </c>
      <c r="AJ31" s="37">
        <f t="shared" si="13"/>
        <v>0</v>
      </c>
      <c r="AK31" s="25">
        <f>AJ31/AI31*100</f>
        <v>0</v>
      </c>
      <c r="AL31" s="37">
        <f t="shared" si="13"/>
        <v>43714</v>
      </c>
      <c r="AM31" s="37">
        <f t="shared" si="13"/>
        <v>0</v>
      </c>
      <c r="AN31" s="25">
        <f>AM31/AL31*100</f>
        <v>0</v>
      </c>
      <c r="AO31" s="37">
        <f t="shared" si="13"/>
        <v>83786.600000000006</v>
      </c>
      <c r="AP31" s="23"/>
      <c r="AQ31" s="22">
        <f t="shared" si="11"/>
        <v>0</v>
      </c>
      <c r="AR31" s="33"/>
      <c r="AS31" s="33"/>
    </row>
    <row r="32" spans="1:45" ht="13.5" customHeight="1">
      <c r="A32" s="121"/>
      <c r="B32" s="121"/>
      <c r="C32" s="121"/>
      <c r="D32" s="36" t="s">
        <v>49</v>
      </c>
      <c r="E32" s="37">
        <f t="shared" si="9"/>
        <v>119379.29999999999</v>
      </c>
      <c r="F32" s="37">
        <f t="shared" si="9"/>
        <v>74075</v>
      </c>
      <c r="G32" s="25">
        <f>F32/E32*100</f>
        <v>62.050120917110426</v>
      </c>
      <c r="H32" s="37">
        <f t="shared" si="12"/>
        <v>2294.5</v>
      </c>
      <c r="I32" s="37">
        <f t="shared" si="12"/>
        <v>2294.5</v>
      </c>
      <c r="J32" s="25">
        <f>I32/H32*100</f>
        <v>100</v>
      </c>
      <c r="K32" s="37">
        <f t="shared" si="13"/>
        <v>10857.5</v>
      </c>
      <c r="L32" s="37">
        <f t="shared" si="13"/>
        <v>10857.5</v>
      </c>
      <c r="M32" s="25">
        <f>L32/K32*100</f>
        <v>100</v>
      </c>
      <c r="N32" s="37">
        <f t="shared" si="13"/>
        <v>9540.1</v>
      </c>
      <c r="O32" s="37">
        <f t="shared" si="13"/>
        <v>9540.1</v>
      </c>
      <c r="P32" s="25">
        <f>O32/N32*100</f>
        <v>100</v>
      </c>
      <c r="Q32" s="37">
        <f t="shared" si="13"/>
        <v>11982.2</v>
      </c>
      <c r="R32" s="37">
        <f t="shared" si="13"/>
        <v>13489.2</v>
      </c>
      <c r="S32" s="25">
        <f>R32/Q32*100</f>
        <v>112.57698920064763</v>
      </c>
      <c r="T32" s="37">
        <f t="shared" si="13"/>
        <v>11215.7</v>
      </c>
      <c r="U32" s="37">
        <f t="shared" si="13"/>
        <v>10405.699999999997</v>
      </c>
      <c r="V32" s="25">
        <f>U32/T32*100</f>
        <v>92.777980866107299</v>
      </c>
      <c r="W32" s="37">
        <f t="shared" si="13"/>
        <v>6013.4</v>
      </c>
      <c r="X32" s="37">
        <f t="shared" si="13"/>
        <v>5316.4</v>
      </c>
      <c r="Y32" s="25">
        <f>X32/W32*100</f>
        <v>88.40921940998436</v>
      </c>
      <c r="Z32" s="37">
        <f t="shared" si="13"/>
        <v>12263.9</v>
      </c>
      <c r="AA32" s="37">
        <f t="shared" si="13"/>
        <v>12263.9</v>
      </c>
      <c r="AB32" s="25">
        <f>AA32/Z32*100</f>
        <v>100</v>
      </c>
      <c r="AC32" s="37">
        <f t="shared" si="13"/>
        <v>8082.7</v>
      </c>
      <c r="AD32" s="37">
        <f t="shared" si="13"/>
        <v>5940.7</v>
      </c>
      <c r="AE32" s="25">
        <f>AD32/AC32*100</f>
        <v>73.498954557264284</v>
      </c>
      <c r="AF32" s="37">
        <f t="shared" si="13"/>
        <v>1825</v>
      </c>
      <c r="AG32" s="37">
        <f t="shared" si="13"/>
        <v>3967</v>
      </c>
      <c r="AH32" s="25">
        <f>AG32/AF32*100</f>
        <v>217.36986301369865</v>
      </c>
      <c r="AI32" s="37">
        <f t="shared" si="13"/>
        <v>11895.5</v>
      </c>
      <c r="AJ32" s="37">
        <f t="shared" si="13"/>
        <v>0</v>
      </c>
      <c r="AK32" s="25">
        <f>AJ32/AI32*100</f>
        <v>0</v>
      </c>
      <c r="AL32" s="37">
        <f t="shared" si="13"/>
        <v>15655.7</v>
      </c>
      <c r="AM32" s="37">
        <f t="shared" si="13"/>
        <v>0</v>
      </c>
      <c r="AN32" s="25">
        <f>AM32/AL32*100</f>
        <v>0</v>
      </c>
      <c r="AO32" s="37">
        <f t="shared" si="13"/>
        <v>17753.099999999999</v>
      </c>
      <c r="AP32" s="23"/>
      <c r="AQ32" s="22">
        <f t="shared" si="11"/>
        <v>0</v>
      </c>
      <c r="AR32" s="33"/>
      <c r="AS32" s="33"/>
    </row>
    <row r="33" spans="1:45">
      <c r="A33" s="121"/>
      <c r="B33" s="121"/>
      <c r="C33" s="121"/>
      <c r="D33" s="36" t="s">
        <v>24</v>
      </c>
      <c r="E33" s="37">
        <f t="shared" si="9"/>
        <v>0</v>
      </c>
      <c r="F33" s="37">
        <f t="shared" si="9"/>
        <v>0</v>
      </c>
      <c r="G33" s="22"/>
      <c r="H33" s="37">
        <f t="shared" si="12"/>
        <v>0</v>
      </c>
      <c r="I33" s="37">
        <f t="shared" si="12"/>
        <v>0</v>
      </c>
      <c r="J33" s="37"/>
      <c r="K33" s="37">
        <f t="shared" si="13"/>
        <v>0</v>
      </c>
      <c r="L33" s="37">
        <f t="shared" si="13"/>
        <v>0</v>
      </c>
      <c r="M33" s="37"/>
      <c r="N33" s="37">
        <f t="shared" si="13"/>
        <v>0</v>
      </c>
      <c r="O33" s="37">
        <f t="shared" si="13"/>
        <v>0</v>
      </c>
      <c r="P33" s="37"/>
      <c r="Q33" s="37">
        <f t="shared" si="13"/>
        <v>0</v>
      </c>
      <c r="R33" s="37">
        <f t="shared" si="13"/>
        <v>0</v>
      </c>
      <c r="S33" s="37"/>
      <c r="T33" s="37">
        <f t="shared" si="13"/>
        <v>0</v>
      </c>
      <c r="U33" s="37">
        <f t="shared" si="13"/>
        <v>0</v>
      </c>
      <c r="V33" s="37"/>
      <c r="W33" s="37">
        <f t="shared" si="13"/>
        <v>0</v>
      </c>
      <c r="X33" s="37">
        <f t="shared" si="13"/>
        <v>0</v>
      </c>
      <c r="Y33" s="37"/>
      <c r="Z33" s="37">
        <f t="shared" si="13"/>
        <v>0</v>
      </c>
      <c r="AA33" s="37">
        <f t="shared" si="13"/>
        <v>0</v>
      </c>
      <c r="AB33" s="37"/>
      <c r="AC33" s="37">
        <f t="shared" si="13"/>
        <v>0</v>
      </c>
      <c r="AD33" s="37">
        <f t="shared" si="13"/>
        <v>0</v>
      </c>
      <c r="AE33" s="37"/>
      <c r="AF33" s="37">
        <f t="shared" si="13"/>
        <v>0</v>
      </c>
      <c r="AG33" s="37"/>
      <c r="AH33" s="37"/>
      <c r="AI33" s="37">
        <f t="shared" si="13"/>
        <v>0</v>
      </c>
      <c r="AJ33" s="37"/>
      <c r="AK33" s="37"/>
      <c r="AL33" s="37">
        <f t="shared" si="13"/>
        <v>0</v>
      </c>
      <c r="AM33" s="37"/>
      <c r="AN33" s="37"/>
      <c r="AO33" s="37">
        <f t="shared" si="13"/>
        <v>0</v>
      </c>
      <c r="AP33" s="23"/>
      <c r="AQ33" s="23"/>
      <c r="AR33" s="33"/>
      <c r="AS33" s="33"/>
    </row>
    <row r="34" spans="1:45" ht="15.75">
      <c r="A34" s="83" t="s">
        <v>52</v>
      </c>
      <c r="B34" s="34" t="s">
        <v>9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3"/>
      <c r="AS34" s="33"/>
    </row>
    <row r="35" spans="1:45" ht="15.75" customHeight="1">
      <c r="A35" s="90" t="s">
        <v>51</v>
      </c>
      <c r="B35" s="90" t="s">
        <v>91</v>
      </c>
      <c r="C35" s="90" t="s">
        <v>7</v>
      </c>
      <c r="D35" s="35" t="s">
        <v>4</v>
      </c>
      <c r="E35" s="23">
        <f t="shared" ref="E35:F51" si="14">H35+K35+N35+Q35+T35+W35+Z35+AC35+AF35+AI35+AL35+AO35</f>
        <v>0</v>
      </c>
      <c r="F35" s="23">
        <f t="shared" si="14"/>
        <v>0</v>
      </c>
      <c r="G35" s="23"/>
      <c r="H35" s="23">
        <f>H36+H37+H38+H39</f>
        <v>0</v>
      </c>
      <c r="I35" s="23"/>
      <c r="J35" s="23"/>
      <c r="K35" s="23">
        <f t="shared" ref="K35:AO35" si="15">K36+K37+K38+K39</f>
        <v>0</v>
      </c>
      <c r="L35" s="23"/>
      <c r="M35" s="23"/>
      <c r="N35" s="23">
        <f t="shared" si="15"/>
        <v>0</v>
      </c>
      <c r="O35" s="23"/>
      <c r="P35" s="23"/>
      <c r="Q35" s="23">
        <f t="shared" si="15"/>
        <v>0</v>
      </c>
      <c r="R35" s="23"/>
      <c r="S35" s="23"/>
      <c r="T35" s="23">
        <f t="shared" si="15"/>
        <v>0</v>
      </c>
      <c r="U35" s="23"/>
      <c r="V35" s="23"/>
      <c r="W35" s="23">
        <f t="shared" si="15"/>
        <v>0</v>
      </c>
      <c r="X35" s="23"/>
      <c r="Y35" s="23"/>
      <c r="Z35" s="23">
        <f t="shared" si="15"/>
        <v>0</v>
      </c>
      <c r="AA35" s="23"/>
      <c r="AB35" s="23"/>
      <c r="AC35" s="23">
        <f t="shared" si="15"/>
        <v>0</v>
      </c>
      <c r="AD35" s="23">
        <f t="shared" si="15"/>
        <v>0</v>
      </c>
      <c r="AE35" s="23"/>
      <c r="AF35" s="23">
        <f t="shared" si="15"/>
        <v>0</v>
      </c>
      <c r="AG35" s="23"/>
      <c r="AH35" s="23"/>
      <c r="AI35" s="23">
        <f t="shared" si="15"/>
        <v>0</v>
      </c>
      <c r="AJ35" s="23"/>
      <c r="AK35" s="23"/>
      <c r="AL35" s="23">
        <f t="shared" si="15"/>
        <v>0</v>
      </c>
      <c r="AM35" s="23"/>
      <c r="AN35" s="23"/>
      <c r="AO35" s="23">
        <f t="shared" si="15"/>
        <v>0</v>
      </c>
      <c r="AP35" s="23"/>
      <c r="AQ35" s="23"/>
      <c r="AR35" s="33"/>
      <c r="AS35" s="33"/>
    </row>
    <row r="36" spans="1:45">
      <c r="A36" s="90"/>
      <c r="B36" s="90"/>
      <c r="C36" s="90"/>
      <c r="D36" s="35" t="s">
        <v>23</v>
      </c>
      <c r="E36" s="23">
        <f t="shared" si="14"/>
        <v>0</v>
      </c>
      <c r="F36" s="23">
        <f t="shared" si="14"/>
        <v>0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33"/>
      <c r="AS36" s="33"/>
    </row>
    <row r="37" spans="1:45" ht="24">
      <c r="A37" s="90"/>
      <c r="B37" s="90"/>
      <c r="C37" s="90"/>
      <c r="D37" s="35" t="s">
        <v>5</v>
      </c>
      <c r="E37" s="23">
        <f t="shared" si="14"/>
        <v>0</v>
      </c>
      <c r="F37" s="23">
        <f t="shared" si="14"/>
        <v>0</v>
      </c>
      <c r="G37" s="2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3"/>
      <c r="AS37" s="33"/>
    </row>
    <row r="38" spans="1:45">
      <c r="A38" s="90"/>
      <c r="B38" s="90"/>
      <c r="C38" s="90"/>
      <c r="D38" s="35" t="s">
        <v>49</v>
      </c>
      <c r="E38" s="23">
        <f t="shared" si="14"/>
        <v>0</v>
      </c>
      <c r="F38" s="23">
        <f t="shared" si="14"/>
        <v>0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33"/>
      <c r="AS38" s="33"/>
    </row>
    <row r="39" spans="1:45">
      <c r="A39" s="90"/>
      <c r="B39" s="90"/>
      <c r="C39" s="90"/>
      <c r="D39" s="35" t="s">
        <v>24</v>
      </c>
      <c r="E39" s="23">
        <f t="shared" si="14"/>
        <v>0</v>
      </c>
      <c r="F39" s="23">
        <f t="shared" si="14"/>
        <v>0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33"/>
      <c r="AS39" s="33"/>
    </row>
    <row r="40" spans="1:45" ht="15.75" customHeight="1">
      <c r="A40" s="107" t="s">
        <v>53</v>
      </c>
      <c r="B40" s="107" t="s">
        <v>92</v>
      </c>
      <c r="C40" s="107" t="s">
        <v>130</v>
      </c>
      <c r="D40" s="35" t="s">
        <v>4</v>
      </c>
      <c r="E40" s="23">
        <f>H40+K40+N40+Q40+T40+W40+Z40+AC40+AF40+AI40+AL40+AO40</f>
        <v>63752.700000000004</v>
      </c>
      <c r="F40" s="23">
        <f>I40+L40+O40+R40+U40+X40+AA40+AD40+AG40+AJ40+AM40+AP40</f>
        <v>16536.399999999998</v>
      </c>
      <c r="G40" s="24">
        <f>F40/E40*100</f>
        <v>25.938352414878107</v>
      </c>
      <c r="H40" s="23">
        <f>H41+H42+H43+H44</f>
        <v>0</v>
      </c>
      <c r="I40" s="23"/>
      <c r="J40" s="23"/>
      <c r="K40" s="23">
        <f t="shared" ref="K40:AO40" si="16">K41+K42+K43+K44</f>
        <v>0</v>
      </c>
      <c r="L40" s="23"/>
      <c r="M40" s="23"/>
      <c r="N40" s="23">
        <f t="shared" si="16"/>
        <v>46.3</v>
      </c>
      <c r="O40" s="23">
        <f t="shared" si="16"/>
        <v>0</v>
      </c>
      <c r="P40" s="24">
        <f>O40/N40*100</f>
        <v>0</v>
      </c>
      <c r="Q40" s="23">
        <f t="shared" si="16"/>
        <v>0</v>
      </c>
      <c r="R40" s="23">
        <f t="shared" si="16"/>
        <v>46.3</v>
      </c>
      <c r="S40" s="23"/>
      <c r="T40" s="23">
        <f t="shared" si="16"/>
        <v>0</v>
      </c>
      <c r="U40" s="23"/>
      <c r="V40" s="23"/>
      <c r="W40" s="23">
        <f t="shared" si="16"/>
        <v>0</v>
      </c>
      <c r="X40" s="23">
        <f t="shared" si="16"/>
        <v>0</v>
      </c>
      <c r="Y40" s="23"/>
      <c r="Z40" s="23">
        <f t="shared" si="16"/>
        <v>0</v>
      </c>
      <c r="AA40" s="23"/>
      <c r="AB40" s="23"/>
      <c r="AC40" s="23">
        <f t="shared" si="16"/>
        <v>41796.300000000003</v>
      </c>
      <c r="AD40" s="23">
        <f t="shared" si="16"/>
        <v>0</v>
      </c>
      <c r="AE40" s="24">
        <f>AD40/AC40*100</f>
        <v>0</v>
      </c>
      <c r="AF40" s="23">
        <f t="shared" si="16"/>
        <v>19223</v>
      </c>
      <c r="AG40" s="23">
        <f t="shared" si="16"/>
        <v>16490.099999999999</v>
      </c>
      <c r="AH40" s="24">
        <f>AG40/AF40*100</f>
        <v>85.783176403266907</v>
      </c>
      <c r="AI40" s="23">
        <f t="shared" si="16"/>
        <v>2687.1000000000004</v>
      </c>
      <c r="AJ40" s="23"/>
      <c r="AK40" s="23"/>
      <c r="AL40" s="23">
        <f t="shared" si="16"/>
        <v>0</v>
      </c>
      <c r="AM40" s="23"/>
      <c r="AN40" s="23"/>
      <c r="AO40" s="23">
        <f t="shared" si="16"/>
        <v>0</v>
      </c>
      <c r="AP40" s="23"/>
      <c r="AQ40" s="23"/>
      <c r="AR40" s="53"/>
      <c r="AS40" s="53"/>
    </row>
    <row r="41" spans="1:45">
      <c r="A41" s="108"/>
      <c r="B41" s="108"/>
      <c r="C41" s="108"/>
      <c r="D41" s="35" t="s">
        <v>23</v>
      </c>
      <c r="E41" s="23">
        <f t="shared" si="14"/>
        <v>0</v>
      </c>
      <c r="F41" s="23">
        <f t="shared" si="14"/>
        <v>0</v>
      </c>
      <c r="G41" s="21"/>
      <c r="H41" s="23"/>
      <c r="I41" s="23"/>
      <c r="J41" s="23"/>
      <c r="K41" s="23"/>
      <c r="L41" s="23"/>
      <c r="M41" s="23"/>
      <c r="N41" s="23"/>
      <c r="O41" s="23"/>
      <c r="P41" s="21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1"/>
      <c r="AF41" s="23"/>
      <c r="AG41" s="23"/>
      <c r="AH41" s="21"/>
      <c r="AI41" s="23"/>
      <c r="AJ41" s="23"/>
      <c r="AK41" s="23"/>
      <c r="AL41" s="23"/>
      <c r="AM41" s="23"/>
      <c r="AN41" s="23"/>
      <c r="AO41" s="23"/>
      <c r="AP41" s="23"/>
      <c r="AQ41" s="23"/>
      <c r="AR41" s="33"/>
      <c r="AS41" s="33"/>
    </row>
    <row r="42" spans="1:45" ht="24">
      <c r="A42" s="108"/>
      <c r="B42" s="108"/>
      <c r="C42" s="108"/>
      <c r="D42" s="35" t="s">
        <v>5</v>
      </c>
      <c r="E42" s="23">
        <f t="shared" si="14"/>
        <v>0</v>
      </c>
      <c r="F42" s="23">
        <f t="shared" si="14"/>
        <v>0</v>
      </c>
      <c r="G42" s="24"/>
      <c r="H42" s="23"/>
      <c r="I42" s="23"/>
      <c r="J42" s="23"/>
      <c r="K42" s="23"/>
      <c r="L42" s="23"/>
      <c r="M42" s="23"/>
      <c r="N42" s="23"/>
      <c r="O42" s="23"/>
      <c r="P42" s="24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4"/>
      <c r="AF42" s="23"/>
      <c r="AG42" s="23"/>
      <c r="AH42" s="24"/>
      <c r="AI42" s="23"/>
      <c r="AJ42" s="23"/>
      <c r="AK42" s="23"/>
      <c r="AL42" s="23"/>
      <c r="AM42" s="23"/>
      <c r="AN42" s="23"/>
      <c r="AO42" s="23"/>
      <c r="AP42" s="23"/>
      <c r="AQ42" s="23"/>
      <c r="AR42" s="33"/>
      <c r="AS42" s="33"/>
    </row>
    <row r="43" spans="1:45" ht="270.75" customHeight="1">
      <c r="A43" s="108"/>
      <c r="B43" s="108"/>
      <c r="C43" s="108"/>
      <c r="D43" s="35" t="s">
        <v>49</v>
      </c>
      <c r="E43" s="23">
        <f t="shared" si="14"/>
        <v>63752.700000000004</v>
      </c>
      <c r="F43" s="23">
        <f t="shared" si="14"/>
        <v>16536.399999999998</v>
      </c>
      <c r="G43" s="24">
        <f>F43/E43*100</f>
        <v>25.938352414878107</v>
      </c>
      <c r="H43" s="23"/>
      <c r="I43" s="23"/>
      <c r="J43" s="23"/>
      <c r="K43" s="23"/>
      <c r="L43" s="23"/>
      <c r="M43" s="23"/>
      <c r="N43" s="23">
        <f>46.3</f>
        <v>46.3</v>
      </c>
      <c r="O43" s="23">
        <v>0</v>
      </c>
      <c r="P43" s="24">
        <f>O43/N43*100</f>
        <v>0</v>
      </c>
      <c r="Q43" s="23"/>
      <c r="R43" s="23">
        <v>46.3</v>
      </c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>
        <v>41796.300000000003</v>
      </c>
      <c r="AD43" s="23"/>
      <c r="AE43" s="24">
        <f>AD43/AC43*100</f>
        <v>0</v>
      </c>
      <c r="AF43" s="23">
        <f>20293.4-1070.4</f>
        <v>19223</v>
      </c>
      <c r="AG43" s="23">
        <v>16490.099999999999</v>
      </c>
      <c r="AH43" s="24">
        <f>AG43/AF43*100</f>
        <v>85.783176403266907</v>
      </c>
      <c r="AI43" s="23">
        <f>25417.4-1-11520.6+1-11209.7</f>
        <v>2687.1000000000004</v>
      </c>
      <c r="AJ43" s="23"/>
      <c r="AK43" s="23"/>
      <c r="AL43" s="23"/>
      <c r="AM43" s="23"/>
      <c r="AN43" s="23"/>
      <c r="AO43" s="23"/>
      <c r="AP43" s="23"/>
      <c r="AQ43" s="23"/>
      <c r="AR43" s="79" t="s">
        <v>204</v>
      </c>
      <c r="AS43" s="55" t="s">
        <v>203</v>
      </c>
    </row>
    <row r="44" spans="1:45">
      <c r="A44" s="108"/>
      <c r="B44" s="108"/>
      <c r="C44" s="108"/>
      <c r="D44" s="35" t="s">
        <v>24</v>
      </c>
      <c r="E44" s="23">
        <f t="shared" si="14"/>
        <v>0</v>
      </c>
      <c r="F44" s="23">
        <f t="shared" si="14"/>
        <v>0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53"/>
      <c r="AS44" s="53"/>
    </row>
    <row r="45" spans="1:45" ht="96">
      <c r="A45" s="109"/>
      <c r="B45" s="109"/>
      <c r="C45" s="109"/>
      <c r="D45" s="36" t="s">
        <v>137</v>
      </c>
      <c r="E45" s="23"/>
      <c r="F45" s="23">
        <f t="shared" si="14"/>
        <v>6372.6</v>
      </c>
      <c r="G45" s="23"/>
      <c r="H45" s="23"/>
      <c r="I45" s="23"/>
      <c r="J45" s="23"/>
      <c r="K45" s="23"/>
      <c r="L45" s="23"/>
      <c r="M45" s="23"/>
      <c r="N45" s="23"/>
      <c r="O45" s="23">
        <v>4399.2</v>
      </c>
      <c r="P45" s="23"/>
      <c r="Q45" s="23"/>
      <c r="R45" s="23">
        <v>24</v>
      </c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>
        <v>1949.4</v>
      </c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79" t="s">
        <v>202</v>
      </c>
      <c r="AS45" s="79" t="s">
        <v>206</v>
      </c>
    </row>
    <row r="46" spans="1:45" ht="14.25" customHeight="1">
      <c r="A46" s="90" t="s">
        <v>54</v>
      </c>
      <c r="B46" s="90" t="s">
        <v>150</v>
      </c>
      <c r="C46" s="90" t="s">
        <v>131</v>
      </c>
      <c r="D46" s="35" t="s">
        <v>4</v>
      </c>
      <c r="E46" s="23">
        <f t="shared" si="14"/>
        <v>10434.5</v>
      </c>
      <c r="F46" s="23">
        <f t="shared" si="14"/>
        <v>0</v>
      </c>
      <c r="G46" s="23"/>
      <c r="H46" s="23">
        <f>H47+H48+H49+H50</f>
        <v>0</v>
      </c>
      <c r="I46" s="23">
        <f>I47+I48+I49+I50</f>
        <v>0</v>
      </c>
      <c r="J46" s="23"/>
      <c r="K46" s="23">
        <f>K47+K48+K49+K50</f>
        <v>0</v>
      </c>
      <c r="L46" s="23">
        <f>L47+L48+L49+L50</f>
        <v>0</v>
      </c>
      <c r="M46" s="23"/>
      <c r="N46" s="23">
        <f>N47+N48+N49+N50</f>
        <v>0</v>
      </c>
      <c r="O46" s="23">
        <f>O47+O48+O49+O50</f>
        <v>0</v>
      </c>
      <c r="P46" s="23"/>
      <c r="Q46" s="23">
        <f>Q47+Q48+Q49+Q50</f>
        <v>0</v>
      </c>
      <c r="R46" s="23">
        <f>R47+R48+R49+R50</f>
        <v>0</v>
      </c>
      <c r="S46" s="23"/>
      <c r="T46" s="23">
        <f>T47+T48+T49+T50</f>
        <v>0</v>
      </c>
      <c r="U46" s="23">
        <f>U47+U48+U49+U50</f>
        <v>0</v>
      </c>
      <c r="V46" s="23"/>
      <c r="W46" s="23">
        <f>W47+W48+W49+W50</f>
        <v>0</v>
      </c>
      <c r="X46" s="23">
        <f>X47+X48+X49+X50</f>
        <v>0</v>
      </c>
      <c r="Y46" s="23"/>
      <c r="Z46" s="23">
        <f t="shared" ref="Z46:AO46" si="17">Z47+Z48+Z49+Z50</f>
        <v>0</v>
      </c>
      <c r="AA46" s="23"/>
      <c r="AB46" s="23"/>
      <c r="AC46" s="23">
        <f t="shared" si="17"/>
        <v>0</v>
      </c>
      <c r="AD46" s="23"/>
      <c r="AE46" s="23"/>
      <c r="AF46" s="23">
        <f t="shared" si="17"/>
        <v>9485.9</v>
      </c>
      <c r="AG46" s="23">
        <f t="shared" si="17"/>
        <v>0</v>
      </c>
      <c r="AH46" s="23"/>
      <c r="AI46" s="23">
        <f t="shared" si="17"/>
        <v>948.6</v>
      </c>
      <c r="AJ46" s="23"/>
      <c r="AK46" s="23"/>
      <c r="AL46" s="23">
        <f t="shared" si="17"/>
        <v>0</v>
      </c>
      <c r="AM46" s="23"/>
      <c r="AN46" s="23"/>
      <c r="AO46" s="23">
        <f t="shared" si="17"/>
        <v>0</v>
      </c>
      <c r="AP46" s="23"/>
      <c r="AQ46" s="23"/>
      <c r="AR46" s="33"/>
      <c r="AS46" s="33"/>
    </row>
    <row r="47" spans="1:45" ht="13.5" customHeight="1">
      <c r="A47" s="90"/>
      <c r="B47" s="90"/>
      <c r="C47" s="90"/>
      <c r="D47" s="35" t="s">
        <v>23</v>
      </c>
      <c r="E47" s="23">
        <f t="shared" si="14"/>
        <v>0</v>
      </c>
      <c r="F47" s="23">
        <f t="shared" si="14"/>
        <v>0</v>
      </c>
      <c r="G47" s="23"/>
      <c r="H47" s="23">
        <f>H52+H57+H62</f>
        <v>0</v>
      </c>
      <c r="I47" s="23">
        <f>I52+I57+I62</f>
        <v>0</v>
      </c>
      <c r="J47" s="23"/>
      <c r="K47" s="23">
        <f>K52+K57+K62</f>
        <v>0</v>
      </c>
      <c r="L47" s="23">
        <f>L52+L57+L62</f>
        <v>0</v>
      </c>
      <c r="M47" s="23"/>
      <c r="N47" s="23">
        <f>N52+N57+N62</f>
        <v>0</v>
      </c>
      <c r="O47" s="23">
        <f>O52+O57+O62</f>
        <v>0</v>
      </c>
      <c r="P47" s="23"/>
      <c r="Q47" s="23">
        <f>Q52+Q57+Q62</f>
        <v>0</v>
      </c>
      <c r="R47" s="23">
        <f>R52+R57+R62</f>
        <v>0</v>
      </c>
      <c r="S47" s="23"/>
      <c r="T47" s="23">
        <f>T52+T57+T62</f>
        <v>0</v>
      </c>
      <c r="U47" s="23">
        <f>U52+U57+U62</f>
        <v>0</v>
      </c>
      <c r="V47" s="23"/>
      <c r="W47" s="23">
        <f>W52+W57+W62</f>
        <v>0</v>
      </c>
      <c r="X47" s="23">
        <f>X52+X57+X62</f>
        <v>0</v>
      </c>
      <c r="Y47" s="23"/>
      <c r="Z47" s="23">
        <f>Z52+Z57+Z62</f>
        <v>0</v>
      </c>
      <c r="AA47" s="23"/>
      <c r="AB47" s="23"/>
      <c r="AC47" s="23">
        <f>AC52+AC57+AC62</f>
        <v>0</v>
      </c>
      <c r="AD47" s="23"/>
      <c r="AE47" s="23"/>
      <c r="AF47" s="23">
        <f>AF52+AF57+AF62</f>
        <v>0</v>
      </c>
      <c r="AG47" s="23"/>
      <c r="AH47" s="23"/>
      <c r="AI47" s="23">
        <f>AI52+AI57+AI62</f>
        <v>0</v>
      </c>
      <c r="AJ47" s="23"/>
      <c r="AK47" s="23"/>
      <c r="AL47" s="23">
        <f>AL52+AL57+AL62</f>
        <v>0</v>
      </c>
      <c r="AM47" s="23"/>
      <c r="AN47" s="23"/>
      <c r="AO47" s="23">
        <f>AO52+AO57+AO62</f>
        <v>0</v>
      </c>
      <c r="AP47" s="23"/>
      <c r="AQ47" s="23"/>
      <c r="AR47" s="33"/>
      <c r="AS47" s="33"/>
    </row>
    <row r="48" spans="1:45" ht="24">
      <c r="A48" s="90"/>
      <c r="B48" s="90"/>
      <c r="C48" s="90"/>
      <c r="D48" s="35" t="s">
        <v>5</v>
      </c>
      <c r="E48" s="23">
        <f t="shared" si="14"/>
        <v>0</v>
      </c>
      <c r="F48" s="23">
        <f t="shared" si="14"/>
        <v>0</v>
      </c>
      <c r="G48" s="23"/>
      <c r="H48" s="23">
        <f t="shared" ref="H48:I50" si="18">H53+H58+H63</f>
        <v>0</v>
      </c>
      <c r="I48" s="23">
        <f t="shared" si="18"/>
        <v>0</v>
      </c>
      <c r="J48" s="23"/>
      <c r="K48" s="23">
        <f t="shared" ref="K48:L50" si="19">K53+K58+K63</f>
        <v>0</v>
      </c>
      <c r="L48" s="23">
        <f t="shared" si="19"/>
        <v>0</v>
      </c>
      <c r="M48" s="23"/>
      <c r="N48" s="23">
        <f t="shared" ref="N48:O50" si="20">N53+N58+N63</f>
        <v>0</v>
      </c>
      <c r="O48" s="23">
        <f t="shared" si="20"/>
        <v>0</v>
      </c>
      <c r="P48" s="23"/>
      <c r="Q48" s="23">
        <f t="shared" ref="Q48:R50" si="21">Q53+Q58+Q63</f>
        <v>0</v>
      </c>
      <c r="R48" s="23">
        <f t="shared" si="21"/>
        <v>0</v>
      </c>
      <c r="S48" s="23"/>
      <c r="T48" s="23">
        <f t="shared" ref="T48:U50" si="22">T53+T58+T63</f>
        <v>0</v>
      </c>
      <c r="U48" s="23">
        <f t="shared" si="22"/>
        <v>0</v>
      </c>
      <c r="V48" s="23"/>
      <c r="W48" s="23">
        <f t="shared" ref="W48:X50" si="23">W53+W58+W63</f>
        <v>0</v>
      </c>
      <c r="X48" s="23">
        <f t="shared" si="23"/>
        <v>0</v>
      </c>
      <c r="Y48" s="23"/>
      <c r="Z48" s="23">
        <f t="shared" ref="Z48:Z50" si="24">Z53+Z58+Z63</f>
        <v>0</v>
      </c>
      <c r="AA48" s="23"/>
      <c r="AB48" s="23"/>
      <c r="AC48" s="23">
        <f t="shared" ref="AC48:AC50" si="25">AC53+AC58+AC63</f>
        <v>0</v>
      </c>
      <c r="AD48" s="23"/>
      <c r="AE48" s="23"/>
      <c r="AF48" s="23">
        <f t="shared" ref="AF48:AF50" si="26">AF53+AF58+AF63</f>
        <v>0</v>
      </c>
      <c r="AG48" s="23"/>
      <c r="AH48" s="23"/>
      <c r="AI48" s="23">
        <f t="shared" ref="AI48:AI50" si="27">AI53+AI58+AI63</f>
        <v>0</v>
      </c>
      <c r="AJ48" s="23"/>
      <c r="AK48" s="23"/>
      <c r="AL48" s="23">
        <f t="shared" ref="AL48:AL50" si="28">AL53+AL58+AL63</f>
        <v>0</v>
      </c>
      <c r="AM48" s="23"/>
      <c r="AN48" s="23"/>
      <c r="AO48" s="23">
        <f t="shared" ref="AO48:AO50" si="29">AO53+AO58+AO63</f>
        <v>0</v>
      </c>
      <c r="AP48" s="23"/>
      <c r="AQ48" s="23"/>
      <c r="AR48" s="33"/>
      <c r="AS48" s="33"/>
    </row>
    <row r="49" spans="1:45" ht="199.5" customHeight="1">
      <c r="A49" s="90"/>
      <c r="B49" s="90"/>
      <c r="C49" s="90"/>
      <c r="D49" s="35" t="s">
        <v>49</v>
      </c>
      <c r="E49" s="23">
        <f t="shared" si="14"/>
        <v>10434.5</v>
      </c>
      <c r="F49" s="23">
        <f t="shared" si="14"/>
        <v>0</v>
      </c>
      <c r="G49" s="23"/>
      <c r="H49" s="23">
        <f t="shared" si="18"/>
        <v>0</v>
      </c>
      <c r="I49" s="23">
        <f t="shared" si="18"/>
        <v>0</v>
      </c>
      <c r="J49" s="23"/>
      <c r="K49" s="23">
        <f t="shared" si="19"/>
        <v>0</v>
      </c>
      <c r="L49" s="23">
        <f t="shared" si="19"/>
        <v>0</v>
      </c>
      <c r="M49" s="23"/>
      <c r="N49" s="23">
        <f t="shared" si="20"/>
        <v>0</v>
      </c>
      <c r="O49" s="23">
        <f t="shared" si="20"/>
        <v>0</v>
      </c>
      <c r="P49" s="23"/>
      <c r="Q49" s="23">
        <f t="shared" si="21"/>
        <v>0</v>
      </c>
      <c r="R49" s="23">
        <f t="shared" si="21"/>
        <v>0</v>
      </c>
      <c r="S49" s="23"/>
      <c r="T49" s="23">
        <f t="shared" si="22"/>
        <v>0</v>
      </c>
      <c r="U49" s="23">
        <f t="shared" si="22"/>
        <v>0</v>
      </c>
      <c r="V49" s="23"/>
      <c r="W49" s="23">
        <f t="shared" si="23"/>
        <v>0</v>
      </c>
      <c r="X49" s="23">
        <f t="shared" si="23"/>
        <v>0</v>
      </c>
      <c r="Y49" s="23"/>
      <c r="Z49" s="23">
        <f t="shared" si="24"/>
        <v>0</v>
      </c>
      <c r="AA49" s="23"/>
      <c r="AB49" s="23"/>
      <c r="AC49" s="23">
        <f t="shared" si="25"/>
        <v>0</v>
      </c>
      <c r="AD49" s="23"/>
      <c r="AE49" s="23"/>
      <c r="AF49" s="23">
        <f>AF54+AF59+AF64</f>
        <v>9485.9</v>
      </c>
      <c r="AG49" s="23">
        <v>0</v>
      </c>
      <c r="AH49" s="23"/>
      <c r="AI49" s="23">
        <f t="shared" si="27"/>
        <v>948.6</v>
      </c>
      <c r="AJ49" s="23"/>
      <c r="AK49" s="23"/>
      <c r="AL49" s="23">
        <f t="shared" si="28"/>
        <v>0</v>
      </c>
      <c r="AM49" s="23"/>
      <c r="AN49" s="23"/>
      <c r="AO49" s="23">
        <f t="shared" si="29"/>
        <v>0</v>
      </c>
      <c r="AP49" s="23"/>
      <c r="AQ49" s="23"/>
      <c r="AR49" s="83" t="s">
        <v>201</v>
      </c>
      <c r="AS49" s="83" t="s">
        <v>200</v>
      </c>
    </row>
    <row r="50" spans="1:45">
      <c r="A50" s="90"/>
      <c r="B50" s="90"/>
      <c r="C50" s="90"/>
      <c r="D50" s="35" t="s">
        <v>24</v>
      </c>
      <c r="E50" s="23">
        <f t="shared" si="14"/>
        <v>0</v>
      </c>
      <c r="F50" s="23">
        <f t="shared" si="14"/>
        <v>0</v>
      </c>
      <c r="G50" s="23"/>
      <c r="H50" s="23">
        <f t="shared" si="18"/>
        <v>0</v>
      </c>
      <c r="I50" s="23">
        <f t="shared" si="18"/>
        <v>0</v>
      </c>
      <c r="J50" s="23"/>
      <c r="K50" s="23">
        <f t="shared" si="19"/>
        <v>0</v>
      </c>
      <c r="L50" s="23">
        <f t="shared" si="19"/>
        <v>0</v>
      </c>
      <c r="M50" s="23"/>
      <c r="N50" s="23">
        <f t="shared" si="20"/>
        <v>0</v>
      </c>
      <c r="O50" s="23">
        <f t="shared" si="20"/>
        <v>0</v>
      </c>
      <c r="P50" s="23"/>
      <c r="Q50" s="23">
        <f t="shared" si="21"/>
        <v>0</v>
      </c>
      <c r="R50" s="23">
        <f t="shared" si="21"/>
        <v>0</v>
      </c>
      <c r="S50" s="23"/>
      <c r="T50" s="23">
        <f t="shared" si="22"/>
        <v>0</v>
      </c>
      <c r="U50" s="23">
        <f t="shared" si="22"/>
        <v>0</v>
      </c>
      <c r="V50" s="23"/>
      <c r="W50" s="23">
        <f t="shared" si="23"/>
        <v>0</v>
      </c>
      <c r="X50" s="23">
        <f t="shared" si="23"/>
        <v>0</v>
      </c>
      <c r="Y50" s="23"/>
      <c r="Z50" s="23">
        <f t="shared" si="24"/>
        <v>0</v>
      </c>
      <c r="AA50" s="23"/>
      <c r="AB50" s="23"/>
      <c r="AC50" s="23">
        <f t="shared" si="25"/>
        <v>0</v>
      </c>
      <c r="AD50" s="23"/>
      <c r="AE50" s="23"/>
      <c r="AF50" s="23">
        <f t="shared" si="26"/>
        <v>0</v>
      </c>
      <c r="AG50" s="23"/>
      <c r="AH50" s="23"/>
      <c r="AI50" s="23">
        <f t="shared" si="27"/>
        <v>0</v>
      </c>
      <c r="AJ50" s="23"/>
      <c r="AK50" s="23"/>
      <c r="AL50" s="23">
        <f t="shared" si="28"/>
        <v>0</v>
      </c>
      <c r="AM50" s="23"/>
      <c r="AN50" s="23"/>
      <c r="AO50" s="23">
        <f t="shared" si="29"/>
        <v>0</v>
      </c>
      <c r="AP50" s="23"/>
      <c r="AQ50" s="23"/>
      <c r="AR50" s="33"/>
      <c r="AS50" s="33"/>
    </row>
    <row r="51" spans="1:45" ht="15" customHeight="1">
      <c r="A51" s="90" t="s">
        <v>147</v>
      </c>
      <c r="B51" s="90" t="s">
        <v>151</v>
      </c>
      <c r="C51" s="90" t="s">
        <v>158</v>
      </c>
      <c r="D51" s="35" t="s">
        <v>4</v>
      </c>
      <c r="E51" s="23">
        <f t="shared" si="14"/>
        <v>0</v>
      </c>
      <c r="F51" s="23">
        <f t="shared" si="14"/>
        <v>0</v>
      </c>
      <c r="G51" s="23"/>
      <c r="H51" s="23">
        <f>H52+H53+H54+H55</f>
        <v>0</v>
      </c>
      <c r="I51" s="23"/>
      <c r="J51" s="23"/>
      <c r="K51" s="23">
        <f t="shared" ref="K51:AO51" si="30">K52+K53+K54+K55</f>
        <v>0</v>
      </c>
      <c r="L51" s="23"/>
      <c r="M51" s="23"/>
      <c r="N51" s="23">
        <f t="shared" si="30"/>
        <v>0</v>
      </c>
      <c r="O51" s="23"/>
      <c r="P51" s="23"/>
      <c r="Q51" s="23">
        <f t="shared" si="30"/>
        <v>0</v>
      </c>
      <c r="R51" s="23"/>
      <c r="S51" s="23"/>
      <c r="T51" s="23">
        <f t="shared" si="30"/>
        <v>0</v>
      </c>
      <c r="U51" s="23"/>
      <c r="V51" s="23"/>
      <c r="W51" s="23">
        <f t="shared" si="30"/>
        <v>0</v>
      </c>
      <c r="X51" s="23"/>
      <c r="Y51" s="23"/>
      <c r="Z51" s="23">
        <f t="shared" si="30"/>
        <v>0</v>
      </c>
      <c r="AA51" s="23"/>
      <c r="AB51" s="23"/>
      <c r="AC51" s="23">
        <f t="shared" si="30"/>
        <v>0</v>
      </c>
      <c r="AD51" s="23"/>
      <c r="AE51" s="23"/>
      <c r="AF51" s="23">
        <f t="shared" si="30"/>
        <v>0</v>
      </c>
      <c r="AG51" s="23"/>
      <c r="AH51" s="23"/>
      <c r="AI51" s="23">
        <f t="shared" si="30"/>
        <v>0</v>
      </c>
      <c r="AJ51" s="23"/>
      <c r="AK51" s="23"/>
      <c r="AL51" s="23">
        <f t="shared" si="30"/>
        <v>0</v>
      </c>
      <c r="AM51" s="23"/>
      <c r="AN51" s="23"/>
      <c r="AO51" s="23">
        <f t="shared" si="30"/>
        <v>0</v>
      </c>
      <c r="AP51" s="23"/>
      <c r="AQ51" s="23"/>
      <c r="AR51" s="33"/>
      <c r="AS51" s="33"/>
    </row>
    <row r="52" spans="1:45" ht="15.75" customHeight="1">
      <c r="A52" s="90"/>
      <c r="B52" s="90"/>
      <c r="C52" s="90"/>
      <c r="D52" s="35" t="s">
        <v>23</v>
      </c>
      <c r="E52" s="23">
        <f t="shared" ref="E52:F81" si="31">H52+K52+N52+Q52+T52+W52+Z52+AC52+AF52+AI52+AL52+AO52</f>
        <v>0</v>
      </c>
      <c r="F52" s="23">
        <f t="shared" si="31"/>
        <v>0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33"/>
      <c r="AS52" s="33"/>
    </row>
    <row r="53" spans="1:45" ht="24">
      <c r="A53" s="90"/>
      <c r="B53" s="90"/>
      <c r="C53" s="90"/>
      <c r="D53" s="35" t="s">
        <v>5</v>
      </c>
      <c r="E53" s="23">
        <f t="shared" si="31"/>
        <v>0</v>
      </c>
      <c r="F53" s="23">
        <f t="shared" si="31"/>
        <v>0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33"/>
      <c r="AS53" s="33"/>
    </row>
    <row r="54" spans="1:45">
      <c r="A54" s="90"/>
      <c r="B54" s="90"/>
      <c r="C54" s="90"/>
      <c r="D54" s="35" t="s">
        <v>49</v>
      </c>
      <c r="E54" s="23">
        <f t="shared" si="31"/>
        <v>0</v>
      </c>
      <c r="F54" s="23">
        <f t="shared" si="31"/>
        <v>0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33"/>
      <c r="AS54" s="33"/>
    </row>
    <row r="55" spans="1:45">
      <c r="A55" s="90"/>
      <c r="B55" s="90"/>
      <c r="C55" s="90"/>
      <c r="D55" s="35" t="s">
        <v>24</v>
      </c>
      <c r="E55" s="23">
        <f t="shared" si="31"/>
        <v>0</v>
      </c>
      <c r="F55" s="23">
        <f t="shared" si="31"/>
        <v>0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33"/>
      <c r="AS55" s="33"/>
    </row>
    <row r="56" spans="1:45" ht="21.75" customHeight="1">
      <c r="A56" s="90" t="s">
        <v>148</v>
      </c>
      <c r="B56" s="90" t="s">
        <v>152</v>
      </c>
      <c r="C56" s="90" t="s">
        <v>7</v>
      </c>
      <c r="D56" s="35" t="s">
        <v>4</v>
      </c>
      <c r="E56" s="23">
        <f t="shared" si="31"/>
        <v>0</v>
      </c>
      <c r="F56" s="23">
        <f t="shared" si="31"/>
        <v>0</v>
      </c>
      <c r="G56" s="23"/>
      <c r="H56" s="23">
        <f>H57+H58+H59+H60</f>
        <v>0</v>
      </c>
      <c r="I56" s="23"/>
      <c r="J56" s="23"/>
      <c r="K56" s="23">
        <f t="shared" ref="K56" si="32">K57+K58+K59+K60</f>
        <v>0</v>
      </c>
      <c r="L56" s="23"/>
      <c r="M56" s="23"/>
      <c r="N56" s="23">
        <f t="shared" ref="N56" si="33">N57+N58+N59+N60</f>
        <v>0</v>
      </c>
      <c r="O56" s="23"/>
      <c r="P56" s="23"/>
      <c r="Q56" s="23">
        <f t="shared" ref="Q56" si="34">Q57+Q58+Q59+Q60</f>
        <v>0</v>
      </c>
      <c r="R56" s="23"/>
      <c r="S56" s="23"/>
      <c r="T56" s="23">
        <f t="shared" ref="T56" si="35">T57+T58+T59+T60</f>
        <v>0</v>
      </c>
      <c r="U56" s="23"/>
      <c r="V56" s="23"/>
      <c r="W56" s="23">
        <f t="shared" ref="W56" si="36">W57+W58+W59+W60</f>
        <v>0</v>
      </c>
      <c r="X56" s="23"/>
      <c r="Y56" s="23"/>
      <c r="Z56" s="23">
        <f t="shared" ref="Z56" si="37">Z57+Z58+Z59+Z60</f>
        <v>0</v>
      </c>
      <c r="AA56" s="23"/>
      <c r="AB56" s="23"/>
      <c r="AC56" s="23">
        <f t="shared" ref="AC56" si="38">AC57+AC58+AC59+AC60</f>
        <v>0</v>
      </c>
      <c r="AD56" s="23"/>
      <c r="AE56" s="23"/>
      <c r="AF56" s="23">
        <f t="shared" ref="AF56" si="39">AF57+AF58+AF59+AF60</f>
        <v>0</v>
      </c>
      <c r="AG56" s="23"/>
      <c r="AH56" s="23"/>
      <c r="AI56" s="23">
        <f t="shared" ref="AI56" si="40">AI57+AI58+AI59+AI60</f>
        <v>0</v>
      </c>
      <c r="AJ56" s="23"/>
      <c r="AK56" s="23"/>
      <c r="AL56" s="23">
        <f t="shared" ref="AL56" si="41">AL57+AL58+AL59+AL60</f>
        <v>0</v>
      </c>
      <c r="AM56" s="23"/>
      <c r="AN56" s="23"/>
      <c r="AO56" s="23">
        <f t="shared" ref="AO56" si="42">AO57+AO58+AO59+AO60</f>
        <v>0</v>
      </c>
      <c r="AP56" s="23"/>
      <c r="AQ56" s="23"/>
      <c r="AR56" s="33"/>
      <c r="AS56" s="33"/>
    </row>
    <row r="57" spans="1:45" ht="21.75" customHeight="1">
      <c r="A57" s="90"/>
      <c r="B57" s="90"/>
      <c r="C57" s="90"/>
      <c r="D57" s="35" t="s">
        <v>23</v>
      </c>
      <c r="E57" s="23">
        <f t="shared" si="31"/>
        <v>0</v>
      </c>
      <c r="F57" s="23">
        <f t="shared" si="31"/>
        <v>0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33"/>
      <c r="AS57" s="33"/>
    </row>
    <row r="58" spans="1:45" ht="24">
      <c r="A58" s="90"/>
      <c r="B58" s="90"/>
      <c r="C58" s="90"/>
      <c r="D58" s="35" t="s">
        <v>5</v>
      </c>
      <c r="E58" s="23">
        <f t="shared" si="31"/>
        <v>0</v>
      </c>
      <c r="F58" s="23">
        <f t="shared" si="31"/>
        <v>0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33"/>
      <c r="AS58" s="33"/>
    </row>
    <row r="59" spans="1:45">
      <c r="A59" s="90"/>
      <c r="B59" s="90"/>
      <c r="C59" s="90"/>
      <c r="D59" s="35" t="s">
        <v>49</v>
      </c>
      <c r="E59" s="23">
        <f t="shared" si="31"/>
        <v>0</v>
      </c>
      <c r="F59" s="23">
        <f t="shared" si="31"/>
        <v>0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33"/>
      <c r="AS59" s="33"/>
    </row>
    <row r="60" spans="1:45">
      <c r="A60" s="90"/>
      <c r="B60" s="90"/>
      <c r="C60" s="90"/>
      <c r="D60" s="35" t="s">
        <v>24</v>
      </c>
      <c r="E60" s="23">
        <f t="shared" si="31"/>
        <v>0</v>
      </c>
      <c r="F60" s="23">
        <f t="shared" si="31"/>
        <v>0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33"/>
      <c r="AS60" s="33"/>
    </row>
    <row r="61" spans="1:45" ht="15" customHeight="1">
      <c r="A61" s="90" t="s">
        <v>149</v>
      </c>
      <c r="B61" s="90" t="s">
        <v>153</v>
      </c>
      <c r="C61" s="90" t="s">
        <v>158</v>
      </c>
      <c r="D61" s="35" t="s">
        <v>4</v>
      </c>
      <c r="E61" s="23">
        <f t="shared" si="31"/>
        <v>10434.5</v>
      </c>
      <c r="F61" s="23">
        <f t="shared" si="31"/>
        <v>0</v>
      </c>
      <c r="G61" s="23"/>
      <c r="H61" s="23">
        <f>H62+H63+H64+H65</f>
        <v>0</v>
      </c>
      <c r="I61" s="23"/>
      <c r="J61" s="23"/>
      <c r="K61" s="23">
        <f t="shared" ref="K61" si="43">K62+K63+K64+K65</f>
        <v>0</v>
      </c>
      <c r="L61" s="23"/>
      <c r="M61" s="23"/>
      <c r="N61" s="23">
        <f t="shared" ref="N61" si="44">N62+N63+N64+N65</f>
        <v>0</v>
      </c>
      <c r="O61" s="23"/>
      <c r="P61" s="23"/>
      <c r="Q61" s="23">
        <f t="shared" ref="Q61" si="45">Q62+Q63+Q64+Q65</f>
        <v>0</v>
      </c>
      <c r="R61" s="23"/>
      <c r="S61" s="23"/>
      <c r="T61" s="23">
        <f t="shared" ref="T61" si="46">T62+T63+T64+T65</f>
        <v>0</v>
      </c>
      <c r="U61" s="23"/>
      <c r="V61" s="23"/>
      <c r="W61" s="23">
        <f t="shared" ref="W61" si="47">W62+W63+W64+W65</f>
        <v>0</v>
      </c>
      <c r="X61" s="23"/>
      <c r="Y61" s="23"/>
      <c r="Z61" s="23">
        <f t="shared" ref="Z61" si="48">Z62+Z63+Z64+Z65</f>
        <v>0</v>
      </c>
      <c r="AA61" s="23"/>
      <c r="AB61" s="23"/>
      <c r="AC61" s="23">
        <f t="shared" ref="AC61" si="49">AC62+AC63+AC64+AC65</f>
        <v>0</v>
      </c>
      <c r="AD61" s="23"/>
      <c r="AE61" s="23"/>
      <c r="AF61" s="23">
        <f t="shared" ref="AF61" si="50">AF62+AF63+AF64+AF65</f>
        <v>9485.9</v>
      </c>
      <c r="AG61" s="23"/>
      <c r="AH61" s="23"/>
      <c r="AI61" s="23">
        <f t="shared" ref="AI61" si="51">AI62+AI63+AI64+AI65</f>
        <v>948.6</v>
      </c>
      <c r="AJ61" s="23"/>
      <c r="AK61" s="23"/>
      <c r="AL61" s="23">
        <f t="shared" ref="AL61" si="52">AL62+AL63+AL64+AL65</f>
        <v>0</v>
      </c>
      <c r="AM61" s="23"/>
      <c r="AN61" s="23"/>
      <c r="AO61" s="23">
        <f t="shared" ref="AO61" si="53">AO62+AO63+AO64+AO65</f>
        <v>0</v>
      </c>
      <c r="AP61" s="23"/>
      <c r="AQ61" s="23"/>
      <c r="AR61" s="33"/>
      <c r="AS61" s="33"/>
    </row>
    <row r="62" spans="1:45" ht="15" customHeight="1">
      <c r="A62" s="90"/>
      <c r="B62" s="90"/>
      <c r="C62" s="90"/>
      <c r="D62" s="35" t="s">
        <v>23</v>
      </c>
      <c r="E62" s="23">
        <f t="shared" si="31"/>
        <v>0</v>
      </c>
      <c r="F62" s="23">
        <f t="shared" si="31"/>
        <v>0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33"/>
      <c r="AS62" s="33"/>
    </row>
    <row r="63" spans="1:45" ht="24">
      <c r="A63" s="90"/>
      <c r="B63" s="90"/>
      <c r="C63" s="90"/>
      <c r="D63" s="35" t="s">
        <v>5</v>
      </c>
      <c r="E63" s="23">
        <f t="shared" si="31"/>
        <v>0</v>
      </c>
      <c r="F63" s="23">
        <f t="shared" si="31"/>
        <v>0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33"/>
      <c r="AS63" s="33"/>
    </row>
    <row r="64" spans="1:45" ht="198" customHeight="1">
      <c r="A64" s="90"/>
      <c r="B64" s="90"/>
      <c r="C64" s="90"/>
      <c r="D64" s="35" t="s">
        <v>49</v>
      </c>
      <c r="E64" s="23">
        <f t="shared" si="31"/>
        <v>10434.5</v>
      </c>
      <c r="F64" s="23">
        <f t="shared" si="31"/>
        <v>0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>
        <v>9485.9</v>
      </c>
      <c r="AG64" s="23"/>
      <c r="AH64" s="23"/>
      <c r="AI64" s="23">
        <v>948.6</v>
      </c>
      <c r="AJ64" s="23"/>
      <c r="AK64" s="23"/>
      <c r="AL64" s="23"/>
      <c r="AM64" s="23"/>
      <c r="AN64" s="23"/>
      <c r="AO64" s="23"/>
      <c r="AP64" s="23"/>
      <c r="AQ64" s="23"/>
      <c r="AR64" s="83" t="s">
        <v>201</v>
      </c>
      <c r="AS64" s="83" t="s">
        <v>200</v>
      </c>
    </row>
    <row r="65" spans="1:45" ht="15" customHeight="1">
      <c r="A65" s="90"/>
      <c r="B65" s="90"/>
      <c r="C65" s="90"/>
      <c r="D65" s="35" t="s">
        <v>24</v>
      </c>
      <c r="E65" s="23">
        <f t="shared" si="31"/>
        <v>0</v>
      </c>
      <c r="F65" s="23">
        <f t="shared" si="31"/>
        <v>0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33"/>
      <c r="AS65" s="33"/>
    </row>
    <row r="66" spans="1:45" ht="15.75" customHeight="1">
      <c r="A66" s="111" t="s">
        <v>55</v>
      </c>
      <c r="B66" s="90" t="s">
        <v>93</v>
      </c>
      <c r="C66" s="90" t="s">
        <v>7</v>
      </c>
      <c r="D66" s="35" t="s">
        <v>4</v>
      </c>
      <c r="E66" s="23">
        <f t="shared" si="31"/>
        <v>18566.899999999998</v>
      </c>
      <c r="F66" s="23">
        <f t="shared" si="31"/>
        <v>7820.5</v>
      </c>
      <c r="G66" s="24">
        <f>F66/E66*100</f>
        <v>42.120655575244122</v>
      </c>
      <c r="H66" s="23">
        <f>H67+H68+H69+H70</f>
        <v>0</v>
      </c>
      <c r="I66" s="23"/>
      <c r="J66" s="23"/>
      <c r="K66" s="23">
        <f t="shared" ref="K66:AO66" si="54">K67+K68+K69+K70</f>
        <v>0</v>
      </c>
      <c r="L66" s="23">
        <f t="shared" si="54"/>
        <v>0</v>
      </c>
      <c r="M66" s="24"/>
      <c r="N66" s="23">
        <f t="shared" si="54"/>
        <v>218</v>
      </c>
      <c r="O66" s="23">
        <f t="shared" si="54"/>
        <v>235</v>
      </c>
      <c r="P66" s="24">
        <f t="shared" ref="P66" si="55">O66/N66*100</f>
        <v>107.79816513761469</v>
      </c>
      <c r="Q66" s="23">
        <f t="shared" si="54"/>
        <v>318</v>
      </c>
      <c r="R66" s="23">
        <f t="shared" si="54"/>
        <v>100</v>
      </c>
      <c r="S66" s="24">
        <f>R66/Q66*100</f>
        <v>31.446540880503143</v>
      </c>
      <c r="T66" s="23">
        <f t="shared" si="54"/>
        <v>493</v>
      </c>
      <c r="U66" s="23">
        <f t="shared" si="54"/>
        <v>270</v>
      </c>
      <c r="V66" s="24">
        <f>U66/T66*100</f>
        <v>54.766734279918857</v>
      </c>
      <c r="W66" s="23">
        <f t="shared" si="54"/>
        <v>0</v>
      </c>
      <c r="X66" s="23">
        <f t="shared" si="54"/>
        <v>441</v>
      </c>
      <c r="Y66" s="24"/>
      <c r="Z66" s="23">
        <f t="shared" si="54"/>
        <v>2791</v>
      </c>
      <c r="AA66" s="23">
        <f t="shared" si="54"/>
        <v>501</v>
      </c>
      <c r="AB66" s="24">
        <f>AA66/Z66*100</f>
        <v>17.950555356503045</v>
      </c>
      <c r="AC66" s="23">
        <f t="shared" si="54"/>
        <v>3127.7</v>
      </c>
      <c r="AD66" s="23">
        <f t="shared" si="54"/>
        <v>4270.3999999999996</v>
      </c>
      <c r="AE66" s="24">
        <f>AD66/AC66*100</f>
        <v>136.53483390350735</v>
      </c>
      <c r="AF66" s="23">
        <f t="shared" si="54"/>
        <v>895</v>
      </c>
      <c r="AG66" s="23">
        <f t="shared" si="54"/>
        <v>2003.1</v>
      </c>
      <c r="AH66" s="24">
        <f>AG66/AF66*100</f>
        <v>223.81005586592178</v>
      </c>
      <c r="AI66" s="23">
        <f t="shared" si="54"/>
        <v>10724.199999999999</v>
      </c>
      <c r="AJ66" s="23">
        <f t="shared" si="54"/>
        <v>0</v>
      </c>
      <c r="AK66" s="24">
        <f>AJ66/AI66*100</f>
        <v>0</v>
      </c>
      <c r="AL66" s="23">
        <f t="shared" si="54"/>
        <v>0</v>
      </c>
      <c r="AM66" s="23">
        <f t="shared" si="54"/>
        <v>0</v>
      </c>
      <c r="AN66" s="24" t="e">
        <f>AM66/AL66*100</f>
        <v>#DIV/0!</v>
      </c>
      <c r="AO66" s="23">
        <f t="shared" si="54"/>
        <v>0</v>
      </c>
      <c r="AP66" s="23"/>
      <c r="AQ66" s="21" t="e">
        <f t="shared" ref="AQ66:AQ74" si="56">AP66/AO66</f>
        <v>#DIV/0!</v>
      </c>
      <c r="AR66" s="33"/>
      <c r="AS66" s="33"/>
    </row>
    <row r="67" spans="1:45">
      <c r="A67" s="111"/>
      <c r="B67" s="90"/>
      <c r="C67" s="90"/>
      <c r="D67" s="35" t="s">
        <v>23</v>
      </c>
      <c r="E67" s="23">
        <f t="shared" si="31"/>
        <v>0</v>
      </c>
      <c r="F67" s="23">
        <f t="shared" si="31"/>
        <v>0</v>
      </c>
      <c r="G67" s="21"/>
      <c r="H67" s="23"/>
      <c r="I67" s="23"/>
      <c r="J67" s="23"/>
      <c r="K67" s="23"/>
      <c r="L67" s="23"/>
      <c r="M67" s="24"/>
      <c r="N67" s="23"/>
      <c r="O67" s="23"/>
      <c r="P67" s="24"/>
      <c r="Q67" s="23"/>
      <c r="R67" s="23"/>
      <c r="S67" s="21"/>
      <c r="T67" s="23"/>
      <c r="U67" s="23"/>
      <c r="V67" s="21"/>
      <c r="W67" s="23"/>
      <c r="X67" s="23"/>
      <c r="Y67" s="21"/>
      <c r="Z67" s="23"/>
      <c r="AA67" s="23"/>
      <c r="AB67" s="21"/>
      <c r="AC67" s="23"/>
      <c r="AD67" s="23"/>
      <c r="AE67" s="21"/>
      <c r="AF67" s="23"/>
      <c r="AG67" s="23"/>
      <c r="AH67" s="21"/>
      <c r="AI67" s="23"/>
      <c r="AJ67" s="23"/>
      <c r="AK67" s="21"/>
      <c r="AL67" s="23"/>
      <c r="AM67" s="23"/>
      <c r="AN67" s="21"/>
      <c r="AO67" s="23"/>
      <c r="AP67" s="23"/>
      <c r="AQ67" s="21"/>
      <c r="AR67" s="33"/>
      <c r="AS67" s="33"/>
    </row>
    <row r="68" spans="1:45" ht="136.5" customHeight="1">
      <c r="A68" s="111"/>
      <c r="B68" s="90"/>
      <c r="C68" s="90"/>
      <c r="D68" s="35" t="s">
        <v>5</v>
      </c>
      <c r="E68" s="23">
        <f t="shared" si="31"/>
        <v>2203.3000000000002</v>
      </c>
      <c r="F68" s="23">
        <f t="shared" si="31"/>
        <v>2031</v>
      </c>
      <c r="G68" s="24">
        <f>F68/E68*100</f>
        <v>92.179911950256425</v>
      </c>
      <c r="H68" s="39"/>
      <c r="I68" s="39"/>
      <c r="J68" s="39"/>
      <c r="K68" s="39"/>
      <c r="L68" s="39"/>
      <c r="M68" s="24"/>
      <c r="N68" s="39"/>
      <c r="O68" s="39"/>
      <c r="P68" s="24"/>
      <c r="Q68" s="23">
        <f>186+100</f>
        <v>286</v>
      </c>
      <c r="R68" s="23">
        <v>100</v>
      </c>
      <c r="S68" s="24">
        <f>R68/Q68*100</f>
        <v>34.965034965034967</v>
      </c>
      <c r="T68" s="39"/>
      <c r="U68" s="39"/>
      <c r="V68" s="24"/>
      <c r="W68" s="23">
        <f>620-620</f>
        <v>0</v>
      </c>
      <c r="X68" s="23">
        <v>186</v>
      </c>
      <c r="Y68" s="24"/>
      <c r="Z68" s="23">
        <v>50</v>
      </c>
      <c r="AA68" s="23">
        <v>0</v>
      </c>
      <c r="AB68" s="23">
        <f>AA68/Z68*100</f>
        <v>0</v>
      </c>
      <c r="AC68" s="23">
        <v>800</v>
      </c>
      <c r="AD68" s="23">
        <v>620</v>
      </c>
      <c r="AE68" s="24">
        <f>AD68/AC68*100</f>
        <v>77.5</v>
      </c>
      <c r="AF68" s="23">
        <v>895</v>
      </c>
      <c r="AG68" s="23">
        <v>1125</v>
      </c>
      <c r="AH68" s="24">
        <f>AG68/AF68*100</f>
        <v>125.69832402234637</v>
      </c>
      <c r="AI68" s="23">
        <v>172.3</v>
      </c>
      <c r="AJ68" s="23"/>
      <c r="AK68" s="24">
        <f>AJ68/AI68*100</f>
        <v>0</v>
      </c>
      <c r="AL68" s="39"/>
      <c r="AM68" s="39"/>
      <c r="AN68" s="24"/>
      <c r="AO68" s="39"/>
      <c r="AP68" s="39"/>
      <c r="AQ68" s="21"/>
      <c r="AR68" s="83" t="s">
        <v>174</v>
      </c>
      <c r="AS68" s="33"/>
    </row>
    <row r="69" spans="1:45" ht="165" customHeight="1">
      <c r="A69" s="111"/>
      <c r="B69" s="90"/>
      <c r="C69" s="90"/>
      <c r="D69" s="35" t="s">
        <v>49</v>
      </c>
      <c r="E69" s="23">
        <f t="shared" si="31"/>
        <v>16363.599999999999</v>
      </c>
      <c r="F69" s="23">
        <f t="shared" si="31"/>
        <v>5789.5</v>
      </c>
      <c r="G69" s="24">
        <f>F69/E69*100</f>
        <v>35.38035640079201</v>
      </c>
      <c r="H69" s="23"/>
      <c r="I69" s="23"/>
      <c r="J69" s="23"/>
      <c r="K69" s="23"/>
      <c r="L69" s="23"/>
      <c r="M69" s="24"/>
      <c r="N69" s="23">
        <f>235-17</f>
        <v>218</v>
      </c>
      <c r="O69" s="23">
        <v>235</v>
      </c>
      <c r="P69" s="24">
        <f t="shared" ref="P69" si="57">O69/N69*100</f>
        <v>107.79816513761469</v>
      </c>
      <c r="Q69" s="23">
        <f>32</f>
        <v>32</v>
      </c>
      <c r="R69" s="23">
        <v>0</v>
      </c>
      <c r="S69" s="24">
        <f>R69/Q69*100</f>
        <v>0</v>
      </c>
      <c r="T69" s="23">
        <f>270+360-137</f>
        <v>493</v>
      </c>
      <c r="U69" s="23">
        <v>270</v>
      </c>
      <c r="V69" s="24">
        <f>U69/T69*100</f>
        <v>54.766734279918857</v>
      </c>
      <c r="W69" s="81">
        <f>504+1181.2-1685.2</f>
        <v>0</v>
      </c>
      <c r="X69" s="23">
        <v>255</v>
      </c>
      <c r="Y69" s="24"/>
      <c r="Z69" s="23">
        <f>3347.4-606.4</f>
        <v>2741</v>
      </c>
      <c r="AA69" s="23">
        <v>501</v>
      </c>
      <c r="AB69" s="24">
        <f>AA69/Z69*100</f>
        <v>18.278000729660707</v>
      </c>
      <c r="AC69" s="23">
        <v>2327.6999999999998</v>
      </c>
      <c r="AD69" s="23">
        <v>3650.4</v>
      </c>
      <c r="AE69" s="24">
        <f>AD69/AC69*100</f>
        <v>156.82433303260731</v>
      </c>
      <c r="AF69" s="23">
        <f>9195-9195</f>
        <v>0</v>
      </c>
      <c r="AG69" s="23">
        <v>878.1</v>
      </c>
      <c r="AH69" s="24"/>
      <c r="AI69" s="23">
        <f>733.5+9818.4</f>
        <v>10551.9</v>
      </c>
      <c r="AJ69" s="23"/>
      <c r="AK69" s="24">
        <f>AJ69/AI69*100</f>
        <v>0</v>
      </c>
      <c r="AL69" s="23"/>
      <c r="AM69" s="23"/>
      <c r="AN69" s="24" t="e">
        <f>AM69/AL69*100</f>
        <v>#DIV/0!</v>
      </c>
      <c r="AO69" s="23"/>
      <c r="AP69" s="23"/>
      <c r="AQ69" s="21" t="e">
        <f t="shared" si="56"/>
        <v>#DIV/0!</v>
      </c>
      <c r="AR69" s="83" t="s">
        <v>205</v>
      </c>
      <c r="AS69" s="83" t="s">
        <v>169</v>
      </c>
    </row>
    <row r="70" spans="1:45">
      <c r="A70" s="111"/>
      <c r="B70" s="90"/>
      <c r="C70" s="90"/>
      <c r="D70" s="35" t="s">
        <v>24</v>
      </c>
      <c r="E70" s="23">
        <f t="shared" si="31"/>
        <v>0</v>
      </c>
      <c r="F70" s="23">
        <f t="shared" si="31"/>
        <v>0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33"/>
      <c r="AS70" s="33"/>
    </row>
    <row r="71" spans="1:45" ht="15.75" customHeight="1">
      <c r="A71" s="90" t="s">
        <v>56</v>
      </c>
      <c r="B71" s="90" t="s">
        <v>94</v>
      </c>
      <c r="C71" s="90" t="s">
        <v>7</v>
      </c>
      <c r="D71" s="35" t="s">
        <v>4</v>
      </c>
      <c r="E71" s="23">
        <f t="shared" si="31"/>
        <v>681</v>
      </c>
      <c r="F71" s="23">
        <f t="shared" si="31"/>
        <v>168</v>
      </c>
      <c r="G71" s="24">
        <f>F71/E71*100</f>
        <v>24.669603524229075</v>
      </c>
      <c r="H71" s="23">
        <f>H72+H73+H74+H75</f>
        <v>0</v>
      </c>
      <c r="I71" s="23"/>
      <c r="J71" s="23"/>
      <c r="K71" s="23">
        <f t="shared" ref="K71:AO71" si="58">K72+K73+K74+K75</f>
        <v>0</v>
      </c>
      <c r="L71" s="23">
        <f t="shared" si="58"/>
        <v>0</v>
      </c>
      <c r="M71" s="24"/>
      <c r="N71" s="23">
        <f t="shared" si="58"/>
        <v>0</v>
      </c>
      <c r="O71" s="23"/>
      <c r="P71" s="24"/>
      <c r="Q71" s="23">
        <f t="shared" si="58"/>
        <v>117.00000000000001</v>
      </c>
      <c r="R71" s="23">
        <f t="shared" si="58"/>
        <v>117</v>
      </c>
      <c r="S71" s="24">
        <f>R71/Q71*100</f>
        <v>99.999999999999986</v>
      </c>
      <c r="T71" s="23">
        <f t="shared" si="58"/>
        <v>0</v>
      </c>
      <c r="U71" s="23">
        <f t="shared" si="58"/>
        <v>0</v>
      </c>
      <c r="V71" s="24"/>
      <c r="W71" s="23">
        <f t="shared" si="58"/>
        <v>0</v>
      </c>
      <c r="X71" s="23"/>
      <c r="Y71" s="21"/>
      <c r="Z71" s="23">
        <f t="shared" si="58"/>
        <v>51</v>
      </c>
      <c r="AA71" s="23">
        <f t="shared" si="58"/>
        <v>51</v>
      </c>
      <c r="AB71" s="24">
        <f>AA71/Z71*100</f>
        <v>100</v>
      </c>
      <c r="AC71" s="23">
        <f t="shared" si="58"/>
        <v>0</v>
      </c>
      <c r="AD71" s="23">
        <f t="shared" si="58"/>
        <v>0</v>
      </c>
      <c r="AE71" s="24"/>
      <c r="AF71" s="23">
        <f t="shared" si="58"/>
        <v>0</v>
      </c>
      <c r="AG71" s="23">
        <f t="shared" si="58"/>
        <v>0</v>
      </c>
      <c r="AH71" s="24" t="e">
        <f>AG71/AF71*100</f>
        <v>#DIV/0!</v>
      </c>
      <c r="AI71" s="23">
        <f t="shared" si="58"/>
        <v>170.3</v>
      </c>
      <c r="AJ71" s="23">
        <f t="shared" si="58"/>
        <v>0</v>
      </c>
      <c r="AK71" s="24">
        <f>AJ71/AI71*100</f>
        <v>0</v>
      </c>
      <c r="AL71" s="23">
        <f t="shared" si="58"/>
        <v>172.5</v>
      </c>
      <c r="AM71" s="23"/>
      <c r="AN71" s="21">
        <f t="shared" ref="AN71:AN74" si="59">AM71/AL71</f>
        <v>0</v>
      </c>
      <c r="AO71" s="23">
        <f t="shared" si="58"/>
        <v>170.2</v>
      </c>
      <c r="AP71" s="23"/>
      <c r="AQ71" s="21">
        <f t="shared" si="56"/>
        <v>0</v>
      </c>
      <c r="AR71" s="33"/>
      <c r="AS71" s="33"/>
    </row>
    <row r="72" spans="1:45">
      <c r="A72" s="90"/>
      <c r="B72" s="90"/>
      <c r="C72" s="90"/>
      <c r="D72" s="35" t="s">
        <v>23</v>
      </c>
      <c r="E72" s="23">
        <f t="shared" si="31"/>
        <v>0</v>
      </c>
      <c r="F72" s="23">
        <f t="shared" si="31"/>
        <v>0</v>
      </c>
      <c r="G72" s="24"/>
      <c r="H72" s="23"/>
      <c r="I72" s="23"/>
      <c r="J72" s="23"/>
      <c r="K72" s="23"/>
      <c r="L72" s="23"/>
      <c r="M72" s="24"/>
      <c r="N72" s="23"/>
      <c r="O72" s="23"/>
      <c r="P72" s="24"/>
      <c r="Q72" s="23"/>
      <c r="R72" s="23"/>
      <c r="S72" s="24"/>
      <c r="T72" s="23"/>
      <c r="U72" s="23"/>
      <c r="V72" s="24"/>
      <c r="W72" s="23"/>
      <c r="X72" s="23"/>
      <c r="Y72" s="21"/>
      <c r="Z72" s="23"/>
      <c r="AA72" s="23"/>
      <c r="AB72" s="24"/>
      <c r="AC72" s="23"/>
      <c r="AD72" s="23"/>
      <c r="AE72" s="24"/>
      <c r="AF72" s="23"/>
      <c r="AG72" s="23"/>
      <c r="AH72" s="24"/>
      <c r="AI72" s="23"/>
      <c r="AJ72" s="23"/>
      <c r="AK72" s="24"/>
      <c r="AL72" s="23"/>
      <c r="AM72" s="23"/>
      <c r="AN72" s="21"/>
      <c r="AO72" s="23"/>
      <c r="AP72" s="23"/>
      <c r="AQ72" s="21"/>
      <c r="AR72" s="33"/>
      <c r="AS72" s="33"/>
    </row>
    <row r="73" spans="1:45" ht="24">
      <c r="A73" s="90"/>
      <c r="B73" s="90"/>
      <c r="C73" s="90"/>
      <c r="D73" s="35" t="s">
        <v>5</v>
      </c>
      <c r="E73" s="23">
        <f t="shared" si="31"/>
        <v>0</v>
      </c>
      <c r="F73" s="23">
        <f t="shared" si="31"/>
        <v>0</v>
      </c>
      <c r="G73" s="24"/>
      <c r="H73" s="39"/>
      <c r="I73" s="39"/>
      <c r="J73" s="39"/>
      <c r="K73" s="39"/>
      <c r="L73" s="39"/>
      <c r="M73" s="24"/>
      <c r="N73" s="39"/>
      <c r="O73" s="39"/>
      <c r="P73" s="24"/>
      <c r="Q73" s="39"/>
      <c r="R73" s="39"/>
      <c r="S73" s="24"/>
      <c r="T73" s="39"/>
      <c r="U73" s="39"/>
      <c r="V73" s="24"/>
      <c r="W73" s="39"/>
      <c r="X73" s="39"/>
      <c r="Y73" s="21"/>
      <c r="Z73" s="39"/>
      <c r="AA73" s="39"/>
      <c r="AB73" s="24"/>
      <c r="AC73" s="39"/>
      <c r="AD73" s="39"/>
      <c r="AE73" s="24"/>
      <c r="AF73" s="39"/>
      <c r="AG73" s="39"/>
      <c r="AH73" s="24"/>
      <c r="AI73" s="39"/>
      <c r="AJ73" s="39"/>
      <c r="AK73" s="24"/>
      <c r="AL73" s="39"/>
      <c r="AM73" s="39"/>
      <c r="AN73" s="21"/>
      <c r="AO73" s="39"/>
      <c r="AP73" s="39"/>
      <c r="AQ73" s="21"/>
      <c r="AR73" s="33"/>
      <c r="AS73" s="33"/>
    </row>
    <row r="74" spans="1:45" ht="72">
      <c r="A74" s="90"/>
      <c r="B74" s="90"/>
      <c r="C74" s="90"/>
      <c r="D74" s="35" t="s">
        <v>6</v>
      </c>
      <c r="E74" s="23">
        <f t="shared" si="31"/>
        <v>681</v>
      </c>
      <c r="F74" s="23">
        <f t="shared" si="31"/>
        <v>168</v>
      </c>
      <c r="G74" s="24">
        <f t="shared" ref="G74" si="60">F74/E74*100</f>
        <v>24.669603524229075</v>
      </c>
      <c r="H74" s="23"/>
      <c r="I74" s="23"/>
      <c r="J74" s="23"/>
      <c r="K74" s="23"/>
      <c r="L74" s="23"/>
      <c r="M74" s="24"/>
      <c r="N74" s="57">
        <f>14.7-14.7</f>
        <v>0</v>
      </c>
      <c r="O74" s="23"/>
      <c r="P74" s="24"/>
      <c r="Q74" s="23">
        <f>117+53.3-53.3</f>
        <v>117.00000000000001</v>
      </c>
      <c r="R74" s="23">
        <v>117</v>
      </c>
      <c r="S74" s="24">
        <f t="shared" ref="S74" si="61">R74/Q74*100</f>
        <v>99.999999999999986</v>
      </c>
      <c r="T74" s="23"/>
      <c r="U74" s="23"/>
      <c r="V74" s="24"/>
      <c r="W74" s="23">
        <f>14.7-14.7</f>
        <v>0</v>
      </c>
      <c r="X74" s="23"/>
      <c r="Y74" s="21"/>
      <c r="Z74" s="23">
        <v>51</v>
      </c>
      <c r="AA74" s="23">
        <v>51</v>
      </c>
      <c r="AB74" s="24">
        <f t="shared" ref="AB74" si="62">AA74/Z74*100</f>
        <v>100</v>
      </c>
      <c r="AC74" s="23"/>
      <c r="AD74" s="23">
        <v>0</v>
      </c>
      <c r="AE74" s="24"/>
      <c r="AF74" s="23"/>
      <c r="AG74" s="23"/>
      <c r="AH74" s="24" t="e">
        <f t="shared" ref="AH74" si="63">AG74/AF74*100</f>
        <v>#DIV/0!</v>
      </c>
      <c r="AI74" s="23">
        <f>117+53.3</f>
        <v>170.3</v>
      </c>
      <c r="AJ74" s="23"/>
      <c r="AK74" s="24">
        <f t="shared" ref="AK74" si="64">AJ74/AI74*100</f>
        <v>0</v>
      </c>
      <c r="AL74" s="23">
        <v>172.5</v>
      </c>
      <c r="AM74" s="23"/>
      <c r="AN74" s="21">
        <f t="shared" si="59"/>
        <v>0</v>
      </c>
      <c r="AO74" s="23">
        <f>117+53.2</f>
        <v>170.2</v>
      </c>
      <c r="AP74" s="23"/>
      <c r="AQ74" s="21">
        <f t="shared" si="56"/>
        <v>0</v>
      </c>
      <c r="AR74" s="83" t="s">
        <v>159</v>
      </c>
      <c r="AS74" s="83"/>
    </row>
    <row r="75" spans="1:45">
      <c r="A75" s="90"/>
      <c r="B75" s="90"/>
      <c r="C75" s="90"/>
      <c r="D75" s="35" t="s">
        <v>24</v>
      </c>
      <c r="E75" s="23">
        <f t="shared" si="31"/>
        <v>0</v>
      </c>
      <c r="F75" s="23">
        <f t="shared" si="31"/>
        <v>0</v>
      </c>
      <c r="G75" s="24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33"/>
      <c r="AS75" s="33"/>
    </row>
    <row r="76" spans="1:45" ht="15.75" customHeight="1">
      <c r="A76" s="112" t="s">
        <v>10</v>
      </c>
      <c r="B76" s="113"/>
      <c r="C76" s="114"/>
      <c r="D76" s="36" t="s">
        <v>4</v>
      </c>
      <c r="E76" s="37">
        <f t="shared" si="31"/>
        <v>93435.1</v>
      </c>
      <c r="F76" s="37">
        <f t="shared" si="31"/>
        <v>24524.899999999998</v>
      </c>
      <c r="G76" s="25">
        <f>F76/E76*100</f>
        <v>26.24805881301566</v>
      </c>
      <c r="H76" s="37">
        <f>H78+H77+H79+H80</f>
        <v>0</v>
      </c>
      <c r="I76" s="37">
        <f>I78+I77+I79+I80</f>
        <v>0</v>
      </c>
      <c r="J76" s="22"/>
      <c r="K76" s="37">
        <f>K78+K77+K79+K80</f>
        <v>0</v>
      </c>
      <c r="L76" s="37">
        <f>L78+L77+L79+L80</f>
        <v>0</v>
      </c>
      <c r="M76" s="25"/>
      <c r="N76" s="37">
        <f>N78+N77+N79+N80</f>
        <v>264.3</v>
      </c>
      <c r="O76" s="37">
        <f>O78+O77+O79+O80</f>
        <v>235</v>
      </c>
      <c r="P76" s="25">
        <f t="shared" ref="P76:P79" si="65">O76/N76*100</f>
        <v>88.914112750662127</v>
      </c>
      <c r="Q76" s="37">
        <f>Q78+Q77+Q79+Q80</f>
        <v>435</v>
      </c>
      <c r="R76" s="37">
        <f>R78+R77+R79+R80</f>
        <v>263.3</v>
      </c>
      <c r="S76" s="25">
        <f>R76/Q76*100</f>
        <v>60.528735632183903</v>
      </c>
      <c r="T76" s="37">
        <f>T78+T77+T79+T80</f>
        <v>493</v>
      </c>
      <c r="U76" s="37">
        <f>U78+U77+U79+U80</f>
        <v>270</v>
      </c>
      <c r="V76" s="25">
        <f>U76/T76*100</f>
        <v>54.766734279918857</v>
      </c>
      <c r="W76" s="37">
        <f>W78+W77+W79+W80</f>
        <v>0</v>
      </c>
      <c r="X76" s="37">
        <f>X78+X77+X79+X80</f>
        <v>441</v>
      </c>
      <c r="Y76" s="25"/>
      <c r="Z76" s="37">
        <f>Z78+Z77+Z79+Z80</f>
        <v>2842</v>
      </c>
      <c r="AA76" s="37">
        <f>AA78+AA77+AA79+AA80</f>
        <v>552</v>
      </c>
      <c r="AB76" s="25">
        <f>AA76/Z76*100</f>
        <v>19.422941590429275</v>
      </c>
      <c r="AC76" s="37">
        <f>AC78+AC77+AC79+AC80</f>
        <v>44924</v>
      </c>
      <c r="AD76" s="37">
        <f>AD78+AD77+AD79+AD80</f>
        <v>4270.3999999999996</v>
      </c>
      <c r="AE76" s="25">
        <f>AD76/AC76*100</f>
        <v>9.5058320719437255</v>
      </c>
      <c r="AF76" s="37">
        <f>AF78+AF77+AF79+AF80</f>
        <v>29603.9</v>
      </c>
      <c r="AG76" s="37">
        <f>AG78+AG77+AG79+AG80</f>
        <v>18493.199999999997</v>
      </c>
      <c r="AH76" s="25">
        <f>AG76/AF76*100</f>
        <v>62.468796341022625</v>
      </c>
      <c r="AI76" s="37">
        <f>AI78+AI77+AI79+AI80</f>
        <v>14530.199999999999</v>
      </c>
      <c r="AJ76" s="37">
        <f>AJ78+AJ77+AJ79+AJ80</f>
        <v>0</v>
      </c>
      <c r="AK76" s="25">
        <f>AJ76/AI76*100</f>
        <v>0</v>
      </c>
      <c r="AL76" s="37">
        <f>AL78+AL77+AL79+AL80</f>
        <v>172.5</v>
      </c>
      <c r="AM76" s="37">
        <f>AM78+AM77+AM79+AM80</f>
        <v>0</v>
      </c>
      <c r="AN76" s="25">
        <f>AM76/AL76*100</f>
        <v>0</v>
      </c>
      <c r="AO76" s="37">
        <f>AO78+AO77+AO79+AO80</f>
        <v>170.2</v>
      </c>
      <c r="AP76" s="37">
        <f>AP78+AP77+AP79+AP80</f>
        <v>0</v>
      </c>
      <c r="AQ76" s="22">
        <f t="shared" ref="AQ76:AQ79" si="66">AP76/AO76</f>
        <v>0</v>
      </c>
      <c r="AR76" s="33"/>
      <c r="AS76" s="33"/>
    </row>
    <row r="77" spans="1:45">
      <c r="A77" s="115"/>
      <c r="B77" s="116"/>
      <c r="C77" s="117"/>
      <c r="D77" s="36" t="s">
        <v>23</v>
      </c>
      <c r="E77" s="37">
        <f t="shared" si="31"/>
        <v>0</v>
      </c>
      <c r="F77" s="37">
        <f t="shared" si="31"/>
        <v>0</v>
      </c>
      <c r="G77" s="25"/>
      <c r="H77" s="37">
        <f>H36+H41+H67+H72+H47</f>
        <v>0</v>
      </c>
      <c r="I77" s="37">
        <f>I36+I41+I67+I72+I47</f>
        <v>0</v>
      </c>
      <c r="J77" s="22"/>
      <c r="K77" s="37">
        <f>K36+K41+K67+K72+K47</f>
        <v>0</v>
      </c>
      <c r="L77" s="37">
        <f>L36+L41+L67+L72+L47</f>
        <v>0</v>
      </c>
      <c r="M77" s="25"/>
      <c r="N77" s="37">
        <f>N36+N41+N67+N72+N47</f>
        <v>0</v>
      </c>
      <c r="O77" s="37">
        <f>O36+O41+O67+O72+O47</f>
        <v>0</v>
      </c>
      <c r="P77" s="25"/>
      <c r="Q77" s="37">
        <f>Q36+Q41+Q67+Q72+Q47</f>
        <v>0</v>
      </c>
      <c r="R77" s="37">
        <f>R36+R41+R67+R72+R47</f>
        <v>0</v>
      </c>
      <c r="S77" s="25"/>
      <c r="T77" s="37">
        <f>T36+T41+T67+T72+T47</f>
        <v>0</v>
      </c>
      <c r="U77" s="37">
        <f>U36+U41+U67+U72+U47</f>
        <v>0</v>
      </c>
      <c r="V77" s="25"/>
      <c r="W77" s="37">
        <f>W36+W41+W67+W72+W47</f>
        <v>0</v>
      </c>
      <c r="X77" s="37">
        <f>X36+X41+X67+X72+X47</f>
        <v>0</v>
      </c>
      <c r="Y77" s="25"/>
      <c r="Z77" s="37">
        <f>Z36+Z41+Z67+Z72+Z47</f>
        <v>0</v>
      </c>
      <c r="AA77" s="37">
        <f>AA36+AA41+AA67+AA72+AA47</f>
        <v>0</v>
      </c>
      <c r="AB77" s="25"/>
      <c r="AC77" s="37">
        <f>AC36+AC41+AC67+AC72+AC47</f>
        <v>0</v>
      </c>
      <c r="AD77" s="37">
        <f>AD36+AD41+AD67+AD72+AD47</f>
        <v>0</v>
      </c>
      <c r="AE77" s="25"/>
      <c r="AF77" s="37">
        <f>AF36+AF41+AF67+AF72+AF47</f>
        <v>0</v>
      </c>
      <c r="AG77" s="37">
        <f>AG36+AG41+AG67+AG72+AG47</f>
        <v>0</v>
      </c>
      <c r="AH77" s="25"/>
      <c r="AI77" s="37">
        <f>AI36+AI41+AI67+AI72+AI47</f>
        <v>0</v>
      </c>
      <c r="AJ77" s="37">
        <f>AJ36+AJ41+AJ67+AJ72+AJ47</f>
        <v>0</v>
      </c>
      <c r="AK77" s="25"/>
      <c r="AL77" s="37">
        <f>AL36+AL41+AL67+AL72+AL47</f>
        <v>0</v>
      </c>
      <c r="AM77" s="37">
        <f>AM36+AM41+AM67+AM72+AM47</f>
        <v>0</v>
      </c>
      <c r="AN77" s="25"/>
      <c r="AO77" s="37">
        <f>AO36+AO41+AO67+AO72+AO47</f>
        <v>0</v>
      </c>
      <c r="AP77" s="37">
        <f>AP36+AP41+AP67+AP72+AP47</f>
        <v>0</v>
      </c>
      <c r="AQ77" s="22"/>
      <c r="AR77" s="33"/>
      <c r="AS77" s="33"/>
    </row>
    <row r="78" spans="1:45" ht="36">
      <c r="A78" s="115"/>
      <c r="B78" s="116"/>
      <c r="C78" s="117"/>
      <c r="D78" s="36" t="s">
        <v>5</v>
      </c>
      <c r="E78" s="37">
        <f t="shared" si="31"/>
        <v>2203.3000000000002</v>
      </c>
      <c r="F78" s="37">
        <f t="shared" si="31"/>
        <v>2031</v>
      </c>
      <c r="G78" s="25">
        <f t="shared" ref="G78:G79" si="67">F78/E78*100</f>
        <v>92.179911950256425</v>
      </c>
      <c r="H78" s="37">
        <f t="shared" ref="H78:I80" si="68">H37+H42+H68+H73+H48</f>
        <v>0</v>
      </c>
      <c r="I78" s="37">
        <f t="shared" si="68"/>
        <v>0</v>
      </c>
      <c r="J78" s="22"/>
      <c r="K78" s="37">
        <f t="shared" ref="K78:L80" si="69">K37+K42+K68+K73+K48</f>
        <v>0</v>
      </c>
      <c r="L78" s="37">
        <f t="shared" si="69"/>
        <v>0</v>
      </c>
      <c r="M78" s="25"/>
      <c r="N78" s="37">
        <f t="shared" ref="N78:O80" si="70">N37+N42+N68+N73+N48</f>
        <v>0</v>
      </c>
      <c r="O78" s="37">
        <f t="shared" si="70"/>
        <v>0</v>
      </c>
      <c r="P78" s="25"/>
      <c r="Q78" s="37">
        <f t="shared" ref="Q78:R80" si="71">Q37+Q42+Q68+Q73+Q48</f>
        <v>286</v>
      </c>
      <c r="R78" s="37">
        <f t="shared" si="71"/>
        <v>100</v>
      </c>
      <c r="S78" s="25">
        <f t="shared" ref="S78:S79" si="72">R78/Q78*100</f>
        <v>34.965034965034967</v>
      </c>
      <c r="T78" s="37">
        <f t="shared" ref="T78:U80" si="73">T37+T42+T68+T73+T48</f>
        <v>0</v>
      </c>
      <c r="U78" s="37">
        <f t="shared" si="73"/>
        <v>0</v>
      </c>
      <c r="V78" s="25"/>
      <c r="W78" s="37">
        <f t="shared" ref="W78:X80" si="74">W37+W42+W68+W73+W48</f>
        <v>0</v>
      </c>
      <c r="X78" s="37">
        <f t="shared" si="74"/>
        <v>186</v>
      </c>
      <c r="Y78" s="25"/>
      <c r="Z78" s="37">
        <f t="shared" ref="Z78:AA80" si="75">Z37+Z42+Z68+Z73+Z48</f>
        <v>50</v>
      </c>
      <c r="AA78" s="37">
        <f t="shared" si="75"/>
        <v>0</v>
      </c>
      <c r="AB78" s="25">
        <f t="shared" ref="AB78:AB79" si="76">AA78/Z78*100</f>
        <v>0</v>
      </c>
      <c r="AC78" s="37">
        <f t="shared" ref="AC78:AD80" si="77">AC37+AC42+AC68+AC73+AC48</f>
        <v>800</v>
      </c>
      <c r="AD78" s="37">
        <f t="shared" si="77"/>
        <v>620</v>
      </c>
      <c r="AE78" s="25">
        <f t="shared" ref="AE78:AE79" si="78">AD78/AC78*100</f>
        <v>77.5</v>
      </c>
      <c r="AF78" s="37">
        <f t="shared" ref="AF78:AG80" si="79">AF37+AF42+AF68+AF73+AF48</f>
        <v>895</v>
      </c>
      <c r="AG78" s="37">
        <f t="shared" si="79"/>
        <v>1125</v>
      </c>
      <c r="AH78" s="25">
        <f t="shared" ref="AH78:AH79" si="80">AG78/AF78*100</f>
        <v>125.69832402234637</v>
      </c>
      <c r="AI78" s="37">
        <f t="shared" ref="AI78:AJ80" si="81">AI37+AI42+AI68+AI73+AI48</f>
        <v>172.3</v>
      </c>
      <c r="AJ78" s="37">
        <f t="shared" si="81"/>
        <v>0</v>
      </c>
      <c r="AK78" s="25">
        <f t="shared" ref="AK78:AK79" si="82">AJ78/AI78*100</f>
        <v>0</v>
      </c>
      <c r="AL78" s="37">
        <f t="shared" ref="AL78:AM80" si="83">AL37+AL42+AL68+AL73+AL48</f>
        <v>0</v>
      </c>
      <c r="AM78" s="37">
        <f t="shared" si="83"/>
        <v>0</v>
      </c>
      <c r="AN78" s="25"/>
      <c r="AO78" s="37">
        <f t="shared" ref="AO78:AP80" si="84">AO37+AO42+AO68+AO73+AO48</f>
        <v>0</v>
      </c>
      <c r="AP78" s="37">
        <f t="shared" si="84"/>
        <v>0</v>
      </c>
      <c r="AQ78" s="22"/>
      <c r="AR78" s="33"/>
      <c r="AS78" s="33"/>
    </row>
    <row r="79" spans="1:45">
      <c r="A79" s="115"/>
      <c r="B79" s="116"/>
      <c r="C79" s="117"/>
      <c r="D79" s="36" t="s">
        <v>49</v>
      </c>
      <c r="E79" s="37">
        <f t="shared" si="31"/>
        <v>91231.8</v>
      </c>
      <c r="F79" s="37">
        <f t="shared" si="31"/>
        <v>22493.899999999998</v>
      </c>
      <c r="G79" s="25">
        <f t="shared" si="67"/>
        <v>24.655766958450887</v>
      </c>
      <c r="H79" s="37">
        <f t="shared" si="68"/>
        <v>0</v>
      </c>
      <c r="I79" s="37">
        <f t="shared" si="68"/>
        <v>0</v>
      </c>
      <c r="J79" s="22"/>
      <c r="K79" s="37">
        <f t="shared" si="69"/>
        <v>0</v>
      </c>
      <c r="L79" s="37">
        <f t="shared" si="69"/>
        <v>0</v>
      </c>
      <c r="M79" s="25"/>
      <c r="N79" s="37">
        <f t="shared" si="70"/>
        <v>264.3</v>
      </c>
      <c r="O79" s="37">
        <f t="shared" si="70"/>
        <v>235</v>
      </c>
      <c r="P79" s="25">
        <f t="shared" si="65"/>
        <v>88.914112750662127</v>
      </c>
      <c r="Q79" s="37">
        <f t="shared" si="71"/>
        <v>149</v>
      </c>
      <c r="R79" s="37">
        <f t="shared" si="71"/>
        <v>163.30000000000001</v>
      </c>
      <c r="S79" s="25">
        <f t="shared" si="72"/>
        <v>109.59731543624163</v>
      </c>
      <c r="T79" s="37">
        <f t="shared" si="73"/>
        <v>493</v>
      </c>
      <c r="U79" s="37">
        <f t="shared" si="73"/>
        <v>270</v>
      </c>
      <c r="V79" s="25">
        <f t="shared" ref="V79" si="85">U79/T79*100</f>
        <v>54.766734279918857</v>
      </c>
      <c r="W79" s="37">
        <f t="shared" si="74"/>
        <v>0</v>
      </c>
      <c r="X79" s="37">
        <f t="shared" si="74"/>
        <v>255</v>
      </c>
      <c r="Y79" s="25"/>
      <c r="Z79" s="37">
        <f t="shared" si="75"/>
        <v>2792</v>
      </c>
      <c r="AA79" s="37">
        <f t="shared" si="75"/>
        <v>552</v>
      </c>
      <c r="AB79" s="25">
        <f t="shared" si="76"/>
        <v>19.770773638968482</v>
      </c>
      <c r="AC79" s="37">
        <f t="shared" si="77"/>
        <v>44124</v>
      </c>
      <c r="AD79" s="37">
        <f t="shared" si="77"/>
        <v>3650.4</v>
      </c>
      <c r="AE79" s="25">
        <f t="shared" si="78"/>
        <v>8.2730486809899375</v>
      </c>
      <c r="AF79" s="37">
        <f t="shared" si="79"/>
        <v>28708.9</v>
      </c>
      <c r="AG79" s="37">
        <f t="shared" si="79"/>
        <v>17368.199999999997</v>
      </c>
      <c r="AH79" s="25">
        <f t="shared" si="80"/>
        <v>60.4976157219538</v>
      </c>
      <c r="AI79" s="37">
        <f t="shared" si="81"/>
        <v>14357.9</v>
      </c>
      <c r="AJ79" s="37">
        <f t="shared" si="81"/>
        <v>0</v>
      </c>
      <c r="AK79" s="25">
        <f t="shared" si="82"/>
        <v>0</v>
      </c>
      <c r="AL79" s="37">
        <f t="shared" si="83"/>
        <v>172.5</v>
      </c>
      <c r="AM79" s="37">
        <f t="shared" si="83"/>
        <v>0</v>
      </c>
      <c r="AN79" s="25">
        <f t="shared" ref="AN79" si="86">AM79/AL79*100</f>
        <v>0</v>
      </c>
      <c r="AO79" s="37">
        <f t="shared" si="84"/>
        <v>170.2</v>
      </c>
      <c r="AP79" s="37">
        <f t="shared" si="84"/>
        <v>0</v>
      </c>
      <c r="AQ79" s="22">
        <f t="shared" si="66"/>
        <v>0</v>
      </c>
      <c r="AR79" s="33"/>
      <c r="AS79" s="33"/>
    </row>
    <row r="80" spans="1:45">
      <c r="A80" s="115"/>
      <c r="B80" s="116"/>
      <c r="C80" s="117"/>
      <c r="D80" s="36" t="s">
        <v>24</v>
      </c>
      <c r="E80" s="37">
        <f t="shared" si="31"/>
        <v>0</v>
      </c>
      <c r="F80" s="37">
        <f t="shared" si="31"/>
        <v>0</v>
      </c>
      <c r="G80" s="37"/>
      <c r="H80" s="37">
        <f t="shared" si="68"/>
        <v>0</v>
      </c>
      <c r="I80" s="37">
        <f t="shared" si="68"/>
        <v>0</v>
      </c>
      <c r="J80" s="37"/>
      <c r="K80" s="37">
        <f t="shared" si="69"/>
        <v>0</v>
      </c>
      <c r="L80" s="37">
        <f t="shared" si="69"/>
        <v>0</v>
      </c>
      <c r="M80" s="37"/>
      <c r="N80" s="37">
        <f t="shared" si="70"/>
        <v>0</v>
      </c>
      <c r="O80" s="37">
        <f t="shared" si="70"/>
        <v>0</v>
      </c>
      <c r="P80" s="37"/>
      <c r="Q80" s="37">
        <f t="shared" si="71"/>
        <v>0</v>
      </c>
      <c r="R80" s="37">
        <f t="shared" si="71"/>
        <v>0</v>
      </c>
      <c r="S80" s="37"/>
      <c r="T80" s="37">
        <f t="shared" si="73"/>
        <v>0</v>
      </c>
      <c r="U80" s="37">
        <f t="shared" si="73"/>
        <v>0</v>
      </c>
      <c r="V80" s="37"/>
      <c r="W80" s="37">
        <f t="shared" si="74"/>
        <v>0</v>
      </c>
      <c r="X80" s="37">
        <f t="shared" si="74"/>
        <v>0</v>
      </c>
      <c r="Y80" s="37"/>
      <c r="Z80" s="37">
        <f t="shared" si="75"/>
        <v>0</v>
      </c>
      <c r="AA80" s="37">
        <f t="shared" si="75"/>
        <v>0</v>
      </c>
      <c r="AB80" s="37"/>
      <c r="AC80" s="37">
        <f t="shared" si="77"/>
        <v>0</v>
      </c>
      <c r="AD80" s="37">
        <f t="shared" si="77"/>
        <v>0</v>
      </c>
      <c r="AE80" s="37"/>
      <c r="AF80" s="37">
        <f t="shared" si="79"/>
        <v>0</v>
      </c>
      <c r="AG80" s="37">
        <f t="shared" si="79"/>
        <v>0</v>
      </c>
      <c r="AH80" s="37"/>
      <c r="AI80" s="37">
        <f t="shared" si="81"/>
        <v>0</v>
      </c>
      <c r="AJ80" s="37">
        <f t="shared" si="81"/>
        <v>0</v>
      </c>
      <c r="AK80" s="37"/>
      <c r="AL80" s="37">
        <f t="shared" si="83"/>
        <v>0</v>
      </c>
      <c r="AM80" s="37">
        <f t="shared" si="83"/>
        <v>0</v>
      </c>
      <c r="AN80" s="37"/>
      <c r="AO80" s="37">
        <f t="shared" si="84"/>
        <v>0</v>
      </c>
      <c r="AP80" s="37">
        <f t="shared" si="84"/>
        <v>0</v>
      </c>
      <c r="AQ80" s="23"/>
      <c r="AR80" s="33"/>
      <c r="AS80" s="33"/>
    </row>
    <row r="81" spans="1:45" ht="12.75" customHeight="1">
      <c r="A81" s="118"/>
      <c r="B81" s="119"/>
      <c r="C81" s="120"/>
      <c r="D81" s="36" t="s">
        <v>137</v>
      </c>
      <c r="E81" s="37">
        <f t="shared" si="31"/>
        <v>0</v>
      </c>
      <c r="F81" s="37">
        <f t="shared" si="31"/>
        <v>4399.2</v>
      </c>
      <c r="G81" s="37"/>
      <c r="H81" s="37"/>
      <c r="I81" s="37"/>
      <c r="J81" s="37"/>
      <c r="K81" s="37"/>
      <c r="L81" s="37"/>
      <c r="M81" s="37"/>
      <c r="N81" s="37"/>
      <c r="O81" s="37">
        <f>O45</f>
        <v>4399.2</v>
      </c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23"/>
      <c r="AR81" s="33"/>
      <c r="AS81" s="33"/>
    </row>
    <row r="82" spans="1:45" ht="16.5" customHeight="1">
      <c r="A82" s="35" t="s">
        <v>57</v>
      </c>
      <c r="B82" s="34" t="s">
        <v>11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3"/>
      <c r="AS82" s="33"/>
    </row>
    <row r="83" spans="1:45" ht="24.75" customHeight="1">
      <c r="A83" s="90" t="s">
        <v>58</v>
      </c>
      <c r="B83" s="90" t="s">
        <v>95</v>
      </c>
      <c r="C83" s="90" t="s">
        <v>7</v>
      </c>
      <c r="D83" s="35" t="s">
        <v>4</v>
      </c>
      <c r="E83" s="23">
        <f t="shared" ref="E83:F98" si="87">H83+K83+N83+Q83+T83+W83+Z83+AC83+AF83+AI83+AL83+AO83</f>
        <v>45</v>
      </c>
      <c r="F83" s="23">
        <f t="shared" si="87"/>
        <v>20</v>
      </c>
      <c r="G83" s="24">
        <f>F83/E83*100</f>
        <v>44.444444444444443</v>
      </c>
      <c r="H83" s="23">
        <f>H84+H85+H86+H87</f>
        <v>0</v>
      </c>
      <c r="I83" s="23"/>
      <c r="J83" s="21"/>
      <c r="K83" s="23">
        <f t="shared" ref="K83:AO83" si="88">K84+K85+K86+K87</f>
        <v>20</v>
      </c>
      <c r="L83" s="23">
        <f t="shared" si="88"/>
        <v>20</v>
      </c>
      <c r="M83" s="24">
        <f>L83/K83*100</f>
        <v>100</v>
      </c>
      <c r="N83" s="23">
        <f t="shared" si="88"/>
        <v>0</v>
      </c>
      <c r="O83" s="23">
        <f t="shared" si="88"/>
        <v>0</v>
      </c>
      <c r="P83" s="24"/>
      <c r="Q83" s="23">
        <f t="shared" si="88"/>
        <v>0</v>
      </c>
      <c r="R83" s="23">
        <f t="shared" si="88"/>
        <v>0</v>
      </c>
      <c r="S83" s="24"/>
      <c r="T83" s="23">
        <f t="shared" si="88"/>
        <v>0</v>
      </c>
      <c r="U83" s="23">
        <f t="shared" si="88"/>
        <v>0</v>
      </c>
      <c r="V83" s="24"/>
      <c r="W83" s="23">
        <f t="shared" si="88"/>
        <v>0</v>
      </c>
      <c r="X83" s="23"/>
      <c r="Y83" s="21"/>
      <c r="Z83" s="23">
        <f t="shared" si="88"/>
        <v>0</v>
      </c>
      <c r="AA83" s="23">
        <f t="shared" si="88"/>
        <v>0</v>
      </c>
      <c r="AB83" s="21"/>
      <c r="AC83" s="23">
        <f t="shared" si="88"/>
        <v>0</v>
      </c>
      <c r="AD83" s="23">
        <f t="shared" si="88"/>
        <v>0</v>
      </c>
      <c r="AE83" s="21"/>
      <c r="AF83" s="23">
        <f t="shared" si="88"/>
        <v>0</v>
      </c>
      <c r="AG83" s="23"/>
      <c r="AH83" s="21"/>
      <c r="AI83" s="23">
        <f t="shared" si="88"/>
        <v>0</v>
      </c>
      <c r="AJ83" s="23">
        <f t="shared" si="88"/>
        <v>0</v>
      </c>
      <c r="AK83" s="21"/>
      <c r="AL83" s="23">
        <f t="shared" si="88"/>
        <v>25</v>
      </c>
      <c r="AM83" s="23">
        <f t="shared" si="88"/>
        <v>0</v>
      </c>
      <c r="AN83" s="24">
        <f>AM83/AL83*100</f>
        <v>0</v>
      </c>
      <c r="AO83" s="23">
        <f t="shared" si="88"/>
        <v>0</v>
      </c>
      <c r="AP83" s="23"/>
      <c r="AQ83" s="21" t="e">
        <f t="shared" ref="AQ83:AQ86" si="89">AP83/AO83</f>
        <v>#DIV/0!</v>
      </c>
      <c r="AR83" s="33"/>
      <c r="AS83" s="33"/>
    </row>
    <row r="84" spans="1:45" ht="13.5" customHeight="1">
      <c r="A84" s="90"/>
      <c r="B84" s="90"/>
      <c r="C84" s="90"/>
      <c r="D84" s="35" t="s">
        <v>23</v>
      </c>
      <c r="E84" s="23">
        <f t="shared" si="87"/>
        <v>0</v>
      </c>
      <c r="F84" s="23">
        <f t="shared" si="87"/>
        <v>0</v>
      </c>
      <c r="G84" s="24"/>
      <c r="H84" s="23"/>
      <c r="I84" s="23"/>
      <c r="J84" s="21"/>
      <c r="K84" s="23"/>
      <c r="L84" s="23"/>
      <c r="M84" s="24"/>
      <c r="N84" s="23"/>
      <c r="O84" s="23"/>
      <c r="P84" s="24"/>
      <c r="Q84" s="23"/>
      <c r="R84" s="23"/>
      <c r="S84" s="24"/>
      <c r="T84" s="23"/>
      <c r="U84" s="23"/>
      <c r="V84" s="24"/>
      <c r="W84" s="23"/>
      <c r="X84" s="23"/>
      <c r="Y84" s="21"/>
      <c r="Z84" s="23"/>
      <c r="AA84" s="23"/>
      <c r="AB84" s="21"/>
      <c r="AC84" s="23"/>
      <c r="AD84" s="23"/>
      <c r="AE84" s="21"/>
      <c r="AF84" s="23"/>
      <c r="AG84" s="23"/>
      <c r="AH84" s="21"/>
      <c r="AI84" s="23"/>
      <c r="AJ84" s="23"/>
      <c r="AK84" s="21"/>
      <c r="AL84" s="23"/>
      <c r="AM84" s="23"/>
      <c r="AN84" s="24"/>
      <c r="AO84" s="23"/>
      <c r="AP84" s="23"/>
      <c r="AQ84" s="21"/>
      <c r="AR84" s="33"/>
      <c r="AS84" s="33"/>
    </row>
    <row r="85" spans="1:45" ht="15" customHeight="1">
      <c r="A85" s="90"/>
      <c r="B85" s="90"/>
      <c r="C85" s="90"/>
      <c r="D85" s="35" t="s">
        <v>5</v>
      </c>
      <c r="E85" s="23">
        <f t="shared" si="87"/>
        <v>0</v>
      </c>
      <c r="F85" s="23">
        <f t="shared" si="87"/>
        <v>0</v>
      </c>
      <c r="G85" s="24"/>
      <c r="H85" s="23"/>
      <c r="I85" s="23"/>
      <c r="J85" s="21"/>
      <c r="K85" s="23"/>
      <c r="L85" s="23"/>
      <c r="M85" s="24"/>
      <c r="N85" s="23"/>
      <c r="O85" s="23"/>
      <c r="P85" s="24"/>
      <c r="Q85" s="23"/>
      <c r="R85" s="23"/>
      <c r="S85" s="24"/>
      <c r="T85" s="23"/>
      <c r="U85" s="23"/>
      <c r="V85" s="24"/>
      <c r="W85" s="23"/>
      <c r="X85" s="23"/>
      <c r="Y85" s="21"/>
      <c r="Z85" s="23"/>
      <c r="AA85" s="23"/>
      <c r="AB85" s="21"/>
      <c r="AC85" s="23"/>
      <c r="AD85" s="23"/>
      <c r="AE85" s="21"/>
      <c r="AF85" s="23"/>
      <c r="AG85" s="23"/>
      <c r="AH85" s="21"/>
      <c r="AI85" s="23"/>
      <c r="AJ85" s="23"/>
      <c r="AK85" s="21"/>
      <c r="AL85" s="23"/>
      <c r="AM85" s="23"/>
      <c r="AN85" s="24"/>
      <c r="AO85" s="23"/>
      <c r="AP85" s="23"/>
      <c r="AQ85" s="21"/>
      <c r="AR85" s="40"/>
      <c r="AS85" s="40"/>
    </row>
    <row r="86" spans="1:45" ht="24.6" customHeight="1">
      <c r="A86" s="90"/>
      <c r="B86" s="90"/>
      <c r="C86" s="90"/>
      <c r="D86" s="35" t="s">
        <v>49</v>
      </c>
      <c r="E86" s="23">
        <f t="shared" si="87"/>
        <v>45</v>
      </c>
      <c r="F86" s="23">
        <f t="shared" si="87"/>
        <v>20</v>
      </c>
      <c r="G86" s="24">
        <f t="shared" ref="G86" si="90">F86/E86*100</f>
        <v>44.444444444444443</v>
      </c>
      <c r="H86" s="23"/>
      <c r="I86" s="23"/>
      <c r="J86" s="21"/>
      <c r="K86" s="23">
        <v>20</v>
      </c>
      <c r="L86" s="23">
        <v>20</v>
      </c>
      <c r="M86" s="24">
        <f t="shared" ref="M86" si="91">L86/K86*100</f>
        <v>100</v>
      </c>
      <c r="N86" s="23"/>
      <c r="O86" s="23"/>
      <c r="P86" s="24"/>
      <c r="Q86" s="23"/>
      <c r="R86" s="23"/>
      <c r="S86" s="24"/>
      <c r="T86" s="23"/>
      <c r="U86" s="23"/>
      <c r="V86" s="24"/>
      <c r="W86" s="23"/>
      <c r="X86" s="23"/>
      <c r="Y86" s="21"/>
      <c r="Z86" s="23"/>
      <c r="AA86" s="23"/>
      <c r="AB86" s="21"/>
      <c r="AC86" s="23"/>
      <c r="AD86" s="23"/>
      <c r="AE86" s="21"/>
      <c r="AF86" s="23"/>
      <c r="AG86" s="23"/>
      <c r="AH86" s="21"/>
      <c r="AI86" s="23"/>
      <c r="AJ86" s="23"/>
      <c r="AK86" s="21"/>
      <c r="AL86" s="23">
        <v>25</v>
      </c>
      <c r="AM86" s="23"/>
      <c r="AN86" s="24">
        <f t="shared" ref="AN86" si="92">AM86/AL86*100</f>
        <v>0</v>
      </c>
      <c r="AO86" s="23"/>
      <c r="AP86" s="23"/>
      <c r="AQ86" s="21" t="e">
        <f t="shared" si="89"/>
        <v>#DIV/0!</v>
      </c>
      <c r="AR86" s="83" t="s">
        <v>139</v>
      </c>
      <c r="AS86" s="40"/>
    </row>
    <row r="87" spans="1:45" ht="15.75" customHeight="1">
      <c r="A87" s="90"/>
      <c r="B87" s="90"/>
      <c r="C87" s="90"/>
      <c r="D87" s="35" t="s">
        <v>24</v>
      </c>
      <c r="E87" s="23">
        <f t="shared" si="87"/>
        <v>0</v>
      </c>
      <c r="F87" s="23">
        <f t="shared" si="87"/>
        <v>0</v>
      </c>
      <c r="G87" s="24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4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4"/>
      <c r="AO87" s="23"/>
      <c r="AP87" s="23"/>
      <c r="AQ87" s="23"/>
      <c r="AR87" s="33"/>
      <c r="AS87" s="33"/>
    </row>
    <row r="88" spans="1:45" ht="34.15" customHeight="1">
      <c r="A88" s="90" t="s">
        <v>59</v>
      </c>
      <c r="B88" s="90" t="s">
        <v>96</v>
      </c>
      <c r="C88" s="90" t="s">
        <v>7</v>
      </c>
      <c r="D88" s="35" t="s">
        <v>4</v>
      </c>
      <c r="E88" s="23">
        <f t="shared" si="87"/>
        <v>586.79999999999995</v>
      </c>
      <c r="F88" s="23">
        <f t="shared" si="87"/>
        <v>487.9</v>
      </c>
      <c r="G88" s="24">
        <f>F88/E88*100</f>
        <v>83.145875937286988</v>
      </c>
      <c r="H88" s="23">
        <f>H89+H90+H91+H92</f>
        <v>290.8</v>
      </c>
      <c r="I88" s="23">
        <f>I89+I90+I91+I92</f>
        <v>290.8</v>
      </c>
      <c r="J88" s="24">
        <f>I88/H88*100</f>
        <v>100</v>
      </c>
      <c r="K88" s="23">
        <f t="shared" ref="K88:AO88" si="93">K89+K90+K91+K92</f>
        <v>0</v>
      </c>
      <c r="L88" s="23">
        <f t="shared" si="93"/>
        <v>0</v>
      </c>
      <c r="M88" s="21"/>
      <c r="N88" s="23">
        <f t="shared" si="93"/>
        <v>-11.1</v>
      </c>
      <c r="O88" s="23">
        <f t="shared" si="93"/>
        <v>-11.1</v>
      </c>
      <c r="P88" s="24">
        <f>O88/N88*100</f>
        <v>100</v>
      </c>
      <c r="Q88" s="23">
        <f t="shared" si="93"/>
        <v>36</v>
      </c>
      <c r="R88" s="23">
        <f t="shared" si="93"/>
        <v>0</v>
      </c>
      <c r="S88" s="24">
        <f>R88/Q88*100</f>
        <v>0</v>
      </c>
      <c r="T88" s="23">
        <f t="shared" si="93"/>
        <v>0</v>
      </c>
      <c r="U88" s="23">
        <f t="shared" si="93"/>
        <v>0</v>
      </c>
      <c r="V88" s="24"/>
      <c r="W88" s="23">
        <f t="shared" si="93"/>
        <v>97.200000000000017</v>
      </c>
      <c r="X88" s="23">
        <f t="shared" si="93"/>
        <v>133.19999999999999</v>
      </c>
      <c r="Y88" s="24">
        <f>X88/W88*100</f>
        <v>137.03703703703701</v>
      </c>
      <c r="Z88" s="23">
        <f t="shared" si="93"/>
        <v>0</v>
      </c>
      <c r="AA88" s="23">
        <f t="shared" si="93"/>
        <v>0</v>
      </c>
      <c r="AB88" s="21"/>
      <c r="AC88" s="23">
        <f t="shared" si="93"/>
        <v>75</v>
      </c>
      <c r="AD88" s="23">
        <f t="shared" si="93"/>
        <v>75</v>
      </c>
      <c r="AE88" s="24">
        <f>AD88/AC88*100</f>
        <v>100</v>
      </c>
      <c r="AF88" s="23">
        <f t="shared" si="93"/>
        <v>0</v>
      </c>
      <c r="AG88" s="23"/>
      <c r="AH88" s="21"/>
      <c r="AI88" s="23">
        <f t="shared" si="93"/>
        <v>98.9</v>
      </c>
      <c r="AJ88" s="23">
        <f t="shared" si="93"/>
        <v>0</v>
      </c>
      <c r="AK88" s="24">
        <f>AJ88/AI88*100</f>
        <v>0</v>
      </c>
      <c r="AL88" s="23">
        <f t="shared" si="93"/>
        <v>0</v>
      </c>
      <c r="AM88" s="23">
        <f t="shared" si="93"/>
        <v>0</v>
      </c>
      <c r="AN88" s="24" t="e">
        <f>AM88/AL88*100</f>
        <v>#DIV/0!</v>
      </c>
      <c r="AO88" s="23">
        <f t="shared" si="93"/>
        <v>0</v>
      </c>
      <c r="AP88" s="23"/>
      <c r="AQ88" s="21" t="e">
        <f t="shared" ref="AQ88:AQ91" si="94">AP88/AO88</f>
        <v>#DIV/0!</v>
      </c>
      <c r="AR88" s="33"/>
      <c r="AS88" s="33"/>
    </row>
    <row r="89" spans="1:45" ht="34.15" customHeight="1">
      <c r="A89" s="90"/>
      <c r="B89" s="90"/>
      <c r="C89" s="90"/>
      <c r="D89" s="35" t="s">
        <v>23</v>
      </c>
      <c r="E89" s="23">
        <f t="shared" si="87"/>
        <v>0</v>
      </c>
      <c r="F89" s="23">
        <f t="shared" si="87"/>
        <v>0</v>
      </c>
      <c r="G89" s="24"/>
      <c r="H89" s="23"/>
      <c r="I89" s="23"/>
      <c r="J89" s="24"/>
      <c r="K89" s="23"/>
      <c r="L89" s="23"/>
      <c r="M89" s="21"/>
      <c r="N89" s="23"/>
      <c r="O89" s="23"/>
      <c r="P89" s="24"/>
      <c r="Q89" s="23"/>
      <c r="R89" s="23"/>
      <c r="S89" s="24"/>
      <c r="T89" s="23"/>
      <c r="U89" s="23"/>
      <c r="V89" s="24"/>
      <c r="W89" s="23"/>
      <c r="X89" s="23"/>
      <c r="Y89" s="24"/>
      <c r="Z89" s="23"/>
      <c r="AA89" s="23"/>
      <c r="AB89" s="21"/>
      <c r="AC89" s="23"/>
      <c r="AD89" s="23"/>
      <c r="AE89" s="24"/>
      <c r="AF89" s="23"/>
      <c r="AG89" s="23"/>
      <c r="AH89" s="21"/>
      <c r="AI89" s="23"/>
      <c r="AJ89" s="23"/>
      <c r="AK89" s="24"/>
      <c r="AL89" s="23"/>
      <c r="AM89" s="23"/>
      <c r="AN89" s="24"/>
      <c r="AO89" s="23"/>
      <c r="AP89" s="23"/>
      <c r="AQ89" s="21"/>
      <c r="AR89" s="33"/>
      <c r="AS89" s="33"/>
    </row>
    <row r="90" spans="1:45" ht="34.15" customHeight="1">
      <c r="A90" s="90"/>
      <c r="B90" s="90"/>
      <c r="C90" s="90"/>
      <c r="D90" s="35" t="s">
        <v>5</v>
      </c>
      <c r="E90" s="23">
        <f t="shared" si="87"/>
        <v>0</v>
      </c>
      <c r="F90" s="23">
        <f t="shared" si="87"/>
        <v>0</v>
      </c>
      <c r="G90" s="24"/>
      <c r="H90" s="23"/>
      <c r="I90" s="23"/>
      <c r="J90" s="24"/>
      <c r="K90" s="23"/>
      <c r="L90" s="23"/>
      <c r="M90" s="21"/>
      <c r="N90" s="23"/>
      <c r="O90" s="23"/>
      <c r="P90" s="24"/>
      <c r="Q90" s="23"/>
      <c r="R90" s="23"/>
      <c r="S90" s="24"/>
      <c r="T90" s="23"/>
      <c r="U90" s="23"/>
      <c r="V90" s="24"/>
      <c r="W90" s="23"/>
      <c r="X90" s="23"/>
      <c r="Y90" s="24"/>
      <c r="Z90" s="23"/>
      <c r="AA90" s="23"/>
      <c r="AB90" s="21"/>
      <c r="AC90" s="23"/>
      <c r="AD90" s="23"/>
      <c r="AE90" s="24"/>
      <c r="AF90" s="23"/>
      <c r="AG90" s="23"/>
      <c r="AH90" s="21"/>
      <c r="AI90" s="23"/>
      <c r="AJ90" s="23"/>
      <c r="AK90" s="24"/>
      <c r="AL90" s="23"/>
      <c r="AM90" s="23"/>
      <c r="AN90" s="24"/>
      <c r="AO90" s="23"/>
      <c r="AP90" s="23"/>
      <c r="AQ90" s="21"/>
      <c r="AR90" s="33"/>
      <c r="AS90" s="33"/>
    </row>
    <row r="91" spans="1:45" ht="96.75" customHeight="1">
      <c r="A91" s="90"/>
      <c r="B91" s="90"/>
      <c r="C91" s="90"/>
      <c r="D91" s="35" t="s">
        <v>49</v>
      </c>
      <c r="E91" s="23">
        <f t="shared" si="87"/>
        <v>586.79999999999995</v>
      </c>
      <c r="F91" s="23">
        <f t="shared" si="87"/>
        <v>487.9</v>
      </c>
      <c r="G91" s="24">
        <f t="shared" ref="G91" si="95">F91/E91*100</f>
        <v>83.145875937286988</v>
      </c>
      <c r="H91" s="23">
        <f>230.9+59.9</f>
        <v>290.8</v>
      </c>
      <c r="I91" s="23">
        <v>290.8</v>
      </c>
      <c r="J91" s="24">
        <f t="shared" ref="J91" si="96">I91/H91*100</f>
        <v>100</v>
      </c>
      <c r="K91" s="23"/>
      <c r="L91" s="23"/>
      <c r="M91" s="21"/>
      <c r="N91" s="23">
        <f>8.4-19.5</f>
        <v>-11.1</v>
      </c>
      <c r="O91" s="23">
        <v>-11.1</v>
      </c>
      <c r="P91" s="24">
        <f t="shared" ref="P91" si="97">O91/N91*100</f>
        <v>100</v>
      </c>
      <c r="Q91" s="23">
        <f>44.4+8.4-16.8</f>
        <v>36</v>
      </c>
      <c r="R91" s="23"/>
      <c r="S91" s="24">
        <f t="shared" ref="S91" si="98">R91/Q91*100</f>
        <v>0</v>
      </c>
      <c r="T91" s="23"/>
      <c r="U91" s="23"/>
      <c r="V91" s="24"/>
      <c r="W91" s="23">
        <f>121.9+8.4+11.3-44.4</f>
        <v>97.200000000000017</v>
      </c>
      <c r="X91" s="23">
        <v>133.19999999999999</v>
      </c>
      <c r="Y91" s="24">
        <f t="shared" ref="Y91" si="99">X91/W91*100</f>
        <v>137.03703703703701</v>
      </c>
      <c r="Z91" s="23"/>
      <c r="AA91" s="23"/>
      <c r="AB91" s="21"/>
      <c r="AC91" s="23">
        <f>8.4+75-8.4</f>
        <v>75</v>
      </c>
      <c r="AD91" s="23">
        <v>75</v>
      </c>
      <c r="AE91" s="24">
        <f t="shared" ref="AE91" si="100">AD91/AC91*100</f>
        <v>100</v>
      </c>
      <c r="AF91" s="23"/>
      <c r="AG91" s="23"/>
      <c r="AH91" s="21"/>
      <c r="AI91" s="23">
        <v>98.9</v>
      </c>
      <c r="AJ91" s="23">
        <v>0</v>
      </c>
      <c r="AK91" s="24">
        <f t="shared" ref="AK91" si="101">AJ91/AI91*100</f>
        <v>0</v>
      </c>
      <c r="AL91" s="23">
        <f>44.5+8.4-52.9</f>
        <v>0</v>
      </c>
      <c r="AM91" s="23"/>
      <c r="AN91" s="24" t="e">
        <f t="shared" ref="AN91" si="102">AM91/AL91*100</f>
        <v>#DIV/0!</v>
      </c>
      <c r="AO91" s="23"/>
      <c r="AP91" s="23"/>
      <c r="AQ91" s="21" t="e">
        <f t="shared" si="94"/>
        <v>#DIV/0!</v>
      </c>
      <c r="AR91" s="55" t="s">
        <v>175</v>
      </c>
      <c r="AS91" s="83"/>
    </row>
    <row r="92" spans="1:45" ht="17.45" customHeight="1">
      <c r="A92" s="90"/>
      <c r="B92" s="90"/>
      <c r="C92" s="90"/>
      <c r="D92" s="35" t="s">
        <v>24</v>
      </c>
      <c r="E92" s="23">
        <f t="shared" si="87"/>
        <v>0</v>
      </c>
      <c r="F92" s="23">
        <f t="shared" si="87"/>
        <v>0</v>
      </c>
      <c r="G92" s="24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33"/>
      <c r="AS92" s="33"/>
    </row>
    <row r="93" spans="1:45" ht="15.75" customHeight="1">
      <c r="A93" s="90" t="s">
        <v>60</v>
      </c>
      <c r="B93" s="90" t="s">
        <v>97</v>
      </c>
      <c r="C93" s="90" t="s">
        <v>7</v>
      </c>
      <c r="D93" s="35" t="s">
        <v>4</v>
      </c>
      <c r="E93" s="23">
        <f t="shared" si="87"/>
        <v>0</v>
      </c>
      <c r="F93" s="23">
        <f t="shared" si="87"/>
        <v>0</v>
      </c>
      <c r="G93" s="23"/>
      <c r="H93" s="23">
        <f>H94+H95+H96+H97</f>
        <v>0</v>
      </c>
      <c r="I93" s="23"/>
      <c r="J93" s="23"/>
      <c r="K93" s="23">
        <f t="shared" ref="K93:AO93" si="103">K94+K95+K96+K97</f>
        <v>0</v>
      </c>
      <c r="L93" s="23"/>
      <c r="M93" s="23"/>
      <c r="N93" s="23">
        <f t="shared" si="103"/>
        <v>0</v>
      </c>
      <c r="O93" s="23"/>
      <c r="P93" s="23"/>
      <c r="Q93" s="23">
        <f t="shared" si="103"/>
        <v>0</v>
      </c>
      <c r="R93" s="23"/>
      <c r="S93" s="23"/>
      <c r="T93" s="23">
        <f t="shared" si="103"/>
        <v>0</v>
      </c>
      <c r="U93" s="23"/>
      <c r="V93" s="23"/>
      <c r="W93" s="23">
        <f t="shared" si="103"/>
        <v>0</v>
      </c>
      <c r="X93" s="23"/>
      <c r="Y93" s="23"/>
      <c r="Z93" s="23">
        <f t="shared" si="103"/>
        <v>0</v>
      </c>
      <c r="AA93" s="23"/>
      <c r="AB93" s="23"/>
      <c r="AC93" s="23">
        <f t="shared" si="103"/>
        <v>0</v>
      </c>
      <c r="AD93" s="23"/>
      <c r="AE93" s="23"/>
      <c r="AF93" s="23">
        <f t="shared" si="103"/>
        <v>0</v>
      </c>
      <c r="AG93" s="23"/>
      <c r="AH93" s="23"/>
      <c r="AI93" s="23">
        <f t="shared" si="103"/>
        <v>0</v>
      </c>
      <c r="AJ93" s="23"/>
      <c r="AK93" s="23"/>
      <c r="AL93" s="23">
        <f t="shared" si="103"/>
        <v>0</v>
      </c>
      <c r="AM93" s="23"/>
      <c r="AN93" s="23"/>
      <c r="AO93" s="23">
        <f t="shared" si="103"/>
        <v>0</v>
      </c>
      <c r="AP93" s="23"/>
      <c r="AQ93" s="23"/>
      <c r="AR93" s="33"/>
      <c r="AS93" s="33"/>
    </row>
    <row r="94" spans="1:45">
      <c r="A94" s="90"/>
      <c r="B94" s="90"/>
      <c r="C94" s="90"/>
      <c r="D94" s="35" t="s">
        <v>23</v>
      </c>
      <c r="E94" s="23">
        <f t="shared" si="87"/>
        <v>0</v>
      </c>
      <c r="F94" s="23">
        <f t="shared" si="87"/>
        <v>0</v>
      </c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33"/>
      <c r="AS94" s="33"/>
    </row>
    <row r="95" spans="1:45" ht="48.75" customHeight="1">
      <c r="A95" s="90"/>
      <c r="B95" s="90"/>
      <c r="C95" s="90"/>
      <c r="D95" s="35" t="s">
        <v>5</v>
      </c>
      <c r="E95" s="23">
        <f t="shared" si="87"/>
        <v>0</v>
      </c>
      <c r="F95" s="23">
        <f t="shared" si="87"/>
        <v>0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33"/>
      <c r="AS95" s="33"/>
    </row>
    <row r="96" spans="1:45" ht="24">
      <c r="A96" s="90"/>
      <c r="B96" s="90"/>
      <c r="C96" s="90"/>
      <c r="D96" s="35" t="s">
        <v>6</v>
      </c>
      <c r="E96" s="23">
        <f t="shared" si="87"/>
        <v>0</v>
      </c>
      <c r="F96" s="23">
        <f t="shared" si="87"/>
        <v>0</v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33"/>
      <c r="AS96" s="33"/>
    </row>
    <row r="97" spans="1:45" ht="15.75" customHeight="1">
      <c r="A97" s="90"/>
      <c r="B97" s="90"/>
      <c r="C97" s="90"/>
      <c r="D97" s="35" t="s">
        <v>24</v>
      </c>
      <c r="E97" s="23">
        <f t="shared" si="87"/>
        <v>0</v>
      </c>
      <c r="F97" s="23">
        <f t="shared" si="87"/>
        <v>0</v>
      </c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33"/>
      <c r="AS97" s="33"/>
    </row>
    <row r="98" spans="1:45" ht="15.75" customHeight="1">
      <c r="A98" s="90" t="s">
        <v>61</v>
      </c>
      <c r="B98" s="90" t="s">
        <v>98</v>
      </c>
      <c r="C98" s="90" t="s">
        <v>7</v>
      </c>
      <c r="D98" s="35" t="s">
        <v>4</v>
      </c>
      <c r="E98" s="23">
        <f t="shared" si="87"/>
        <v>685.19999999999993</v>
      </c>
      <c r="F98" s="23">
        <f t="shared" si="87"/>
        <v>532.4</v>
      </c>
      <c r="G98" s="24">
        <f>F98/E98*100</f>
        <v>77.699941622883841</v>
      </c>
      <c r="H98" s="23">
        <f>H99+H100+H101+H102</f>
        <v>0</v>
      </c>
      <c r="I98" s="23"/>
      <c r="J98" s="21"/>
      <c r="K98" s="23">
        <f t="shared" ref="K98:AO98" si="104">K99+K100+K101+K102</f>
        <v>1</v>
      </c>
      <c r="L98" s="23">
        <f t="shared" si="104"/>
        <v>1</v>
      </c>
      <c r="M98" s="24">
        <f>L98/K98*100</f>
        <v>100</v>
      </c>
      <c r="N98" s="23">
        <f t="shared" si="104"/>
        <v>0</v>
      </c>
      <c r="O98" s="23">
        <f t="shared" si="104"/>
        <v>0</v>
      </c>
      <c r="P98" s="24"/>
      <c r="Q98" s="23">
        <f t="shared" si="104"/>
        <v>100</v>
      </c>
      <c r="R98" s="23">
        <f t="shared" si="104"/>
        <v>100</v>
      </c>
      <c r="S98" s="24">
        <f>R98/Q98*100</f>
        <v>100</v>
      </c>
      <c r="T98" s="23">
        <f t="shared" si="104"/>
        <v>0</v>
      </c>
      <c r="U98" s="23">
        <f t="shared" si="104"/>
        <v>0</v>
      </c>
      <c r="V98" s="24"/>
      <c r="W98" s="23">
        <f t="shared" si="104"/>
        <v>0</v>
      </c>
      <c r="X98" s="23">
        <f t="shared" si="104"/>
        <v>0</v>
      </c>
      <c r="Y98" s="24"/>
      <c r="Z98" s="23">
        <f t="shared" si="104"/>
        <v>100</v>
      </c>
      <c r="AA98" s="23">
        <f t="shared" si="104"/>
        <v>0</v>
      </c>
      <c r="AB98" s="24">
        <f>AA98/Z98*100</f>
        <v>0</v>
      </c>
      <c r="AC98" s="23">
        <f t="shared" si="104"/>
        <v>432.4</v>
      </c>
      <c r="AD98" s="23">
        <f t="shared" si="104"/>
        <v>-1</v>
      </c>
      <c r="AE98" s="24">
        <f>AD98/AC98*100</f>
        <v>-0.23126734505087881</v>
      </c>
      <c r="AF98" s="23">
        <f t="shared" si="104"/>
        <v>0</v>
      </c>
      <c r="AG98" s="23">
        <f t="shared" si="104"/>
        <v>432.4</v>
      </c>
      <c r="AH98" s="24"/>
      <c r="AI98" s="23">
        <f t="shared" si="104"/>
        <v>51.8</v>
      </c>
      <c r="AJ98" s="23">
        <f t="shared" si="104"/>
        <v>0</v>
      </c>
      <c r="AK98" s="24"/>
      <c r="AL98" s="23">
        <f t="shared" si="104"/>
        <v>0</v>
      </c>
      <c r="AM98" s="23">
        <f t="shared" si="104"/>
        <v>0</v>
      </c>
      <c r="AN98" s="24" t="e">
        <f>AM98/AL98*100</f>
        <v>#DIV/0!</v>
      </c>
      <c r="AO98" s="23">
        <f t="shared" si="104"/>
        <v>0</v>
      </c>
      <c r="AP98" s="23"/>
      <c r="AQ98" s="21" t="e">
        <f t="shared" ref="AQ98:AQ101" si="105">AP98/AO98</f>
        <v>#DIV/0!</v>
      </c>
      <c r="AR98" s="33"/>
      <c r="AS98" s="33"/>
    </row>
    <row r="99" spans="1:45">
      <c r="A99" s="90"/>
      <c r="B99" s="90"/>
      <c r="C99" s="90"/>
      <c r="D99" s="35" t="s">
        <v>23</v>
      </c>
      <c r="E99" s="23">
        <f t="shared" ref="E99:F132" si="106">H99+K99+N99+Q99+T99+W99+Z99+AC99+AF99+AI99+AL99+AO99</f>
        <v>0</v>
      </c>
      <c r="F99" s="23">
        <f t="shared" si="106"/>
        <v>0</v>
      </c>
      <c r="G99" s="24"/>
      <c r="H99" s="23"/>
      <c r="I99" s="23"/>
      <c r="J99" s="21"/>
      <c r="K99" s="23"/>
      <c r="L99" s="23"/>
      <c r="M99" s="24"/>
      <c r="N99" s="23"/>
      <c r="O99" s="23"/>
      <c r="P99" s="24"/>
      <c r="Q99" s="23"/>
      <c r="R99" s="23"/>
      <c r="S99" s="24"/>
      <c r="T99" s="23"/>
      <c r="U99" s="23"/>
      <c r="V99" s="24"/>
      <c r="W99" s="23"/>
      <c r="X99" s="23"/>
      <c r="Y99" s="24"/>
      <c r="Z99" s="23"/>
      <c r="AA99" s="23"/>
      <c r="AB99" s="24"/>
      <c r="AC99" s="23"/>
      <c r="AD99" s="23"/>
      <c r="AE99" s="24"/>
      <c r="AF99" s="23"/>
      <c r="AG99" s="23"/>
      <c r="AH99" s="24"/>
      <c r="AI99" s="23"/>
      <c r="AJ99" s="23"/>
      <c r="AK99" s="24"/>
      <c r="AL99" s="23"/>
      <c r="AM99" s="23"/>
      <c r="AN99" s="24"/>
      <c r="AO99" s="23"/>
      <c r="AP99" s="23"/>
      <c r="AQ99" s="21"/>
      <c r="AR99" s="33"/>
      <c r="AS99" s="33"/>
    </row>
    <row r="100" spans="1:45" ht="24.75">
      <c r="A100" s="90"/>
      <c r="B100" s="90"/>
      <c r="C100" s="90"/>
      <c r="D100" s="35" t="s">
        <v>5</v>
      </c>
      <c r="E100" s="23">
        <f t="shared" si="106"/>
        <v>400</v>
      </c>
      <c r="F100" s="23">
        <f t="shared" si="106"/>
        <v>400</v>
      </c>
      <c r="G100" s="24">
        <f>F100/E100*100</f>
        <v>100</v>
      </c>
      <c r="H100" s="58"/>
      <c r="I100" s="58"/>
      <c r="J100" s="21"/>
      <c r="K100" s="23"/>
      <c r="L100" s="58"/>
      <c r="M100" s="24"/>
      <c r="N100" s="23"/>
      <c r="O100" s="23"/>
      <c r="P100" s="24"/>
      <c r="Q100" s="23"/>
      <c r="R100" s="23"/>
      <c r="S100" s="24"/>
      <c r="T100" s="23"/>
      <c r="U100" s="23"/>
      <c r="V100" s="24"/>
      <c r="W100" s="23"/>
      <c r="X100" s="23"/>
      <c r="Y100" s="24"/>
      <c r="Z100" s="23"/>
      <c r="AA100" s="23"/>
      <c r="AB100" s="24"/>
      <c r="AC100" s="23">
        <v>400</v>
      </c>
      <c r="AD100" s="23">
        <v>0</v>
      </c>
      <c r="AE100" s="24">
        <f t="shared" ref="AE100:AE101" si="107">AD100/AC100*100</f>
        <v>0</v>
      </c>
      <c r="AF100" s="23"/>
      <c r="AG100" s="58">
        <v>400</v>
      </c>
      <c r="AH100" s="24"/>
      <c r="AI100" s="58"/>
      <c r="AJ100" s="23"/>
      <c r="AK100" s="24"/>
      <c r="AL100" s="23"/>
      <c r="AM100" s="58"/>
      <c r="AN100" s="24" t="e">
        <f t="shared" ref="AN100:AN101" si="108">AM100/AL100*100</f>
        <v>#DIV/0!</v>
      </c>
      <c r="AO100" s="58"/>
      <c r="AP100" s="58"/>
      <c r="AQ100" s="21"/>
      <c r="AR100" s="40" t="s">
        <v>176</v>
      </c>
      <c r="AS100" s="40"/>
    </row>
    <row r="101" spans="1:45" ht="50.25" customHeight="1">
      <c r="A101" s="90"/>
      <c r="B101" s="90"/>
      <c r="C101" s="90"/>
      <c r="D101" s="35" t="s">
        <v>49</v>
      </c>
      <c r="E101" s="23">
        <f t="shared" si="106"/>
        <v>285.2</v>
      </c>
      <c r="F101" s="23">
        <f t="shared" si="106"/>
        <v>132.4</v>
      </c>
      <c r="G101" s="24">
        <f t="shared" ref="G101" si="109">F101/E101*100</f>
        <v>46.423562412342214</v>
      </c>
      <c r="H101" s="23"/>
      <c r="I101" s="23"/>
      <c r="J101" s="21"/>
      <c r="K101" s="23">
        <v>1</v>
      </c>
      <c r="L101" s="23">
        <v>1</v>
      </c>
      <c r="M101" s="24">
        <f t="shared" ref="M101" si="110">L101/K101*100</f>
        <v>100</v>
      </c>
      <c r="N101" s="23"/>
      <c r="O101" s="23"/>
      <c r="P101" s="24"/>
      <c r="Q101" s="23">
        <f>23.2+100-23.2</f>
        <v>100</v>
      </c>
      <c r="R101" s="23">
        <v>100</v>
      </c>
      <c r="S101" s="24">
        <f t="shared" ref="S101" si="111">R101/Q101*100</f>
        <v>100</v>
      </c>
      <c r="T101" s="23">
        <f>61-51.8-9.2</f>
        <v>0</v>
      </c>
      <c r="U101" s="23"/>
      <c r="V101" s="24"/>
      <c r="W101" s="23"/>
      <c r="X101" s="23"/>
      <c r="Y101" s="24"/>
      <c r="Z101" s="23">
        <f>100</f>
        <v>100</v>
      </c>
      <c r="AA101" s="23">
        <v>0</v>
      </c>
      <c r="AB101" s="24">
        <f t="shared" ref="AB101" si="112">AA101/Z101*100</f>
        <v>0</v>
      </c>
      <c r="AC101" s="23">
        <v>32.4</v>
      </c>
      <c r="AD101" s="23">
        <v>-1</v>
      </c>
      <c r="AE101" s="24">
        <f t="shared" si="107"/>
        <v>-3.0864197530864201</v>
      </c>
      <c r="AF101" s="23">
        <f>51.8-51.8</f>
        <v>0</v>
      </c>
      <c r="AG101" s="23">
        <v>32.4</v>
      </c>
      <c r="AH101" s="24"/>
      <c r="AI101" s="23">
        <v>51.8</v>
      </c>
      <c r="AJ101" s="23"/>
      <c r="AK101" s="24"/>
      <c r="AL101" s="23"/>
      <c r="AM101" s="23"/>
      <c r="AN101" s="24" t="e">
        <f t="shared" si="108"/>
        <v>#DIV/0!</v>
      </c>
      <c r="AO101" s="23"/>
      <c r="AP101" s="23"/>
      <c r="AQ101" s="21" t="e">
        <f t="shared" si="105"/>
        <v>#DIV/0!</v>
      </c>
      <c r="AR101" s="83" t="s">
        <v>170</v>
      </c>
      <c r="AS101" s="86" t="s">
        <v>177</v>
      </c>
    </row>
    <row r="102" spans="1:45" ht="15.75" customHeight="1">
      <c r="A102" s="90"/>
      <c r="B102" s="90"/>
      <c r="C102" s="90"/>
      <c r="D102" s="35" t="s">
        <v>24</v>
      </c>
      <c r="E102" s="23">
        <f t="shared" si="106"/>
        <v>0</v>
      </c>
      <c r="F102" s="23">
        <f t="shared" si="106"/>
        <v>0</v>
      </c>
      <c r="G102" s="24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4"/>
      <c r="AO102" s="23"/>
      <c r="AP102" s="23"/>
      <c r="AQ102" s="23"/>
      <c r="AR102" s="33"/>
      <c r="AS102" s="33"/>
    </row>
    <row r="103" spans="1:45" ht="15.75" customHeight="1">
      <c r="A103" s="90" t="s">
        <v>62</v>
      </c>
      <c r="B103" s="90" t="s">
        <v>99</v>
      </c>
      <c r="C103" s="90" t="s">
        <v>7</v>
      </c>
      <c r="D103" s="35" t="s">
        <v>4</v>
      </c>
      <c r="E103" s="23">
        <f>H103+K103+N103+Q103+T103+W103+Z103+AC103+AF103+AI103+AL103+AO103</f>
        <v>0</v>
      </c>
      <c r="F103" s="23">
        <f>I103+L103+O103+R103+U103+X103+AA103+AD103+AG103+AJ103+AM103+AP103</f>
        <v>0</v>
      </c>
      <c r="G103" s="24"/>
      <c r="H103" s="23">
        <f>H104+H105+H106+H107</f>
        <v>0</v>
      </c>
      <c r="I103" s="23"/>
      <c r="J103" s="21"/>
      <c r="K103" s="23">
        <f t="shared" ref="K103:AO103" si="113">K104+K105+K106+K107</f>
        <v>0</v>
      </c>
      <c r="L103" s="23"/>
      <c r="M103" s="21"/>
      <c r="N103" s="23">
        <f t="shared" si="113"/>
        <v>0</v>
      </c>
      <c r="O103" s="23"/>
      <c r="P103" s="21"/>
      <c r="Q103" s="23">
        <f t="shared" si="113"/>
        <v>0</v>
      </c>
      <c r="R103" s="23"/>
      <c r="S103" s="21"/>
      <c r="T103" s="23">
        <f t="shared" si="113"/>
        <v>0</v>
      </c>
      <c r="U103" s="23"/>
      <c r="V103" s="21"/>
      <c r="W103" s="23">
        <f t="shared" si="113"/>
        <v>0</v>
      </c>
      <c r="X103" s="23">
        <f t="shared" si="113"/>
        <v>0</v>
      </c>
      <c r="Y103" s="21"/>
      <c r="Z103" s="23">
        <f t="shared" si="113"/>
        <v>0</v>
      </c>
      <c r="AA103" s="23"/>
      <c r="AB103" s="21"/>
      <c r="AC103" s="23">
        <f t="shared" si="113"/>
        <v>0</v>
      </c>
      <c r="AD103" s="23"/>
      <c r="AE103" s="21"/>
      <c r="AF103" s="23">
        <f>AF104+AF105+AF106+AF107</f>
        <v>0</v>
      </c>
      <c r="AG103" s="23">
        <f>AG104+AG105+AG106+AG107</f>
        <v>0</v>
      </c>
      <c r="AH103" s="24"/>
      <c r="AI103" s="23">
        <f t="shared" si="113"/>
        <v>0</v>
      </c>
      <c r="AJ103" s="23"/>
      <c r="AK103" s="21"/>
      <c r="AL103" s="23">
        <f t="shared" si="113"/>
        <v>0</v>
      </c>
      <c r="AM103" s="23"/>
      <c r="AN103" s="24"/>
      <c r="AO103" s="23">
        <f t="shared" si="113"/>
        <v>0</v>
      </c>
      <c r="AP103" s="23"/>
      <c r="AQ103" s="21" t="e">
        <f t="shared" ref="AQ103:AQ106" si="114">AP103/AO103</f>
        <v>#DIV/0!</v>
      </c>
      <c r="AR103" s="33"/>
      <c r="AS103" s="33"/>
    </row>
    <row r="104" spans="1:45">
      <c r="A104" s="90"/>
      <c r="B104" s="90"/>
      <c r="C104" s="90"/>
      <c r="D104" s="35" t="s">
        <v>23</v>
      </c>
      <c r="E104" s="23">
        <f t="shared" si="106"/>
        <v>0</v>
      </c>
      <c r="F104" s="23">
        <f t="shared" si="106"/>
        <v>0</v>
      </c>
      <c r="G104" s="24"/>
      <c r="H104" s="23"/>
      <c r="I104" s="23"/>
      <c r="J104" s="21"/>
      <c r="K104" s="23"/>
      <c r="L104" s="23"/>
      <c r="M104" s="21"/>
      <c r="N104" s="23"/>
      <c r="O104" s="23"/>
      <c r="P104" s="21"/>
      <c r="Q104" s="23"/>
      <c r="R104" s="23"/>
      <c r="S104" s="21"/>
      <c r="T104" s="23"/>
      <c r="U104" s="23"/>
      <c r="V104" s="21"/>
      <c r="W104" s="23"/>
      <c r="X104" s="23"/>
      <c r="Y104" s="21"/>
      <c r="Z104" s="23"/>
      <c r="AA104" s="23"/>
      <c r="AB104" s="21"/>
      <c r="AC104" s="23"/>
      <c r="AD104" s="23"/>
      <c r="AE104" s="21"/>
      <c r="AF104" s="23"/>
      <c r="AG104" s="23"/>
      <c r="AH104" s="24"/>
      <c r="AI104" s="23"/>
      <c r="AJ104" s="23"/>
      <c r="AK104" s="21"/>
      <c r="AL104" s="23"/>
      <c r="AM104" s="23"/>
      <c r="AN104" s="21"/>
      <c r="AO104" s="23"/>
      <c r="AP104" s="23"/>
      <c r="AQ104" s="21"/>
      <c r="AR104" s="33"/>
      <c r="AS104" s="33"/>
    </row>
    <row r="105" spans="1:45" ht="24">
      <c r="A105" s="90"/>
      <c r="B105" s="90"/>
      <c r="C105" s="90"/>
      <c r="D105" s="35" t="s">
        <v>5</v>
      </c>
      <c r="E105" s="23">
        <f t="shared" si="106"/>
        <v>0</v>
      </c>
      <c r="F105" s="23">
        <f t="shared" si="106"/>
        <v>0</v>
      </c>
      <c r="G105" s="24"/>
      <c r="H105" s="23"/>
      <c r="I105" s="23"/>
      <c r="J105" s="21"/>
      <c r="K105" s="23"/>
      <c r="L105" s="23"/>
      <c r="M105" s="21"/>
      <c r="N105" s="23"/>
      <c r="O105" s="23"/>
      <c r="P105" s="21"/>
      <c r="Q105" s="23"/>
      <c r="R105" s="23"/>
      <c r="S105" s="21"/>
      <c r="T105" s="23"/>
      <c r="U105" s="23"/>
      <c r="V105" s="21"/>
      <c r="W105" s="23"/>
      <c r="X105" s="23"/>
      <c r="Y105" s="21"/>
      <c r="Z105" s="23"/>
      <c r="AA105" s="23"/>
      <c r="AB105" s="21"/>
      <c r="AC105" s="23"/>
      <c r="AD105" s="23"/>
      <c r="AE105" s="21"/>
      <c r="AF105" s="23"/>
      <c r="AG105" s="23"/>
      <c r="AH105" s="24"/>
      <c r="AI105" s="23"/>
      <c r="AJ105" s="23"/>
      <c r="AK105" s="21"/>
      <c r="AL105" s="23"/>
      <c r="AM105" s="23"/>
      <c r="AN105" s="21"/>
      <c r="AO105" s="23"/>
      <c r="AP105" s="23"/>
      <c r="AQ105" s="21"/>
      <c r="AR105" s="33"/>
      <c r="AS105" s="33"/>
    </row>
    <row r="106" spans="1:45">
      <c r="A106" s="90"/>
      <c r="B106" s="90"/>
      <c r="C106" s="90"/>
      <c r="D106" s="35" t="s">
        <v>49</v>
      </c>
      <c r="E106" s="23">
        <f t="shared" si="106"/>
        <v>0</v>
      </c>
      <c r="F106" s="23">
        <f t="shared" si="106"/>
        <v>0</v>
      </c>
      <c r="G106" s="24"/>
      <c r="H106" s="23"/>
      <c r="I106" s="23"/>
      <c r="J106" s="21"/>
      <c r="K106" s="23"/>
      <c r="L106" s="23"/>
      <c r="M106" s="21"/>
      <c r="N106" s="23"/>
      <c r="O106" s="23"/>
      <c r="P106" s="21"/>
      <c r="Q106" s="23"/>
      <c r="R106" s="23"/>
      <c r="S106" s="21"/>
      <c r="T106" s="23"/>
      <c r="U106" s="23"/>
      <c r="V106" s="21"/>
      <c r="W106" s="23"/>
      <c r="X106" s="23"/>
      <c r="Y106" s="21"/>
      <c r="Z106" s="23"/>
      <c r="AA106" s="23"/>
      <c r="AB106" s="21"/>
      <c r="AC106" s="23"/>
      <c r="AD106" s="23"/>
      <c r="AE106" s="21"/>
      <c r="AF106" s="23"/>
      <c r="AG106" s="23"/>
      <c r="AH106" s="24"/>
      <c r="AI106" s="23"/>
      <c r="AJ106" s="23"/>
      <c r="AK106" s="21"/>
      <c r="AL106" s="23"/>
      <c r="AM106" s="23"/>
      <c r="AN106" s="21"/>
      <c r="AO106" s="23"/>
      <c r="AP106" s="23"/>
      <c r="AQ106" s="21" t="e">
        <f t="shared" si="114"/>
        <v>#DIV/0!</v>
      </c>
      <c r="AR106" s="40"/>
      <c r="AS106" s="33"/>
    </row>
    <row r="107" spans="1:45" ht="15.75" customHeight="1">
      <c r="A107" s="90"/>
      <c r="B107" s="90"/>
      <c r="C107" s="90"/>
      <c r="D107" s="35" t="s">
        <v>24</v>
      </c>
      <c r="E107" s="23">
        <f t="shared" si="106"/>
        <v>0</v>
      </c>
      <c r="F107" s="23">
        <f t="shared" si="106"/>
        <v>0</v>
      </c>
      <c r="G107" s="24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4"/>
      <c r="AI107" s="23"/>
      <c r="AJ107" s="23"/>
      <c r="AK107" s="23"/>
      <c r="AL107" s="23"/>
      <c r="AM107" s="23"/>
      <c r="AN107" s="23"/>
      <c r="AO107" s="23"/>
      <c r="AP107" s="23"/>
      <c r="AQ107" s="23"/>
      <c r="AR107" s="33"/>
      <c r="AS107" s="33"/>
    </row>
    <row r="108" spans="1:45" ht="15.75" customHeight="1">
      <c r="A108" s="90" t="s">
        <v>63</v>
      </c>
      <c r="B108" s="90" t="s">
        <v>100</v>
      </c>
      <c r="C108" s="90" t="s">
        <v>7</v>
      </c>
      <c r="D108" s="35" t="s">
        <v>4</v>
      </c>
      <c r="E108" s="23">
        <f t="shared" si="106"/>
        <v>66.8</v>
      </c>
      <c r="F108" s="23">
        <f t="shared" si="106"/>
        <v>0</v>
      </c>
      <c r="G108" s="24">
        <f>F108/E108*100</f>
        <v>0</v>
      </c>
      <c r="H108" s="23">
        <f>H109+H110+H111+H112</f>
        <v>0</v>
      </c>
      <c r="I108" s="23"/>
      <c r="J108" s="21"/>
      <c r="K108" s="23">
        <f t="shared" ref="K108:AO108" si="115">K109+K110+K111+K112</f>
        <v>0</v>
      </c>
      <c r="L108" s="23"/>
      <c r="M108" s="21"/>
      <c r="N108" s="23">
        <f t="shared" si="115"/>
        <v>28.999999999999996</v>
      </c>
      <c r="O108" s="23">
        <f t="shared" si="115"/>
        <v>29</v>
      </c>
      <c r="P108" s="24">
        <f>O108/N108*100</f>
        <v>100.00000000000003</v>
      </c>
      <c r="Q108" s="23">
        <f t="shared" si="115"/>
        <v>0</v>
      </c>
      <c r="R108" s="23">
        <f t="shared" si="115"/>
        <v>0</v>
      </c>
      <c r="S108" s="24"/>
      <c r="T108" s="23">
        <f t="shared" si="115"/>
        <v>0</v>
      </c>
      <c r="U108" s="23">
        <f t="shared" si="115"/>
        <v>0</v>
      </c>
      <c r="V108" s="21"/>
      <c r="W108" s="23">
        <f t="shared" si="115"/>
        <v>0</v>
      </c>
      <c r="X108" s="23">
        <f t="shared" si="115"/>
        <v>0</v>
      </c>
      <c r="Y108" s="21"/>
      <c r="Z108" s="23">
        <f t="shared" si="115"/>
        <v>0</v>
      </c>
      <c r="AA108" s="23"/>
      <c r="AB108" s="21"/>
      <c r="AC108" s="23">
        <f t="shared" si="115"/>
        <v>0</v>
      </c>
      <c r="AD108" s="23">
        <f t="shared" si="115"/>
        <v>-29</v>
      </c>
      <c r="AE108" s="21"/>
      <c r="AF108" s="23">
        <f t="shared" si="115"/>
        <v>0</v>
      </c>
      <c r="AG108" s="23">
        <f t="shared" si="115"/>
        <v>0</v>
      </c>
      <c r="AH108" s="24"/>
      <c r="AI108" s="23">
        <f t="shared" si="115"/>
        <v>17.8</v>
      </c>
      <c r="AJ108" s="23"/>
      <c r="AK108" s="21"/>
      <c r="AL108" s="23">
        <f t="shared" si="115"/>
        <v>20</v>
      </c>
      <c r="AM108" s="23"/>
      <c r="AN108" s="21"/>
      <c r="AO108" s="23">
        <f t="shared" si="115"/>
        <v>0</v>
      </c>
      <c r="AP108" s="23"/>
      <c r="AQ108" s="21" t="e">
        <f t="shared" ref="AQ108:AQ111" si="116">AP108/AO108</f>
        <v>#DIV/0!</v>
      </c>
      <c r="AR108" s="33"/>
      <c r="AS108" s="33"/>
    </row>
    <row r="109" spans="1:45">
      <c r="A109" s="90"/>
      <c r="B109" s="90"/>
      <c r="C109" s="90"/>
      <c r="D109" s="35" t="s">
        <v>23</v>
      </c>
      <c r="E109" s="23">
        <f t="shared" si="106"/>
        <v>0</v>
      </c>
      <c r="F109" s="23">
        <f t="shared" si="106"/>
        <v>0</v>
      </c>
      <c r="G109" s="24"/>
      <c r="H109" s="23"/>
      <c r="I109" s="23"/>
      <c r="J109" s="21"/>
      <c r="K109" s="23"/>
      <c r="L109" s="23"/>
      <c r="M109" s="21"/>
      <c r="N109" s="23"/>
      <c r="O109" s="23"/>
      <c r="P109" s="24"/>
      <c r="Q109" s="23"/>
      <c r="R109" s="23"/>
      <c r="S109" s="24"/>
      <c r="T109" s="23"/>
      <c r="U109" s="23"/>
      <c r="V109" s="21"/>
      <c r="W109" s="23"/>
      <c r="X109" s="23"/>
      <c r="Y109" s="21"/>
      <c r="Z109" s="23"/>
      <c r="AA109" s="23"/>
      <c r="AB109" s="21"/>
      <c r="AC109" s="23"/>
      <c r="AD109" s="23"/>
      <c r="AE109" s="21"/>
      <c r="AF109" s="23"/>
      <c r="AG109" s="23"/>
      <c r="AH109" s="24"/>
      <c r="AI109" s="23"/>
      <c r="AJ109" s="23"/>
      <c r="AK109" s="21"/>
      <c r="AL109" s="23"/>
      <c r="AM109" s="23"/>
      <c r="AN109" s="21"/>
      <c r="AO109" s="23"/>
      <c r="AP109" s="23"/>
      <c r="AQ109" s="21"/>
      <c r="AR109" s="33"/>
      <c r="AS109" s="33"/>
    </row>
    <row r="110" spans="1:45" ht="24">
      <c r="A110" s="90"/>
      <c r="B110" s="90"/>
      <c r="C110" s="90"/>
      <c r="D110" s="35" t="s">
        <v>5</v>
      </c>
      <c r="E110" s="23">
        <f t="shared" si="106"/>
        <v>0</v>
      </c>
      <c r="F110" s="23">
        <f t="shared" si="106"/>
        <v>0</v>
      </c>
      <c r="G110" s="24"/>
      <c r="H110" s="23"/>
      <c r="I110" s="23"/>
      <c r="J110" s="21"/>
      <c r="K110" s="23"/>
      <c r="L110" s="23"/>
      <c r="M110" s="21"/>
      <c r="N110" s="23"/>
      <c r="O110" s="23"/>
      <c r="P110" s="24"/>
      <c r="Q110" s="23"/>
      <c r="R110" s="23"/>
      <c r="S110" s="24"/>
      <c r="T110" s="23"/>
      <c r="U110" s="23"/>
      <c r="V110" s="21"/>
      <c r="W110" s="23"/>
      <c r="X110" s="23"/>
      <c r="Y110" s="21"/>
      <c r="Z110" s="23"/>
      <c r="AA110" s="23"/>
      <c r="AB110" s="21"/>
      <c r="AC110" s="23"/>
      <c r="AD110" s="23"/>
      <c r="AE110" s="21"/>
      <c r="AF110" s="23"/>
      <c r="AG110" s="23"/>
      <c r="AH110" s="24"/>
      <c r="AI110" s="23"/>
      <c r="AJ110" s="23"/>
      <c r="AK110" s="21"/>
      <c r="AL110" s="23"/>
      <c r="AM110" s="23"/>
      <c r="AN110" s="21"/>
      <c r="AO110" s="23"/>
      <c r="AP110" s="23"/>
      <c r="AQ110" s="21"/>
      <c r="AR110" s="33"/>
      <c r="AS110" s="33"/>
    </row>
    <row r="111" spans="1:45" ht="49.5" customHeight="1">
      <c r="A111" s="90"/>
      <c r="B111" s="90"/>
      <c r="C111" s="90"/>
      <c r="D111" s="35" t="s">
        <v>49</v>
      </c>
      <c r="E111" s="23">
        <f t="shared" si="106"/>
        <v>66.8</v>
      </c>
      <c r="F111" s="23">
        <f t="shared" si="106"/>
        <v>0</v>
      </c>
      <c r="G111" s="24">
        <f t="shared" ref="G111" si="117">F111/E111*100</f>
        <v>0</v>
      </c>
      <c r="H111" s="23"/>
      <c r="I111" s="23"/>
      <c r="J111" s="21"/>
      <c r="K111" s="23"/>
      <c r="L111" s="23"/>
      <c r="M111" s="21"/>
      <c r="N111" s="23">
        <f>17.8+29-17.8</f>
        <v>28.999999999999996</v>
      </c>
      <c r="O111" s="23">
        <v>29</v>
      </c>
      <c r="P111" s="24">
        <f t="shared" ref="P111" si="118">O111/N111*100</f>
        <v>100.00000000000003</v>
      </c>
      <c r="Q111" s="23">
        <f>20-20</f>
        <v>0</v>
      </c>
      <c r="R111" s="23"/>
      <c r="S111" s="24"/>
      <c r="T111" s="23"/>
      <c r="U111" s="23"/>
      <c r="V111" s="21"/>
      <c r="W111" s="23"/>
      <c r="X111" s="23"/>
      <c r="Y111" s="21"/>
      <c r="Z111" s="23"/>
      <c r="AA111" s="23"/>
      <c r="AB111" s="21"/>
      <c r="AC111" s="23"/>
      <c r="AD111" s="23">
        <v>-29</v>
      </c>
      <c r="AE111" s="21"/>
      <c r="AF111" s="23"/>
      <c r="AG111" s="23"/>
      <c r="AH111" s="24"/>
      <c r="AI111" s="23">
        <v>17.8</v>
      </c>
      <c r="AJ111" s="23"/>
      <c r="AK111" s="21"/>
      <c r="AL111" s="23">
        <v>20</v>
      </c>
      <c r="AM111" s="23"/>
      <c r="AN111" s="21"/>
      <c r="AO111" s="23"/>
      <c r="AP111" s="23"/>
      <c r="AQ111" s="21" t="e">
        <f t="shared" si="116"/>
        <v>#DIV/0!</v>
      </c>
      <c r="AR111" s="83"/>
      <c r="AS111" s="83" t="s">
        <v>178</v>
      </c>
    </row>
    <row r="112" spans="1:45" ht="15.75" customHeight="1">
      <c r="A112" s="90"/>
      <c r="B112" s="90"/>
      <c r="C112" s="90"/>
      <c r="D112" s="35" t="s">
        <v>24</v>
      </c>
      <c r="E112" s="23">
        <f t="shared" si="106"/>
        <v>0</v>
      </c>
      <c r="F112" s="23">
        <f t="shared" si="106"/>
        <v>0</v>
      </c>
      <c r="G112" s="24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33"/>
      <c r="AS112" s="33"/>
    </row>
    <row r="113" spans="1:45" ht="15.75" customHeight="1">
      <c r="A113" s="90" t="s">
        <v>64</v>
      </c>
      <c r="B113" s="90" t="s">
        <v>122</v>
      </c>
      <c r="C113" s="90" t="s">
        <v>7</v>
      </c>
      <c r="D113" s="35" t="s">
        <v>4</v>
      </c>
      <c r="E113" s="23">
        <f t="shared" si="106"/>
        <v>719120.40000000014</v>
      </c>
      <c r="F113" s="23">
        <f t="shared" si="106"/>
        <v>471980.5</v>
      </c>
      <c r="G113" s="24">
        <f>F113/E113*100</f>
        <v>65.633028905868883</v>
      </c>
      <c r="H113" s="23">
        <f>H114+H115+H116+H117</f>
        <v>15338</v>
      </c>
      <c r="I113" s="23">
        <f>I114+I115+I116+I117</f>
        <v>15338</v>
      </c>
      <c r="J113" s="24">
        <f>I113/H113*100</f>
        <v>100</v>
      </c>
      <c r="K113" s="23">
        <f t="shared" ref="K113:AO113" si="119">K114+K115+K116+K117</f>
        <v>52118.5</v>
      </c>
      <c r="L113" s="23">
        <f t="shared" si="119"/>
        <v>52118.5</v>
      </c>
      <c r="M113" s="24">
        <f>L113/K113*100</f>
        <v>100</v>
      </c>
      <c r="N113" s="23">
        <f t="shared" si="119"/>
        <v>52508</v>
      </c>
      <c r="O113" s="23">
        <f t="shared" si="119"/>
        <v>52508</v>
      </c>
      <c r="P113" s="24">
        <f>O113/N113*100</f>
        <v>100</v>
      </c>
      <c r="Q113" s="23">
        <f t="shared" si="119"/>
        <v>58138</v>
      </c>
      <c r="R113" s="23">
        <f t="shared" si="119"/>
        <v>58921.4</v>
      </c>
      <c r="S113" s="24">
        <f>R113/Q113*100</f>
        <v>101.34748357356635</v>
      </c>
      <c r="T113" s="23">
        <f t="shared" si="119"/>
        <v>76582</v>
      </c>
      <c r="U113" s="23">
        <f t="shared" si="119"/>
        <v>98848.7</v>
      </c>
      <c r="V113" s="24">
        <f>U113/T113*100</f>
        <v>129.07563134940324</v>
      </c>
      <c r="W113" s="23">
        <f t="shared" si="119"/>
        <v>121826.6</v>
      </c>
      <c r="X113" s="23">
        <f t="shared" si="119"/>
        <v>98776.5</v>
      </c>
      <c r="Y113" s="24">
        <f>X113/W113*100</f>
        <v>81.079583604894168</v>
      </c>
      <c r="Z113" s="23">
        <f t="shared" si="119"/>
        <v>45034</v>
      </c>
      <c r="AA113" s="23">
        <f t="shared" si="119"/>
        <v>41699</v>
      </c>
      <c r="AB113" s="24">
        <f>AA113/Z113*100</f>
        <v>92.594484167517876</v>
      </c>
      <c r="AC113" s="23">
        <f t="shared" si="119"/>
        <v>20509</v>
      </c>
      <c r="AD113" s="23">
        <f t="shared" si="119"/>
        <v>21211</v>
      </c>
      <c r="AE113" s="24">
        <f>AD113/AC113*100</f>
        <v>103.42288751279926</v>
      </c>
      <c r="AF113" s="23">
        <f>AF114+AF115+AF116+AF117</f>
        <v>30324.400000000001</v>
      </c>
      <c r="AG113" s="23">
        <f t="shared" si="119"/>
        <v>32559.4</v>
      </c>
      <c r="AH113" s="24">
        <f>AG113/AF113*100</f>
        <v>107.37030246270329</v>
      </c>
      <c r="AI113" s="23">
        <f t="shared" si="119"/>
        <v>64452.4</v>
      </c>
      <c r="AJ113" s="23">
        <f t="shared" si="119"/>
        <v>0</v>
      </c>
      <c r="AK113" s="24">
        <f>AJ113/AI113*100</f>
        <v>0</v>
      </c>
      <c r="AL113" s="23">
        <f t="shared" si="119"/>
        <v>56064.800000000003</v>
      </c>
      <c r="AM113" s="23">
        <f t="shared" si="119"/>
        <v>0</v>
      </c>
      <c r="AN113" s="24">
        <f>AM113/AL113*100</f>
        <v>0</v>
      </c>
      <c r="AO113" s="23">
        <f t="shared" si="119"/>
        <v>126224.70000000001</v>
      </c>
      <c r="AP113" s="23"/>
      <c r="AQ113" s="21">
        <f t="shared" ref="AQ113:AQ116" si="120">AP113/AO113</f>
        <v>0</v>
      </c>
      <c r="AR113" s="33"/>
      <c r="AS113" s="33"/>
    </row>
    <row r="114" spans="1:45" ht="48">
      <c r="A114" s="90"/>
      <c r="B114" s="90"/>
      <c r="C114" s="90"/>
      <c r="D114" s="35" t="s">
        <v>23</v>
      </c>
      <c r="E114" s="23">
        <f t="shared" si="106"/>
        <v>11041</v>
      </c>
      <c r="F114" s="23">
        <f t="shared" si="106"/>
        <v>2585.6999999999998</v>
      </c>
      <c r="G114" s="24">
        <f>F114/E114*100</f>
        <v>23.419074359206594</v>
      </c>
      <c r="H114" s="23"/>
      <c r="I114" s="23"/>
      <c r="J114" s="24"/>
      <c r="K114" s="23"/>
      <c r="L114" s="23"/>
      <c r="M114" s="24"/>
      <c r="N114" s="23"/>
      <c r="O114" s="23"/>
      <c r="P114" s="24"/>
      <c r="Q114" s="23"/>
      <c r="R114" s="23"/>
      <c r="S114" s="24"/>
      <c r="T114" s="23"/>
      <c r="U114" s="23"/>
      <c r="V114" s="24"/>
      <c r="W114" s="23"/>
      <c r="X114" s="23"/>
      <c r="Y114" s="24"/>
      <c r="Z114" s="23"/>
      <c r="AA114" s="23"/>
      <c r="AB114" s="24"/>
      <c r="AC114" s="23"/>
      <c r="AD114" s="23"/>
      <c r="AE114" s="24"/>
      <c r="AF114" s="23">
        <v>2585.6999999999998</v>
      </c>
      <c r="AG114" s="23">
        <v>2585.6999999999998</v>
      </c>
      <c r="AH114" s="24">
        <f t="shared" ref="AH114:AH115" si="121">AG114/AF114*100</f>
        <v>100</v>
      </c>
      <c r="AI114" s="23">
        <v>2853</v>
      </c>
      <c r="AJ114" s="23"/>
      <c r="AK114" s="24"/>
      <c r="AL114" s="23">
        <v>2800</v>
      </c>
      <c r="AM114" s="23"/>
      <c r="AN114" s="24"/>
      <c r="AO114" s="23">
        <v>2802.3</v>
      </c>
      <c r="AP114" s="23"/>
      <c r="AQ114" s="21"/>
      <c r="AR114" s="83" t="s">
        <v>199</v>
      </c>
      <c r="AS114" s="33"/>
    </row>
    <row r="115" spans="1:45" ht="109.15" customHeight="1">
      <c r="A115" s="90"/>
      <c r="B115" s="90"/>
      <c r="C115" s="90"/>
      <c r="D115" s="35" t="s">
        <v>5</v>
      </c>
      <c r="E115" s="23">
        <f t="shared" si="106"/>
        <v>658473.19999999995</v>
      </c>
      <c r="F115" s="23">
        <f t="shared" si="106"/>
        <v>442872</v>
      </c>
      <c r="G115" s="24">
        <f t="shared" ref="G115:G116" si="122">F115/E115*100</f>
        <v>67.25740698330624</v>
      </c>
      <c r="H115" s="23">
        <v>14665</v>
      </c>
      <c r="I115" s="23">
        <v>14665</v>
      </c>
      <c r="J115" s="24">
        <f t="shared" ref="J115:J116" si="123">I115/H115*100</f>
        <v>100</v>
      </c>
      <c r="K115" s="23">
        <v>46451</v>
      </c>
      <c r="L115" s="23">
        <v>46451</v>
      </c>
      <c r="M115" s="24">
        <f t="shared" ref="M115:M126" si="124">L115/K115*100</f>
        <v>100</v>
      </c>
      <c r="N115" s="23">
        <v>48436</v>
      </c>
      <c r="O115" s="23">
        <v>48436</v>
      </c>
      <c r="P115" s="24">
        <f t="shared" ref="P115:P116" si="125">O115/N115*100</f>
        <v>100</v>
      </c>
      <c r="Q115" s="23">
        <v>51753</v>
      </c>
      <c r="R115" s="23">
        <v>51753</v>
      </c>
      <c r="S115" s="24">
        <f t="shared" ref="S115:S116" si="126">R115/Q115*100</f>
        <v>100</v>
      </c>
      <c r="T115" s="23">
        <v>72976</v>
      </c>
      <c r="U115" s="23">
        <v>95676</v>
      </c>
      <c r="V115" s="24">
        <f t="shared" ref="V115:V116" si="127">U115/T115*100</f>
        <v>131.10611707958782</v>
      </c>
      <c r="W115" s="23">
        <f>119753+1650</f>
        <v>121403</v>
      </c>
      <c r="X115" s="23">
        <v>98703</v>
      </c>
      <c r="Y115" s="24">
        <f t="shared" ref="Y115:Y116" si="128">X115/W115*100</f>
        <v>81.301944762485277</v>
      </c>
      <c r="Z115" s="23">
        <f>43784-1650</f>
        <v>42134</v>
      </c>
      <c r="AA115" s="23">
        <v>39134</v>
      </c>
      <c r="AB115" s="24">
        <f t="shared" ref="AB115:AB116" si="129">AA115/Z115*100</f>
        <v>92.879859495894053</v>
      </c>
      <c r="AC115" s="23">
        <v>17469</v>
      </c>
      <c r="AD115" s="23">
        <v>18969</v>
      </c>
      <c r="AE115" s="24">
        <f t="shared" ref="AE115:AE116" si="130">AD115/AC115*100</f>
        <v>108.58663918942126</v>
      </c>
      <c r="AF115" s="23">
        <v>27585</v>
      </c>
      <c r="AG115" s="23">
        <v>29085</v>
      </c>
      <c r="AH115" s="24">
        <f t="shared" si="121"/>
        <v>105.43773790103317</v>
      </c>
      <c r="AI115" s="23">
        <f>47212+8095.1</f>
        <v>55307.1</v>
      </c>
      <c r="AJ115" s="23"/>
      <c r="AK115" s="24">
        <f t="shared" ref="AK115:AK116" si="131">AJ115/AI115*100</f>
        <v>0</v>
      </c>
      <c r="AL115" s="23">
        <v>45647</v>
      </c>
      <c r="AM115" s="23"/>
      <c r="AN115" s="24">
        <f t="shared" ref="AN115:AN116" si="132">AM115/AL115*100</f>
        <v>0</v>
      </c>
      <c r="AO115" s="23">
        <f>86942.6+27704.5</f>
        <v>114647.1</v>
      </c>
      <c r="AP115" s="23"/>
      <c r="AQ115" s="21">
        <f t="shared" si="120"/>
        <v>0</v>
      </c>
      <c r="AR115" s="83" t="s">
        <v>171</v>
      </c>
      <c r="AS115" s="33"/>
    </row>
    <row r="116" spans="1:45" ht="73.900000000000006" customHeight="1">
      <c r="A116" s="90"/>
      <c r="B116" s="90"/>
      <c r="C116" s="90"/>
      <c r="D116" s="35" t="s">
        <v>49</v>
      </c>
      <c r="E116" s="23">
        <f t="shared" si="106"/>
        <v>49606.2</v>
      </c>
      <c r="F116" s="23">
        <f t="shared" si="106"/>
        <v>26522.800000000003</v>
      </c>
      <c r="G116" s="24">
        <f t="shared" si="122"/>
        <v>53.466703758804357</v>
      </c>
      <c r="H116" s="23">
        <v>673</v>
      </c>
      <c r="I116" s="23">
        <v>673</v>
      </c>
      <c r="J116" s="24">
        <f t="shared" si="123"/>
        <v>100</v>
      </c>
      <c r="K116" s="23">
        <v>5667.5</v>
      </c>
      <c r="L116" s="23">
        <v>5667.5</v>
      </c>
      <c r="M116" s="24">
        <f t="shared" si="124"/>
        <v>100</v>
      </c>
      <c r="N116" s="23">
        <v>4072</v>
      </c>
      <c r="O116" s="23">
        <v>4072</v>
      </c>
      <c r="P116" s="24">
        <f t="shared" si="125"/>
        <v>100</v>
      </c>
      <c r="Q116" s="23">
        <v>6385</v>
      </c>
      <c r="R116" s="23">
        <v>7168.4</v>
      </c>
      <c r="S116" s="24">
        <f t="shared" si="126"/>
        <v>112.26938136256852</v>
      </c>
      <c r="T116" s="23">
        <v>3606</v>
      </c>
      <c r="U116" s="23">
        <v>3172.7</v>
      </c>
      <c r="V116" s="24">
        <f t="shared" si="127"/>
        <v>87.983915696062112</v>
      </c>
      <c r="W116" s="23">
        <f>3595-3171.4</f>
        <v>423.59999999999991</v>
      </c>
      <c r="X116" s="23">
        <v>73.5</v>
      </c>
      <c r="Y116" s="24">
        <f t="shared" si="128"/>
        <v>17.351274787535413</v>
      </c>
      <c r="Z116" s="23">
        <v>2900</v>
      </c>
      <c r="AA116" s="23">
        <v>2565</v>
      </c>
      <c r="AB116" s="24">
        <f t="shared" si="129"/>
        <v>88.448275862068968</v>
      </c>
      <c r="AC116" s="23">
        <v>3040</v>
      </c>
      <c r="AD116" s="23">
        <v>2242</v>
      </c>
      <c r="AE116" s="24">
        <f t="shared" si="130"/>
        <v>73.75</v>
      </c>
      <c r="AF116" s="23">
        <f>3559+0.1-733.5-2671.9</f>
        <v>153.69999999999982</v>
      </c>
      <c r="AG116" s="23">
        <v>888.7</v>
      </c>
      <c r="AH116" s="24">
        <f>AG116/AF116*100</f>
        <v>578.20429407937604</v>
      </c>
      <c r="AI116" s="23">
        <f>6292.2+0.1</f>
        <v>6292.3</v>
      </c>
      <c r="AJ116" s="23"/>
      <c r="AK116" s="24">
        <f t="shared" si="131"/>
        <v>0</v>
      </c>
      <c r="AL116" s="23">
        <f>4945.9+2671.9</f>
        <v>7617.7999999999993</v>
      </c>
      <c r="AM116" s="23"/>
      <c r="AN116" s="24">
        <f t="shared" si="132"/>
        <v>0</v>
      </c>
      <c r="AO116" s="23">
        <f>7006.9+1768.5-0.1</f>
        <v>8775.2999999999993</v>
      </c>
      <c r="AP116" s="23"/>
      <c r="AQ116" s="21">
        <f t="shared" si="120"/>
        <v>0</v>
      </c>
      <c r="AR116" s="83" t="s">
        <v>172</v>
      </c>
      <c r="AS116" s="83" t="s">
        <v>179</v>
      </c>
    </row>
    <row r="117" spans="1:45" ht="15.75" customHeight="1">
      <c r="A117" s="90"/>
      <c r="B117" s="90"/>
      <c r="C117" s="90"/>
      <c r="D117" s="35" t="s">
        <v>24</v>
      </c>
      <c r="E117" s="23">
        <f t="shared" si="106"/>
        <v>0</v>
      </c>
      <c r="F117" s="77">
        <f t="shared" si="106"/>
        <v>0</v>
      </c>
      <c r="G117" s="24"/>
      <c r="H117" s="23"/>
      <c r="I117" s="23"/>
      <c r="J117" s="23"/>
      <c r="K117" s="23"/>
      <c r="L117" s="23"/>
      <c r="M117" s="24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33"/>
      <c r="AS117" s="33"/>
    </row>
    <row r="118" spans="1:45" ht="15.75" customHeight="1">
      <c r="A118" s="90" t="s">
        <v>65</v>
      </c>
      <c r="B118" s="90" t="s">
        <v>123</v>
      </c>
      <c r="C118" s="90" t="s">
        <v>7</v>
      </c>
      <c r="D118" s="35" t="s">
        <v>4</v>
      </c>
      <c r="E118" s="23">
        <f t="shared" si="106"/>
        <v>35027.5</v>
      </c>
      <c r="F118" s="23">
        <f t="shared" si="106"/>
        <v>26965.300000000003</v>
      </c>
      <c r="G118" s="24">
        <f>F118/E118*100</f>
        <v>76.983227464135325</v>
      </c>
      <c r="H118" s="23">
        <f>H119+H120+H121+H122</f>
        <v>2380</v>
      </c>
      <c r="I118" s="23">
        <f>I119+I120+I121+I122</f>
        <v>2380</v>
      </c>
      <c r="J118" s="24">
        <f>I118/H118*100</f>
        <v>100</v>
      </c>
      <c r="K118" s="23">
        <f t="shared" ref="K118:AO118" si="133">K119+K120+K121+K122</f>
        <v>3445</v>
      </c>
      <c r="L118" s="23">
        <f t="shared" si="133"/>
        <v>3445</v>
      </c>
      <c r="M118" s="24">
        <f t="shared" si="124"/>
        <v>100</v>
      </c>
      <c r="N118" s="23">
        <f t="shared" si="133"/>
        <v>3442</v>
      </c>
      <c r="O118" s="23">
        <f t="shared" si="133"/>
        <v>3442</v>
      </c>
      <c r="P118" s="24">
        <f>O118/N118*100</f>
        <v>100</v>
      </c>
      <c r="Q118" s="23">
        <f t="shared" si="133"/>
        <v>4258</v>
      </c>
      <c r="R118" s="23">
        <f t="shared" si="133"/>
        <v>4158</v>
      </c>
      <c r="S118" s="24">
        <f>R118/Q118*100</f>
        <v>97.651479567872244</v>
      </c>
      <c r="T118" s="23">
        <f t="shared" si="133"/>
        <v>4274</v>
      </c>
      <c r="U118" s="23">
        <f t="shared" si="133"/>
        <v>4274</v>
      </c>
      <c r="V118" s="24">
        <f>U118/T118*100</f>
        <v>100</v>
      </c>
      <c r="W118" s="23">
        <f t="shared" si="133"/>
        <v>4346</v>
      </c>
      <c r="X118" s="23">
        <f t="shared" si="133"/>
        <v>4446</v>
      </c>
      <c r="Y118" s="24">
        <f>X118/W118*100</f>
        <v>102.30096640589048</v>
      </c>
      <c r="Z118" s="23">
        <f t="shared" si="133"/>
        <v>834</v>
      </c>
      <c r="AA118" s="23">
        <f t="shared" si="133"/>
        <v>834</v>
      </c>
      <c r="AB118" s="24">
        <f>AA118/Z118*100</f>
        <v>100</v>
      </c>
      <c r="AC118" s="23">
        <f t="shared" si="133"/>
        <v>1896.1000000000001</v>
      </c>
      <c r="AD118" s="23">
        <f t="shared" si="133"/>
        <v>738.4</v>
      </c>
      <c r="AE118" s="24">
        <f>AD118/AC118*100</f>
        <v>38.943093718685716</v>
      </c>
      <c r="AF118" s="23">
        <f t="shared" si="133"/>
        <v>2090.1</v>
      </c>
      <c r="AG118" s="23">
        <f t="shared" si="133"/>
        <v>3247.9</v>
      </c>
      <c r="AH118" s="24">
        <f>AG118/AF118*100</f>
        <v>155.394478733075</v>
      </c>
      <c r="AI118" s="23">
        <f t="shared" si="133"/>
        <v>2415.3000000000002</v>
      </c>
      <c r="AJ118" s="23">
        <f t="shared" si="133"/>
        <v>0</v>
      </c>
      <c r="AK118" s="24">
        <f>AJ118/AI118*100</f>
        <v>0</v>
      </c>
      <c r="AL118" s="23">
        <f t="shared" si="133"/>
        <v>2674</v>
      </c>
      <c r="AM118" s="23">
        <f t="shared" si="133"/>
        <v>0</v>
      </c>
      <c r="AN118" s="24">
        <f>AM118/AL118*100</f>
        <v>0</v>
      </c>
      <c r="AO118" s="23">
        <f t="shared" si="133"/>
        <v>2973</v>
      </c>
      <c r="AP118" s="23"/>
      <c r="AQ118" s="21">
        <f t="shared" ref="AQ118:AQ121" si="134">AP118/AO118</f>
        <v>0</v>
      </c>
      <c r="AR118" s="33"/>
      <c r="AS118" s="33"/>
    </row>
    <row r="119" spans="1:45" ht="14.25" customHeight="1">
      <c r="A119" s="90"/>
      <c r="B119" s="90"/>
      <c r="C119" s="90"/>
      <c r="D119" s="35" t="s">
        <v>23</v>
      </c>
      <c r="E119" s="23">
        <f t="shared" si="106"/>
        <v>0</v>
      </c>
      <c r="F119" s="59">
        <f t="shared" si="106"/>
        <v>0</v>
      </c>
      <c r="G119" s="24"/>
      <c r="H119" s="23"/>
      <c r="I119" s="23"/>
      <c r="J119" s="24"/>
      <c r="K119" s="23"/>
      <c r="L119" s="23"/>
      <c r="M119" s="24"/>
      <c r="N119" s="23"/>
      <c r="O119" s="23"/>
      <c r="P119" s="24"/>
      <c r="Q119" s="23"/>
      <c r="R119" s="23"/>
      <c r="S119" s="24"/>
      <c r="T119" s="23"/>
      <c r="U119" s="23"/>
      <c r="V119" s="24"/>
      <c r="W119" s="23"/>
      <c r="X119" s="23"/>
      <c r="Y119" s="24"/>
      <c r="Z119" s="23"/>
      <c r="AA119" s="23"/>
      <c r="AB119" s="24"/>
      <c r="AC119" s="23"/>
      <c r="AD119" s="23"/>
      <c r="AE119" s="24"/>
      <c r="AF119" s="23"/>
      <c r="AG119" s="23"/>
      <c r="AH119" s="24"/>
      <c r="AI119" s="23"/>
      <c r="AJ119" s="23"/>
      <c r="AK119" s="24"/>
      <c r="AL119" s="23"/>
      <c r="AM119" s="23"/>
      <c r="AN119" s="24"/>
      <c r="AO119" s="23"/>
      <c r="AP119" s="23"/>
      <c r="AQ119" s="21"/>
      <c r="AR119" s="33"/>
      <c r="AS119" s="33"/>
    </row>
    <row r="120" spans="1:45" ht="25.9" customHeight="1">
      <c r="A120" s="90"/>
      <c r="B120" s="90"/>
      <c r="C120" s="90"/>
      <c r="D120" s="35" t="s">
        <v>5</v>
      </c>
      <c r="E120" s="23">
        <f t="shared" si="106"/>
        <v>100</v>
      </c>
      <c r="F120" s="23">
        <f t="shared" si="106"/>
        <v>100</v>
      </c>
      <c r="G120" s="24">
        <f>F120/E120*100</f>
        <v>100</v>
      </c>
      <c r="H120" s="23"/>
      <c r="I120" s="23"/>
      <c r="J120" s="24"/>
      <c r="K120" s="23"/>
      <c r="L120" s="23"/>
      <c r="M120" s="24"/>
      <c r="N120" s="23"/>
      <c r="O120" s="23"/>
      <c r="P120" s="24"/>
      <c r="Q120" s="23">
        <v>100</v>
      </c>
      <c r="R120" s="23">
        <v>0</v>
      </c>
      <c r="S120" s="24">
        <f>R120/Q120*100</f>
        <v>0</v>
      </c>
      <c r="T120" s="23"/>
      <c r="U120" s="23"/>
      <c r="V120" s="24"/>
      <c r="W120" s="23"/>
      <c r="X120" s="23">
        <v>100</v>
      </c>
      <c r="Y120" s="24"/>
      <c r="Z120" s="23"/>
      <c r="AA120" s="23"/>
      <c r="AB120" s="24"/>
      <c r="AC120" s="23"/>
      <c r="AD120" s="23"/>
      <c r="AE120" s="24"/>
      <c r="AF120" s="23"/>
      <c r="AG120" s="23"/>
      <c r="AH120" s="24"/>
      <c r="AI120" s="23"/>
      <c r="AJ120" s="23"/>
      <c r="AK120" s="24"/>
      <c r="AL120" s="23"/>
      <c r="AM120" s="23"/>
      <c r="AN120" s="24"/>
      <c r="AO120" s="23"/>
      <c r="AP120" s="23"/>
      <c r="AQ120" s="21"/>
      <c r="AR120" s="83" t="s">
        <v>160</v>
      </c>
      <c r="AS120" s="33"/>
    </row>
    <row r="121" spans="1:45" ht="61.9" customHeight="1">
      <c r="A121" s="90"/>
      <c r="B121" s="90"/>
      <c r="C121" s="90"/>
      <c r="D121" s="35" t="s">
        <v>49</v>
      </c>
      <c r="E121" s="23">
        <f t="shared" si="106"/>
        <v>34927.5</v>
      </c>
      <c r="F121" s="23">
        <f t="shared" si="106"/>
        <v>26865.300000000003</v>
      </c>
      <c r="G121" s="24">
        <f>F121/E121*100</f>
        <v>76.917328752415727</v>
      </c>
      <c r="H121" s="23">
        <v>2380</v>
      </c>
      <c r="I121" s="23">
        <v>2380</v>
      </c>
      <c r="J121" s="24">
        <f t="shared" ref="J121" si="135">I121/H121*100</f>
        <v>100</v>
      </c>
      <c r="K121" s="23">
        <v>3445</v>
      </c>
      <c r="L121" s="23">
        <v>3445</v>
      </c>
      <c r="M121" s="24">
        <f t="shared" si="124"/>
        <v>100</v>
      </c>
      <c r="N121" s="23">
        <v>3442</v>
      </c>
      <c r="O121" s="23">
        <v>3442</v>
      </c>
      <c r="P121" s="24">
        <f t="shared" ref="P121" si="136">O121/N121*100</f>
        <v>100</v>
      </c>
      <c r="Q121" s="23">
        <v>4158</v>
      </c>
      <c r="R121" s="23">
        <v>4158</v>
      </c>
      <c r="S121" s="24">
        <f t="shared" ref="S121" si="137">R121/Q121*100</f>
        <v>100</v>
      </c>
      <c r="T121" s="23">
        <v>4274</v>
      </c>
      <c r="U121" s="23">
        <v>4274</v>
      </c>
      <c r="V121" s="24">
        <f t="shared" ref="V121" si="138">U121/T121*100</f>
        <v>100</v>
      </c>
      <c r="W121" s="23">
        <v>4346</v>
      </c>
      <c r="X121" s="23">
        <v>4346</v>
      </c>
      <c r="Y121" s="24">
        <f t="shared" ref="Y121" si="139">X121/W121*100</f>
        <v>100</v>
      </c>
      <c r="Z121" s="23">
        <f>3234-2400</f>
        <v>834</v>
      </c>
      <c r="AA121" s="23">
        <v>834</v>
      </c>
      <c r="AB121" s="24">
        <f t="shared" ref="AB121" si="140">AA121/Z121*100</f>
        <v>100</v>
      </c>
      <c r="AC121" s="23">
        <f>2238.4-342.3</f>
        <v>1896.1000000000001</v>
      </c>
      <c r="AD121" s="23">
        <v>738.4</v>
      </c>
      <c r="AE121" s="24">
        <f>AD121/AC121*100</f>
        <v>38.943093718685716</v>
      </c>
      <c r="AF121" s="23">
        <f>1582+508.1</f>
        <v>2090.1</v>
      </c>
      <c r="AG121" s="23">
        <v>3247.9</v>
      </c>
      <c r="AH121" s="24">
        <f t="shared" ref="AH121" si="141">AG121/AF121*100</f>
        <v>155.394478733075</v>
      </c>
      <c r="AI121" s="23">
        <f>2073+342.3</f>
        <v>2415.3000000000002</v>
      </c>
      <c r="AJ121" s="23"/>
      <c r="AK121" s="24">
        <f t="shared" ref="AK121" si="142">AJ121/AI121*100</f>
        <v>0</v>
      </c>
      <c r="AL121" s="23">
        <f>1474+1200</f>
        <v>2674</v>
      </c>
      <c r="AM121" s="23"/>
      <c r="AN121" s="24">
        <f t="shared" ref="AN121" si="143">AM121/AL121*100</f>
        <v>0</v>
      </c>
      <c r="AO121" s="23">
        <f>1773+1200</f>
        <v>2973</v>
      </c>
      <c r="AP121" s="23"/>
      <c r="AQ121" s="21">
        <f t="shared" si="134"/>
        <v>0</v>
      </c>
      <c r="AR121" s="83" t="s">
        <v>180</v>
      </c>
      <c r="AS121" s="33"/>
    </row>
    <row r="122" spans="1:45" ht="15.75" customHeight="1">
      <c r="A122" s="90"/>
      <c r="B122" s="90"/>
      <c r="C122" s="90"/>
      <c r="D122" s="35" t="s">
        <v>24</v>
      </c>
      <c r="E122" s="23">
        <f t="shared" si="106"/>
        <v>0</v>
      </c>
      <c r="F122" s="23">
        <f t="shared" si="106"/>
        <v>0</v>
      </c>
      <c r="G122" s="24"/>
      <c r="H122" s="23"/>
      <c r="I122" s="23"/>
      <c r="J122" s="23"/>
      <c r="K122" s="23"/>
      <c r="L122" s="23"/>
      <c r="M122" s="24"/>
      <c r="N122" s="23"/>
      <c r="O122" s="23"/>
      <c r="P122" s="23"/>
      <c r="Q122" s="23"/>
      <c r="R122" s="23"/>
      <c r="S122" s="23"/>
      <c r="T122" s="23"/>
      <c r="U122" s="23"/>
      <c r="V122" s="24"/>
      <c r="W122" s="23"/>
      <c r="X122" s="23"/>
      <c r="Y122" s="23"/>
      <c r="Z122" s="23"/>
      <c r="AA122" s="23"/>
      <c r="AB122" s="23"/>
      <c r="AC122" s="23"/>
      <c r="AD122" s="23"/>
      <c r="AE122" s="24"/>
      <c r="AF122" s="23"/>
      <c r="AG122" s="23"/>
      <c r="AH122" s="23"/>
      <c r="AI122" s="23"/>
      <c r="AJ122" s="23"/>
      <c r="AK122" s="23"/>
      <c r="AL122" s="23"/>
      <c r="AM122" s="23"/>
      <c r="AN122" s="24"/>
      <c r="AO122" s="23"/>
      <c r="AP122" s="23"/>
      <c r="AQ122" s="23"/>
      <c r="AR122" s="33"/>
      <c r="AS122" s="33"/>
    </row>
    <row r="123" spans="1:45" ht="15.75" customHeight="1">
      <c r="A123" s="90" t="s">
        <v>66</v>
      </c>
      <c r="B123" s="90" t="s">
        <v>101</v>
      </c>
      <c r="C123" s="90" t="s">
        <v>7</v>
      </c>
      <c r="D123" s="35" t="s">
        <v>4</v>
      </c>
      <c r="E123" s="23">
        <f t="shared" si="106"/>
        <v>42123</v>
      </c>
      <c r="F123" s="23">
        <f t="shared" si="106"/>
        <v>23044.5</v>
      </c>
      <c r="G123" s="24">
        <f>F123/E123*100</f>
        <v>54.707641905847161</v>
      </c>
      <c r="H123" s="23">
        <f>H124+H125+H126+H127</f>
        <v>189</v>
      </c>
      <c r="I123" s="23">
        <f>I124+I125+I126+I127</f>
        <v>107.7</v>
      </c>
      <c r="J123" s="24">
        <f>I123/H123*100</f>
        <v>56.984126984126981</v>
      </c>
      <c r="K123" s="23">
        <f t="shared" ref="K123:AO123" si="144">K124+K125+K126+K127</f>
        <v>6804</v>
      </c>
      <c r="L123" s="23">
        <f t="shared" si="144"/>
        <v>6956.5</v>
      </c>
      <c r="M123" s="24">
        <f t="shared" si="124"/>
        <v>102.24132863021751</v>
      </c>
      <c r="N123" s="23">
        <f t="shared" si="144"/>
        <v>4745</v>
      </c>
      <c r="O123" s="23">
        <f t="shared" si="144"/>
        <v>4673.1000000000004</v>
      </c>
      <c r="P123" s="24">
        <f>O123/N123*100</f>
        <v>98.484720758693371</v>
      </c>
      <c r="Q123" s="23">
        <f t="shared" si="144"/>
        <v>4379</v>
      </c>
      <c r="R123" s="23">
        <f t="shared" si="144"/>
        <v>4477.1000000000004</v>
      </c>
      <c r="S123" s="24">
        <f>R123/Q123*100</f>
        <v>102.24023749714549</v>
      </c>
      <c r="T123" s="23">
        <f t="shared" si="144"/>
        <v>4479</v>
      </c>
      <c r="U123" s="23">
        <f t="shared" si="144"/>
        <v>4484.1000000000004</v>
      </c>
      <c r="V123" s="24">
        <f>U123/T123*100</f>
        <v>100.11386470194242</v>
      </c>
      <c r="W123" s="23">
        <f t="shared" si="144"/>
        <v>956</v>
      </c>
      <c r="X123" s="23">
        <f t="shared" si="144"/>
        <v>853.5</v>
      </c>
      <c r="Y123" s="24">
        <f>X123/W123*100</f>
        <v>89.278242677824267</v>
      </c>
      <c r="Z123" s="23">
        <f t="shared" si="144"/>
        <v>86</v>
      </c>
      <c r="AA123" s="23">
        <f t="shared" si="144"/>
        <v>0</v>
      </c>
      <c r="AB123" s="21"/>
      <c r="AC123" s="23">
        <f t="shared" si="144"/>
        <v>86</v>
      </c>
      <c r="AD123" s="23">
        <f t="shared" si="144"/>
        <v>0</v>
      </c>
      <c r="AE123" s="24">
        <f>AD123/AC123*100</f>
        <v>0</v>
      </c>
      <c r="AF123" s="23">
        <f t="shared" si="144"/>
        <v>1320.6</v>
      </c>
      <c r="AG123" s="23">
        <f t="shared" si="144"/>
        <v>1492.5</v>
      </c>
      <c r="AH123" s="24">
        <f>AG123/AF123*100</f>
        <v>113.01681054066334</v>
      </c>
      <c r="AI123" s="23">
        <f t="shared" si="144"/>
        <v>4405</v>
      </c>
      <c r="AJ123" s="23">
        <f t="shared" si="144"/>
        <v>0</v>
      </c>
      <c r="AK123" s="24">
        <f>AJ123/AI123*100</f>
        <v>0</v>
      </c>
      <c r="AL123" s="23">
        <f t="shared" si="144"/>
        <v>4410</v>
      </c>
      <c r="AM123" s="23">
        <f t="shared" si="144"/>
        <v>0</v>
      </c>
      <c r="AN123" s="24">
        <f>AM123/AL123*100</f>
        <v>0</v>
      </c>
      <c r="AO123" s="23">
        <f t="shared" si="144"/>
        <v>10263.4</v>
      </c>
      <c r="AP123" s="23"/>
      <c r="AQ123" s="21">
        <f t="shared" ref="AQ123:AQ126" si="145">AP123/AO123</f>
        <v>0</v>
      </c>
      <c r="AR123" s="33"/>
      <c r="AS123" s="33"/>
    </row>
    <row r="124" spans="1:45">
      <c r="A124" s="90"/>
      <c r="B124" s="90"/>
      <c r="C124" s="90"/>
      <c r="D124" s="35" t="s">
        <v>23</v>
      </c>
      <c r="E124" s="23">
        <f t="shared" si="106"/>
        <v>0</v>
      </c>
      <c r="F124" s="23">
        <f t="shared" si="106"/>
        <v>0</v>
      </c>
      <c r="G124" s="24"/>
      <c r="H124" s="23"/>
      <c r="I124" s="23"/>
      <c r="J124" s="24"/>
      <c r="K124" s="23"/>
      <c r="L124" s="23"/>
      <c r="M124" s="24"/>
      <c r="N124" s="23"/>
      <c r="O124" s="23"/>
      <c r="P124" s="24"/>
      <c r="Q124" s="23"/>
      <c r="R124" s="23"/>
      <c r="S124" s="24"/>
      <c r="T124" s="23"/>
      <c r="U124" s="23"/>
      <c r="V124" s="24"/>
      <c r="W124" s="23"/>
      <c r="X124" s="23"/>
      <c r="Y124" s="24"/>
      <c r="Z124" s="23"/>
      <c r="AA124" s="23"/>
      <c r="AB124" s="21"/>
      <c r="AC124" s="23"/>
      <c r="AD124" s="23"/>
      <c r="AE124" s="24"/>
      <c r="AF124" s="23"/>
      <c r="AG124" s="23"/>
      <c r="AH124" s="24"/>
      <c r="AI124" s="23"/>
      <c r="AJ124" s="23"/>
      <c r="AK124" s="24"/>
      <c r="AL124" s="23"/>
      <c r="AM124" s="23"/>
      <c r="AN124" s="24"/>
      <c r="AO124" s="23"/>
      <c r="AP124" s="23"/>
      <c r="AQ124" s="21"/>
      <c r="AR124" s="33"/>
      <c r="AS124" s="33"/>
    </row>
    <row r="125" spans="1:45" ht="73.5" customHeight="1">
      <c r="A125" s="90"/>
      <c r="B125" s="90"/>
      <c r="C125" s="90"/>
      <c r="D125" s="35" t="s">
        <v>5</v>
      </c>
      <c r="E125" s="23">
        <f t="shared" si="106"/>
        <v>0</v>
      </c>
      <c r="F125" s="23">
        <f t="shared" si="106"/>
        <v>0</v>
      </c>
      <c r="G125" s="24"/>
      <c r="H125" s="23"/>
      <c r="I125" s="23"/>
      <c r="J125" s="24"/>
      <c r="K125" s="23"/>
      <c r="L125" s="23"/>
      <c r="M125" s="24"/>
      <c r="N125" s="23"/>
      <c r="O125" s="23"/>
      <c r="P125" s="24"/>
      <c r="Q125" s="23"/>
      <c r="R125" s="23"/>
      <c r="S125" s="24"/>
      <c r="T125" s="23"/>
      <c r="U125" s="23"/>
      <c r="V125" s="24"/>
      <c r="W125" s="23"/>
      <c r="X125" s="23"/>
      <c r="Y125" s="24"/>
      <c r="Z125" s="23"/>
      <c r="AA125" s="23"/>
      <c r="AB125" s="21"/>
      <c r="AC125" s="23"/>
      <c r="AD125" s="23"/>
      <c r="AE125" s="24"/>
      <c r="AF125" s="23"/>
      <c r="AG125" s="23"/>
      <c r="AH125" s="24"/>
      <c r="AI125" s="23"/>
      <c r="AJ125" s="23"/>
      <c r="AK125" s="24"/>
      <c r="AL125" s="23"/>
      <c r="AM125" s="23"/>
      <c r="AN125" s="24"/>
      <c r="AO125" s="23"/>
      <c r="AP125" s="23"/>
      <c r="AQ125" s="21"/>
      <c r="AR125" s="33"/>
      <c r="AS125" s="33"/>
    </row>
    <row r="126" spans="1:45" ht="38.450000000000003" customHeight="1">
      <c r="A126" s="90"/>
      <c r="B126" s="90"/>
      <c r="C126" s="90"/>
      <c r="D126" s="35" t="s">
        <v>49</v>
      </c>
      <c r="E126" s="23">
        <f t="shared" si="106"/>
        <v>42123</v>
      </c>
      <c r="F126" s="23">
        <f t="shared" si="106"/>
        <v>23044.5</v>
      </c>
      <c r="G126" s="24">
        <f t="shared" ref="G126" si="146">F126/E126*100</f>
        <v>54.707641905847161</v>
      </c>
      <c r="H126" s="23">
        <v>189</v>
      </c>
      <c r="I126" s="23">
        <v>107.7</v>
      </c>
      <c r="J126" s="24">
        <f t="shared" ref="J126" si="147">I126/H126*100</f>
        <v>56.984126984126981</v>
      </c>
      <c r="K126" s="23">
        <v>6804</v>
      </c>
      <c r="L126" s="23">
        <v>6956.5</v>
      </c>
      <c r="M126" s="24">
        <f t="shared" si="124"/>
        <v>102.24132863021751</v>
      </c>
      <c r="N126" s="23">
        <f>4439+306</f>
        <v>4745</v>
      </c>
      <c r="O126" s="23">
        <v>4673.1000000000004</v>
      </c>
      <c r="P126" s="24">
        <f t="shared" ref="P126" si="148">O126/N126*100</f>
        <v>98.484720758693371</v>
      </c>
      <c r="Q126" s="23">
        <v>4379</v>
      </c>
      <c r="R126" s="23">
        <v>4477.1000000000004</v>
      </c>
      <c r="S126" s="24">
        <f t="shared" ref="S126" si="149">R126/Q126*100</f>
        <v>102.24023749714549</v>
      </c>
      <c r="T126" s="23">
        <v>4479</v>
      </c>
      <c r="U126" s="23">
        <v>4484.1000000000004</v>
      </c>
      <c r="V126" s="24">
        <f t="shared" ref="V126" si="150">U126/T126*100</f>
        <v>100.11386470194242</v>
      </c>
      <c r="W126" s="23">
        <v>956</v>
      </c>
      <c r="X126" s="23">
        <v>853.5</v>
      </c>
      <c r="Y126" s="24">
        <f t="shared" ref="Y126" si="151">X126/W126*100</f>
        <v>89.278242677824267</v>
      </c>
      <c r="Z126" s="23">
        <v>86</v>
      </c>
      <c r="AA126" s="23"/>
      <c r="AB126" s="21"/>
      <c r="AC126" s="23">
        <v>86</v>
      </c>
      <c r="AD126" s="23">
        <v>0</v>
      </c>
      <c r="AE126" s="24">
        <f t="shared" ref="AE126" si="152">AD126/AC126*100</f>
        <v>0</v>
      </c>
      <c r="AF126" s="23">
        <f>3585-2264.4</f>
        <v>1320.6</v>
      </c>
      <c r="AG126" s="23">
        <v>1492.5</v>
      </c>
      <c r="AH126" s="24">
        <f t="shared" ref="AH126" si="153">AG126/AF126*100</f>
        <v>113.01681054066334</v>
      </c>
      <c r="AI126" s="23">
        <v>4405</v>
      </c>
      <c r="AJ126" s="23"/>
      <c r="AK126" s="24">
        <f t="shared" ref="AK126" si="154">AJ126/AI126*100</f>
        <v>0</v>
      </c>
      <c r="AL126" s="23">
        <v>4410</v>
      </c>
      <c r="AM126" s="23"/>
      <c r="AN126" s="24">
        <f t="shared" ref="AN126" si="155">AM126/AL126*100</f>
        <v>0</v>
      </c>
      <c r="AO126" s="23">
        <f>5477.9-306+2827.1+2264.4</f>
        <v>10263.4</v>
      </c>
      <c r="AP126" s="23"/>
      <c r="AQ126" s="21">
        <f t="shared" si="145"/>
        <v>0</v>
      </c>
      <c r="AR126" s="83" t="s">
        <v>140</v>
      </c>
      <c r="AS126" s="83"/>
    </row>
    <row r="127" spans="1:45" ht="15.75" customHeight="1">
      <c r="A127" s="90"/>
      <c r="B127" s="90"/>
      <c r="C127" s="90"/>
      <c r="D127" s="35" t="s">
        <v>24</v>
      </c>
      <c r="E127" s="23">
        <f t="shared" si="106"/>
        <v>0</v>
      </c>
      <c r="F127" s="23">
        <f t="shared" si="106"/>
        <v>0</v>
      </c>
      <c r="G127" s="24"/>
      <c r="H127" s="23"/>
      <c r="I127" s="23"/>
      <c r="J127" s="23"/>
      <c r="K127" s="23"/>
      <c r="L127" s="23"/>
      <c r="M127" s="24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4"/>
      <c r="AL127" s="23"/>
      <c r="AM127" s="23"/>
      <c r="AN127" s="23"/>
      <c r="AO127" s="23"/>
      <c r="AP127" s="23"/>
      <c r="AQ127" s="23"/>
      <c r="AR127" s="33"/>
      <c r="AS127" s="33"/>
    </row>
    <row r="128" spans="1:45" ht="15.75" customHeight="1">
      <c r="A128" s="90" t="s">
        <v>67</v>
      </c>
      <c r="B128" s="90" t="s">
        <v>102</v>
      </c>
      <c r="C128" s="90" t="s">
        <v>7</v>
      </c>
      <c r="D128" s="35" t="s">
        <v>4</v>
      </c>
      <c r="E128" s="23">
        <f t="shared" si="106"/>
        <v>3858.4</v>
      </c>
      <c r="F128" s="23">
        <f t="shared" si="106"/>
        <v>1817</v>
      </c>
      <c r="G128" s="24">
        <f>F128/E128*100</f>
        <v>47.092058884511715</v>
      </c>
      <c r="H128" s="23">
        <f>H129+H130+H131+H132</f>
        <v>0</v>
      </c>
      <c r="I128" s="23"/>
      <c r="J128" s="21"/>
      <c r="K128" s="23">
        <f t="shared" ref="K128:AO128" si="156">K129+K130+K131+K132</f>
        <v>0</v>
      </c>
      <c r="L128" s="23">
        <f t="shared" si="156"/>
        <v>0</v>
      </c>
      <c r="M128" s="24"/>
      <c r="N128" s="23">
        <f t="shared" si="156"/>
        <v>0</v>
      </c>
      <c r="O128" s="23">
        <f t="shared" si="156"/>
        <v>0</v>
      </c>
      <c r="P128" s="24"/>
      <c r="Q128" s="23">
        <f t="shared" si="156"/>
        <v>378.70000000000005</v>
      </c>
      <c r="R128" s="23">
        <f t="shared" si="156"/>
        <v>378.7</v>
      </c>
      <c r="S128" s="24">
        <f>R128/Q128*100</f>
        <v>99.999999999999986</v>
      </c>
      <c r="T128" s="23">
        <f t="shared" si="156"/>
        <v>480.5</v>
      </c>
      <c r="U128" s="23">
        <f t="shared" si="156"/>
        <v>480.5</v>
      </c>
      <c r="V128" s="24">
        <f>U128/T128*100</f>
        <v>100</v>
      </c>
      <c r="W128" s="23">
        <f t="shared" si="156"/>
        <v>164</v>
      </c>
      <c r="X128" s="23">
        <f t="shared" si="156"/>
        <v>164</v>
      </c>
      <c r="Y128" s="24">
        <f>X128/W128*100</f>
        <v>100</v>
      </c>
      <c r="Z128" s="23">
        <f t="shared" si="156"/>
        <v>2480.7999999999997</v>
      </c>
      <c r="AA128" s="23">
        <f t="shared" si="156"/>
        <v>283.7</v>
      </c>
      <c r="AB128" s="24">
        <f>AA128/Z128*100</f>
        <v>11.435827152531443</v>
      </c>
      <c r="AC128" s="23">
        <f t="shared" si="156"/>
        <v>0</v>
      </c>
      <c r="AD128" s="23">
        <f t="shared" si="156"/>
        <v>506.3</v>
      </c>
      <c r="AE128" s="24"/>
      <c r="AF128" s="23">
        <f t="shared" si="156"/>
        <v>0</v>
      </c>
      <c r="AG128" s="23">
        <f t="shared" si="156"/>
        <v>3.8</v>
      </c>
      <c r="AH128" s="21"/>
      <c r="AI128" s="23">
        <f t="shared" si="156"/>
        <v>129</v>
      </c>
      <c r="AJ128" s="23">
        <f t="shared" si="156"/>
        <v>0</v>
      </c>
      <c r="AK128" s="24">
        <f>AJ128/AI128*100</f>
        <v>0</v>
      </c>
      <c r="AL128" s="23">
        <f t="shared" si="156"/>
        <v>98.8</v>
      </c>
      <c r="AM128" s="23">
        <f t="shared" si="156"/>
        <v>0</v>
      </c>
      <c r="AN128" s="24">
        <f>AM128/AL128*100</f>
        <v>0</v>
      </c>
      <c r="AO128" s="23">
        <f t="shared" si="156"/>
        <v>126.6</v>
      </c>
      <c r="AP128" s="23"/>
      <c r="AQ128" s="21">
        <f t="shared" ref="AQ128:AQ130" si="157">AP128/AO128</f>
        <v>0</v>
      </c>
      <c r="AR128" s="33"/>
      <c r="AS128" s="33"/>
    </row>
    <row r="129" spans="1:45">
      <c r="A129" s="90"/>
      <c r="B129" s="90"/>
      <c r="C129" s="90"/>
      <c r="D129" s="35" t="s">
        <v>23</v>
      </c>
      <c r="E129" s="23">
        <f t="shared" si="106"/>
        <v>0</v>
      </c>
      <c r="F129" s="23">
        <f t="shared" si="106"/>
        <v>0</v>
      </c>
      <c r="G129" s="24"/>
      <c r="H129" s="23"/>
      <c r="I129" s="23"/>
      <c r="J129" s="21"/>
      <c r="K129" s="23"/>
      <c r="L129" s="23"/>
      <c r="M129" s="24"/>
      <c r="N129" s="23"/>
      <c r="O129" s="23"/>
      <c r="P129" s="24"/>
      <c r="Q129" s="23"/>
      <c r="R129" s="23"/>
      <c r="S129" s="24"/>
      <c r="T129" s="23"/>
      <c r="U129" s="23"/>
      <c r="V129" s="24"/>
      <c r="W129" s="23"/>
      <c r="X129" s="23"/>
      <c r="Y129" s="24"/>
      <c r="Z129" s="23"/>
      <c r="AA129" s="23"/>
      <c r="AB129" s="24"/>
      <c r="AC129" s="23"/>
      <c r="AD129" s="23"/>
      <c r="AE129" s="24"/>
      <c r="AF129" s="23"/>
      <c r="AG129" s="23"/>
      <c r="AH129" s="21"/>
      <c r="AI129" s="23"/>
      <c r="AJ129" s="23"/>
      <c r="AK129" s="24"/>
      <c r="AL129" s="23"/>
      <c r="AM129" s="23"/>
      <c r="AN129" s="24"/>
      <c r="AO129" s="23"/>
      <c r="AP129" s="23"/>
      <c r="AQ129" s="21"/>
      <c r="AR129" s="33"/>
      <c r="AS129" s="33"/>
    </row>
    <row r="130" spans="1:45" ht="113.25" customHeight="1">
      <c r="A130" s="90"/>
      <c r="B130" s="90"/>
      <c r="C130" s="90"/>
      <c r="D130" s="35" t="s">
        <v>5</v>
      </c>
      <c r="E130" s="23">
        <f t="shared" si="106"/>
        <v>3858.4</v>
      </c>
      <c r="F130" s="23">
        <f t="shared" si="106"/>
        <v>1817</v>
      </c>
      <c r="G130" s="24">
        <f>F130/E130*100</f>
        <v>47.092058884511715</v>
      </c>
      <c r="H130" s="24"/>
      <c r="I130" s="24"/>
      <c r="J130" s="21"/>
      <c r="K130" s="24"/>
      <c r="L130" s="24"/>
      <c r="M130" s="24"/>
      <c r="N130" s="24"/>
      <c r="O130" s="24"/>
      <c r="P130" s="24"/>
      <c r="Q130" s="24">
        <f>417.9+42+24+1110-1215.2</f>
        <v>378.70000000000005</v>
      </c>
      <c r="R130" s="24">
        <v>378.7</v>
      </c>
      <c r="S130" s="24">
        <f>R130/Q130*100</f>
        <v>99.999999999999986</v>
      </c>
      <c r="T130" s="24">
        <f>73.1+800-392.6</f>
        <v>480.5</v>
      </c>
      <c r="U130" s="24">
        <v>480.5</v>
      </c>
      <c r="V130" s="24">
        <f>U130/T130*100</f>
        <v>100</v>
      </c>
      <c r="W130" s="24">
        <f>202-38</f>
        <v>164</v>
      </c>
      <c r="X130" s="24">
        <v>164</v>
      </c>
      <c r="Y130" s="24">
        <f>X130/W130*100</f>
        <v>100</v>
      </c>
      <c r="Z130" s="24">
        <f>72+42+15+799.4+1651.2-98.8</f>
        <v>2480.7999999999997</v>
      </c>
      <c r="AA130" s="24">
        <v>283.7</v>
      </c>
      <c r="AB130" s="24">
        <f>AA130/Z130*100</f>
        <v>11.435827152531443</v>
      </c>
      <c r="AC130" s="24"/>
      <c r="AD130" s="24">
        <v>506.3</v>
      </c>
      <c r="AE130" s="24"/>
      <c r="AF130" s="24"/>
      <c r="AG130" s="24">
        <v>3.8</v>
      </c>
      <c r="AH130" s="21"/>
      <c r="AI130" s="23">
        <f>72+42+15</f>
        <v>129</v>
      </c>
      <c r="AJ130" s="24"/>
      <c r="AK130" s="24">
        <f>AJ130/AI130*100</f>
        <v>0</v>
      </c>
      <c r="AL130" s="24">
        <v>98.8</v>
      </c>
      <c r="AM130" s="24"/>
      <c r="AN130" s="24">
        <f>AM130/AL130*100</f>
        <v>0</v>
      </c>
      <c r="AO130" s="23">
        <f>75+42+15-5.4</f>
        <v>126.6</v>
      </c>
      <c r="AP130" s="24"/>
      <c r="AQ130" s="21">
        <f t="shared" si="157"/>
        <v>0</v>
      </c>
      <c r="AR130" s="83" t="s">
        <v>181</v>
      </c>
      <c r="AS130" s="86" t="s">
        <v>182</v>
      </c>
    </row>
    <row r="131" spans="1:45">
      <c r="A131" s="90"/>
      <c r="B131" s="90"/>
      <c r="C131" s="90"/>
      <c r="D131" s="35" t="s">
        <v>49</v>
      </c>
      <c r="E131" s="23">
        <f t="shared" si="106"/>
        <v>0</v>
      </c>
      <c r="F131" s="23">
        <f t="shared" si="106"/>
        <v>0</v>
      </c>
      <c r="G131" s="24"/>
      <c r="H131" s="24"/>
      <c r="I131" s="24"/>
      <c r="J131" s="21"/>
      <c r="K131" s="24"/>
      <c r="L131" s="24"/>
      <c r="M131" s="24"/>
      <c r="N131" s="24"/>
      <c r="O131" s="24"/>
      <c r="P131" s="24"/>
      <c r="Q131" s="24"/>
      <c r="R131" s="24"/>
      <c r="S131" s="21"/>
      <c r="T131" s="24"/>
      <c r="U131" s="24"/>
      <c r="V131" s="24"/>
      <c r="W131" s="24"/>
      <c r="X131" s="24"/>
      <c r="Y131" s="21"/>
      <c r="Z131" s="24"/>
      <c r="AA131" s="24"/>
      <c r="AB131" s="21"/>
      <c r="AC131" s="24"/>
      <c r="AD131" s="24"/>
      <c r="AE131" s="21"/>
      <c r="AF131" s="24"/>
      <c r="AG131" s="24"/>
      <c r="AH131" s="21"/>
      <c r="AI131" s="24"/>
      <c r="AJ131" s="24"/>
      <c r="AK131" s="21"/>
      <c r="AL131" s="24"/>
      <c r="AM131" s="24"/>
      <c r="AN131" s="21"/>
      <c r="AO131" s="24"/>
      <c r="AP131" s="24"/>
      <c r="AQ131" s="21"/>
      <c r="AR131" s="33"/>
      <c r="AS131" s="33"/>
    </row>
    <row r="132" spans="1:45" ht="15.75" customHeight="1" thickBot="1">
      <c r="A132" s="90"/>
      <c r="B132" s="90"/>
      <c r="C132" s="90"/>
      <c r="D132" s="35" t="s">
        <v>24</v>
      </c>
      <c r="E132" s="23">
        <f t="shared" si="106"/>
        <v>0</v>
      </c>
      <c r="F132" s="23">
        <f t="shared" si="106"/>
        <v>0</v>
      </c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33"/>
      <c r="AS132" s="33"/>
    </row>
    <row r="133" spans="1:45" ht="15.75" customHeight="1">
      <c r="A133" s="90" t="s">
        <v>154</v>
      </c>
      <c r="B133" s="136" t="s">
        <v>156</v>
      </c>
      <c r="C133" s="90" t="s">
        <v>7</v>
      </c>
      <c r="D133" s="35" t="s">
        <v>4</v>
      </c>
      <c r="E133" s="23">
        <f t="shared" ref="E133:E137" si="158">H133+K133+N133+Q133+T133+W133+Z133+AC133+AF133+AI133+AL133+AO133</f>
        <v>108.3</v>
      </c>
      <c r="F133" s="23">
        <f t="shared" ref="F133:F137" si="159">I133+L133+O133+R133+U133+X133+AA133+AD133+AG133+AJ133+AM133+AP133</f>
        <v>108.3</v>
      </c>
      <c r="G133" s="24">
        <f>F133/E133*100</f>
        <v>100</v>
      </c>
      <c r="H133" s="23">
        <f>H134+H135+H136+H137</f>
        <v>0</v>
      </c>
      <c r="I133" s="23"/>
      <c r="J133" s="21"/>
      <c r="K133" s="23">
        <f t="shared" ref="K133:L133" si="160">K134+K135+K136+K137</f>
        <v>0</v>
      </c>
      <c r="L133" s="23">
        <f t="shared" si="160"/>
        <v>0</v>
      </c>
      <c r="M133" s="24"/>
      <c r="N133" s="23">
        <f t="shared" ref="N133:O133" si="161">N134+N135+N136+N137</f>
        <v>0</v>
      </c>
      <c r="O133" s="23">
        <f t="shared" si="161"/>
        <v>0</v>
      </c>
      <c r="P133" s="24"/>
      <c r="Q133" s="23">
        <f t="shared" ref="Q133:R133" si="162">Q134+Q135+Q136+Q137</f>
        <v>0</v>
      </c>
      <c r="R133" s="23">
        <f t="shared" si="162"/>
        <v>0</v>
      </c>
      <c r="S133" s="24"/>
      <c r="T133" s="23">
        <f t="shared" ref="T133:U133" si="163">T134+T135+T136+T137</f>
        <v>0</v>
      </c>
      <c r="U133" s="23">
        <f t="shared" si="163"/>
        <v>0</v>
      </c>
      <c r="V133" s="24"/>
      <c r="W133" s="23">
        <f t="shared" ref="W133:X133" si="164">W134+W135+W136+W137</f>
        <v>0</v>
      </c>
      <c r="X133" s="23">
        <f t="shared" si="164"/>
        <v>0</v>
      </c>
      <c r="Y133" s="24"/>
      <c r="Z133" s="23">
        <f t="shared" ref="Z133:AA133" si="165">Z134+Z135+Z136+Z137</f>
        <v>0</v>
      </c>
      <c r="AA133" s="23">
        <f t="shared" si="165"/>
        <v>0</v>
      </c>
      <c r="AB133" s="24"/>
      <c r="AC133" s="23">
        <f t="shared" ref="AC133:AD133" si="166">AC134+AC135+AC136+AC137</f>
        <v>108.3</v>
      </c>
      <c r="AD133" s="23">
        <f t="shared" si="166"/>
        <v>108.3</v>
      </c>
      <c r="AE133" s="24">
        <f>AD133/AC133*100</f>
        <v>100</v>
      </c>
      <c r="AF133" s="23">
        <f t="shared" ref="AF133" si="167">AF134+AF135+AF136+AF137</f>
        <v>0</v>
      </c>
      <c r="AG133" s="23"/>
      <c r="AH133" s="21"/>
      <c r="AI133" s="23">
        <f t="shared" ref="AI133:AJ133" si="168">AI134+AI135+AI136+AI137</f>
        <v>0</v>
      </c>
      <c r="AJ133" s="23">
        <f t="shared" si="168"/>
        <v>0</v>
      </c>
      <c r="AK133" s="24" t="e">
        <f>AJ133/AI133*100</f>
        <v>#DIV/0!</v>
      </c>
      <c r="AL133" s="23">
        <f t="shared" ref="AL133:AM133" si="169">AL134+AL135+AL136+AL137</f>
        <v>0</v>
      </c>
      <c r="AM133" s="23">
        <f t="shared" si="169"/>
        <v>0</v>
      </c>
      <c r="AN133" s="24" t="e">
        <f>AM133/AL133*100</f>
        <v>#DIV/0!</v>
      </c>
      <c r="AO133" s="23">
        <f t="shared" ref="AO133" si="170">AO134+AO135+AO136+AO137</f>
        <v>0</v>
      </c>
      <c r="AP133" s="23"/>
      <c r="AQ133" s="21" t="e">
        <f t="shared" ref="AQ133" si="171">AP133/AO133</f>
        <v>#DIV/0!</v>
      </c>
      <c r="AR133" s="33"/>
      <c r="AS133" s="33"/>
    </row>
    <row r="134" spans="1:45">
      <c r="A134" s="90"/>
      <c r="B134" s="137"/>
      <c r="C134" s="90"/>
      <c r="D134" s="35" t="s">
        <v>23</v>
      </c>
      <c r="E134" s="23">
        <f t="shared" si="158"/>
        <v>0</v>
      </c>
      <c r="F134" s="23">
        <f t="shared" si="159"/>
        <v>0</v>
      </c>
      <c r="G134" s="24"/>
      <c r="H134" s="23"/>
      <c r="I134" s="23"/>
      <c r="J134" s="21"/>
      <c r="K134" s="23"/>
      <c r="L134" s="23"/>
      <c r="M134" s="24"/>
      <c r="N134" s="23"/>
      <c r="O134" s="23"/>
      <c r="P134" s="24"/>
      <c r="Q134" s="23"/>
      <c r="R134" s="23"/>
      <c r="S134" s="24"/>
      <c r="T134" s="23"/>
      <c r="U134" s="23"/>
      <c r="V134" s="24"/>
      <c r="W134" s="23"/>
      <c r="X134" s="23"/>
      <c r="Y134" s="24"/>
      <c r="Z134" s="23"/>
      <c r="AA134" s="23"/>
      <c r="AB134" s="24"/>
      <c r="AC134" s="23"/>
      <c r="AD134" s="23"/>
      <c r="AE134" s="24"/>
      <c r="AF134" s="23"/>
      <c r="AG134" s="23"/>
      <c r="AH134" s="21"/>
      <c r="AI134" s="23"/>
      <c r="AJ134" s="23"/>
      <c r="AK134" s="24"/>
      <c r="AL134" s="23"/>
      <c r="AM134" s="23"/>
      <c r="AN134" s="24"/>
      <c r="AO134" s="23"/>
      <c r="AP134" s="23"/>
      <c r="AQ134" s="21"/>
      <c r="AR134" s="33"/>
      <c r="AS134" s="33"/>
    </row>
    <row r="135" spans="1:45" ht="23.45" customHeight="1">
      <c r="A135" s="90"/>
      <c r="B135" s="137"/>
      <c r="C135" s="90"/>
      <c r="D135" s="35" t="s">
        <v>5</v>
      </c>
      <c r="E135" s="23">
        <f t="shared" si="158"/>
        <v>0</v>
      </c>
      <c r="F135" s="23">
        <f t="shared" si="159"/>
        <v>0</v>
      </c>
      <c r="G135" s="24"/>
      <c r="H135" s="24"/>
      <c r="I135" s="24"/>
      <c r="J135" s="21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3"/>
      <c r="AD135" s="24"/>
      <c r="AE135" s="24"/>
      <c r="AF135" s="24"/>
      <c r="AG135" s="24"/>
      <c r="AH135" s="21"/>
      <c r="AI135" s="24"/>
      <c r="AJ135" s="24"/>
      <c r="AK135" s="24"/>
      <c r="AL135" s="24"/>
      <c r="AM135" s="24"/>
      <c r="AN135" s="24"/>
      <c r="AO135" s="24"/>
      <c r="AP135" s="24"/>
      <c r="AQ135" s="21" t="e">
        <f t="shared" ref="AQ135" si="172">AP135/AO135</f>
        <v>#DIV/0!</v>
      </c>
      <c r="AR135" s="83"/>
      <c r="AS135" s="86"/>
    </row>
    <row r="136" spans="1:45" ht="63.75" customHeight="1">
      <c r="A136" s="90"/>
      <c r="B136" s="137"/>
      <c r="C136" s="90"/>
      <c r="D136" s="35" t="s">
        <v>49</v>
      </c>
      <c r="E136" s="23">
        <f t="shared" si="158"/>
        <v>108.3</v>
      </c>
      <c r="F136" s="23">
        <f t="shared" si="159"/>
        <v>108.3</v>
      </c>
      <c r="G136" s="24">
        <f t="shared" ref="G136" si="173">F136/E136*100</f>
        <v>100</v>
      </c>
      <c r="H136" s="24"/>
      <c r="I136" s="24"/>
      <c r="J136" s="21"/>
      <c r="K136" s="24"/>
      <c r="L136" s="24"/>
      <c r="M136" s="24"/>
      <c r="N136" s="24"/>
      <c r="O136" s="24"/>
      <c r="P136" s="24"/>
      <c r="Q136" s="24"/>
      <c r="R136" s="24"/>
      <c r="S136" s="21"/>
      <c r="T136" s="24"/>
      <c r="U136" s="24"/>
      <c r="V136" s="24"/>
      <c r="W136" s="24"/>
      <c r="X136" s="24"/>
      <c r="Y136" s="21"/>
      <c r="Z136" s="24"/>
      <c r="AA136" s="24"/>
      <c r="AB136" s="21"/>
      <c r="AC136" s="23">
        <v>108.3</v>
      </c>
      <c r="AD136" s="23">
        <v>108.3</v>
      </c>
      <c r="AE136" s="24">
        <f t="shared" ref="AE136" si="174">AD136/AC136*100</f>
        <v>100</v>
      </c>
      <c r="AF136" s="24"/>
      <c r="AG136" s="24"/>
      <c r="AH136" s="21"/>
      <c r="AI136" s="24"/>
      <c r="AJ136" s="24"/>
      <c r="AK136" s="21"/>
      <c r="AL136" s="24"/>
      <c r="AM136" s="24"/>
      <c r="AN136" s="21"/>
      <c r="AO136" s="24"/>
      <c r="AP136" s="24"/>
      <c r="AQ136" s="21"/>
      <c r="AR136" s="83" t="s">
        <v>183</v>
      </c>
      <c r="AS136" s="33"/>
    </row>
    <row r="137" spans="1:45" ht="15.75" customHeight="1" thickBot="1">
      <c r="A137" s="90"/>
      <c r="B137" s="138"/>
      <c r="C137" s="90"/>
      <c r="D137" s="35" t="s">
        <v>24</v>
      </c>
      <c r="E137" s="23">
        <f t="shared" si="158"/>
        <v>0</v>
      </c>
      <c r="F137" s="23">
        <f t="shared" si="159"/>
        <v>0</v>
      </c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33"/>
      <c r="AS137" s="33"/>
    </row>
    <row r="138" spans="1:45" ht="15.75" customHeight="1">
      <c r="A138" s="90" t="s">
        <v>155</v>
      </c>
      <c r="B138" s="136" t="s">
        <v>157</v>
      </c>
      <c r="C138" s="90" t="s">
        <v>7</v>
      </c>
      <c r="D138" s="35" t="s">
        <v>4</v>
      </c>
      <c r="E138" s="23">
        <f t="shared" ref="E138:F147" si="175">H138+K138+N138+Q138+T138+W138+Z138+AC138+AF138+AI138+AL138+AO138</f>
        <v>7227.8000000000011</v>
      </c>
      <c r="F138" s="23">
        <f t="shared" ref="F138:F142" si="176">I138+L138+O138+R138+U138+X138+AA138+AD138+AG138+AJ138+AM138+AP138</f>
        <v>1733.1</v>
      </c>
      <c r="G138" s="24">
        <f>F138/E138*100</f>
        <v>23.978250643349284</v>
      </c>
      <c r="H138" s="23">
        <f>H139+H140+H141+H142</f>
        <v>0</v>
      </c>
      <c r="I138" s="23"/>
      <c r="J138" s="21"/>
      <c r="K138" s="23">
        <f t="shared" ref="K138:L138" si="177">K139+K140+K141+K142</f>
        <v>0</v>
      </c>
      <c r="L138" s="23">
        <f t="shared" si="177"/>
        <v>0</v>
      </c>
      <c r="M138" s="24"/>
      <c r="N138" s="23">
        <f t="shared" ref="N138:O138" si="178">N139+N140+N141+N142</f>
        <v>0</v>
      </c>
      <c r="O138" s="23">
        <f t="shared" si="178"/>
        <v>0</v>
      </c>
      <c r="P138" s="24"/>
      <c r="Q138" s="23">
        <f t="shared" ref="Q138:R138" si="179">Q139+Q140+Q141+Q142</f>
        <v>0</v>
      </c>
      <c r="R138" s="23">
        <f t="shared" si="179"/>
        <v>0</v>
      </c>
      <c r="S138" s="24"/>
      <c r="T138" s="23">
        <f t="shared" ref="T138:U138" si="180">T139+T140+T141+T142</f>
        <v>0</v>
      </c>
      <c r="U138" s="23">
        <f t="shared" si="180"/>
        <v>0</v>
      </c>
      <c r="V138" s="24"/>
      <c r="W138" s="23">
        <f t="shared" ref="W138:X138" si="181">W139+W140+W141+W142</f>
        <v>0</v>
      </c>
      <c r="X138" s="23">
        <f t="shared" si="181"/>
        <v>0</v>
      </c>
      <c r="Y138" s="24"/>
      <c r="Z138" s="23">
        <f t="shared" ref="Z138:AA138" si="182">Z139+Z140+Z141+Z142</f>
        <v>0</v>
      </c>
      <c r="AA138" s="23">
        <f t="shared" si="182"/>
        <v>0</v>
      </c>
      <c r="AB138" s="24"/>
      <c r="AC138" s="23">
        <f t="shared" ref="AC138:AD138" si="183">AC139+AC140+AC141+AC142</f>
        <v>0</v>
      </c>
      <c r="AD138" s="23">
        <f t="shared" si="183"/>
        <v>0</v>
      </c>
      <c r="AE138" s="24"/>
      <c r="AF138" s="23">
        <f t="shared" ref="AF138:AG138" si="184">AF139+AF140+AF141+AF142</f>
        <v>1733.1</v>
      </c>
      <c r="AG138" s="23">
        <f t="shared" si="184"/>
        <v>1733.1</v>
      </c>
      <c r="AH138" s="24">
        <f>AG138/AF138*100</f>
        <v>100</v>
      </c>
      <c r="AI138" s="23">
        <f t="shared" ref="AI138:AJ138" si="185">AI139+AI140+AI141+AI142</f>
        <v>5494.7000000000007</v>
      </c>
      <c r="AJ138" s="23">
        <f t="shared" si="185"/>
        <v>0</v>
      </c>
      <c r="AK138" s="24">
        <f>AJ138/AI138*100</f>
        <v>0</v>
      </c>
      <c r="AL138" s="23">
        <f t="shared" ref="AL138:AM138" si="186">AL139+AL140+AL141+AL142</f>
        <v>0</v>
      </c>
      <c r="AM138" s="23">
        <f t="shared" si="186"/>
        <v>0</v>
      </c>
      <c r="AN138" s="24" t="e">
        <f>AM138/AL138*100</f>
        <v>#DIV/0!</v>
      </c>
      <c r="AO138" s="23">
        <f t="shared" ref="AO138" si="187">AO139+AO140+AO141+AO142</f>
        <v>0</v>
      </c>
      <c r="AP138" s="23"/>
      <c r="AQ138" s="21" t="e">
        <f t="shared" ref="AQ138" si="188">AP138/AO138</f>
        <v>#DIV/0!</v>
      </c>
      <c r="AR138" s="33"/>
      <c r="AS138" s="33"/>
    </row>
    <row r="139" spans="1:45" ht="17.25" customHeight="1">
      <c r="A139" s="90"/>
      <c r="B139" s="137"/>
      <c r="C139" s="90"/>
      <c r="D139" s="35" t="s">
        <v>23</v>
      </c>
      <c r="E139" s="23">
        <f t="shared" si="175"/>
        <v>2607.4</v>
      </c>
      <c r="F139" s="23">
        <f t="shared" si="176"/>
        <v>625.20000000000005</v>
      </c>
      <c r="G139" s="24">
        <f t="shared" ref="G139:G141" si="189">F139/E139*100</f>
        <v>23.977909028150648</v>
      </c>
      <c r="H139" s="23"/>
      <c r="I139" s="23"/>
      <c r="J139" s="21"/>
      <c r="K139" s="23"/>
      <c r="L139" s="23"/>
      <c r="M139" s="24"/>
      <c r="N139" s="23"/>
      <c r="O139" s="23"/>
      <c r="P139" s="24"/>
      <c r="Q139" s="23"/>
      <c r="R139" s="23"/>
      <c r="S139" s="24"/>
      <c r="T139" s="23"/>
      <c r="U139" s="23"/>
      <c r="V139" s="24"/>
      <c r="W139" s="23"/>
      <c r="X139" s="23"/>
      <c r="Y139" s="24"/>
      <c r="Z139" s="23"/>
      <c r="AA139" s="23"/>
      <c r="AB139" s="24"/>
      <c r="AC139" s="23"/>
      <c r="AD139" s="23"/>
      <c r="AE139" s="24"/>
      <c r="AF139" s="23">
        <v>625.20000000000005</v>
      </c>
      <c r="AG139" s="23">
        <v>625.20000000000005</v>
      </c>
      <c r="AH139" s="24">
        <f t="shared" ref="AH139:AH141" si="190">AG139/AF139*100</f>
        <v>100</v>
      </c>
      <c r="AI139" s="23">
        <v>1982.2</v>
      </c>
      <c r="AJ139" s="23"/>
      <c r="AK139" s="24"/>
      <c r="AL139" s="23"/>
      <c r="AM139" s="23"/>
      <c r="AN139" s="24"/>
      <c r="AO139" s="23"/>
      <c r="AP139" s="23"/>
      <c r="AQ139" s="21"/>
      <c r="AR139" s="107" t="s">
        <v>184</v>
      </c>
      <c r="AS139" s="33"/>
    </row>
    <row r="140" spans="1:45" ht="27" customHeight="1">
      <c r="A140" s="90"/>
      <c r="B140" s="137"/>
      <c r="C140" s="90"/>
      <c r="D140" s="35" t="s">
        <v>5</v>
      </c>
      <c r="E140" s="23">
        <f t="shared" si="175"/>
        <v>4078.3</v>
      </c>
      <c r="F140" s="23">
        <f t="shared" si="176"/>
        <v>977.9</v>
      </c>
      <c r="G140" s="24">
        <f t="shared" si="189"/>
        <v>23.978128141627639</v>
      </c>
      <c r="H140" s="24"/>
      <c r="I140" s="24"/>
      <c r="J140" s="21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3">
        <v>977.9</v>
      </c>
      <c r="AG140" s="24">
        <v>977.9</v>
      </c>
      <c r="AH140" s="24">
        <f t="shared" si="190"/>
        <v>100</v>
      </c>
      <c r="AI140" s="24">
        <v>3100.4</v>
      </c>
      <c r="AJ140" s="24"/>
      <c r="AK140" s="24"/>
      <c r="AL140" s="24"/>
      <c r="AM140" s="24"/>
      <c r="AN140" s="24"/>
      <c r="AO140" s="24"/>
      <c r="AP140" s="24"/>
      <c r="AQ140" s="21" t="e">
        <f t="shared" ref="AQ140" si="191">AP140/AO140</f>
        <v>#DIV/0!</v>
      </c>
      <c r="AR140" s="108"/>
      <c r="AS140" s="86"/>
    </row>
    <row r="141" spans="1:45" ht="20.25" customHeight="1">
      <c r="A141" s="90"/>
      <c r="B141" s="137"/>
      <c r="C141" s="90"/>
      <c r="D141" s="35" t="s">
        <v>49</v>
      </c>
      <c r="E141" s="23">
        <f t="shared" si="175"/>
        <v>542.1</v>
      </c>
      <c r="F141" s="23">
        <f t="shared" si="176"/>
        <v>130</v>
      </c>
      <c r="G141" s="24">
        <f t="shared" si="189"/>
        <v>23.980815347721819</v>
      </c>
      <c r="H141" s="24"/>
      <c r="I141" s="24"/>
      <c r="J141" s="21"/>
      <c r="K141" s="24"/>
      <c r="L141" s="24"/>
      <c r="M141" s="24"/>
      <c r="N141" s="24"/>
      <c r="O141" s="24"/>
      <c r="P141" s="24"/>
      <c r="Q141" s="24"/>
      <c r="R141" s="24"/>
      <c r="S141" s="21"/>
      <c r="T141" s="24"/>
      <c r="U141" s="24"/>
      <c r="V141" s="24"/>
      <c r="W141" s="24"/>
      <c r="X141" s="24"/>
      <c r="Y141" s="21"/>
      <c r="Z141" s="24"/>
      <c r="AA141" s="24"/>
      <c r="AB141" s="21"/>
      <c r="AC141" s="24"/>
      <c r="AD141" s="24"/>
      <c r="AE141" s="21"/>
      <c r="AF141" s="23">
        <v>130</v>
      </c>
      <c r="AG141" s="24">
        <v>130</v>
      </c>
      <c r="AH141" s="24">
        <f t="shared" si="190"/>
        <v>100</v>
      </c>
      <c r="AI141" s="24">
        <v>412.1</v>
      </c>
      <c r="AJ141" s="24"/>
      <c r="AK141" s="21"/>
      <c r="AL141" s="24"/>
      <c r="AM141" s="24"/>
      <c r="AN141" s="21"/>
      <c r="AO141" s="24"/>
      <c r="AP141" s="24"/>
      <c r="AQ141" s="21"/>
      <c r="AR141" s="109"/>
      <c r="AS141" s="33"/>
    </row>
    <row r="142" spans="1:45" ht="15.75" customHeight="1" thickBot="1">
      <c r="A142" s="90"/>
      <c r="B142" s="138"/>
      <c r="C142" s="90"/>
      <c r="D142" s="35" t="s">
        <v>24</v>
      </c>
      <c r="E142" s="23">
        <f t="shared" si="175"/>
        <v>0</v>
      </c>
      <c r="F142" s="23">
        <f t="shared" si="176"/>
        <v>0</v>
      </c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33"/>
      <c r="AS142" s="33"/>
    </row>
    <row r="143" spans="1:45" ht="13.15" customHeight="1">
      <c r="A143" s="121" t="s">
        <v>12</v>
      </c>
      <c r="B143" s="121"/>
      <c r="C143" s="121"/>
      <c r="D143" s="36" t="s">
        <v>4</v>
      </c>
      <c r="E143" s="37">
        <f t="shared" si="175"/>
        <v>808849.2</v>
      </c>
      <c r="F143" s="37">
        <f t="shared" si="175"/>
        <v>526689</v>
      </c>
      <c r="G143" s="25">
        <f>F143/E143*100</f>
        <v>65.115846068710965</v>
      </c>
      <c r="H143" s="37">
        <f>H145+H144+H146+H147</f>
        <v>18197.8</v>
      </c>
      <c r="I143" s="37">
        <f>I145+I144+I146+I147</f>
        <v>18116.5</v>
      </c>
      <c r="J143" s="25">
        <f>I143/H143*100</f>
        <v>99.553242699666995</v>
      </c>
      <c r="K143" s="37">
        <f t="shared" ref="K143:AO143" si="192">K145+K144+K146+K147</f>
        <v>62388.5</v>
      </c>
      <c r="L143" s="37">
        <f t="shared" si="192"/>
        <v>62541</v>
      </c>
      <c r="M143" s="25">
        <f t="shared" ref="M143:M146" si="193">L143/K143*100</f>
        <v>100.24443607395594</v>
      </c>
      <c r="N143" s="37">
        <f t="shared" si="192"/>
        <v>60712.9</v>
      </c>
      <c r="O143" s="37">
        <f t="shared" si="192"/>
        <v>60641</v>
      </c>
      <c r="P143" s="25">
        <f t="shared" ref="P143:P146" si="194">O143/N143*100</f>
        <v>99.881573767683633</v>
      </c>
      <c r="Q143" s="37">
        <f t="shared" si="192"/>
        <v>67289.7</v>
      </c>
      <c r="R143" s="37">
        <f t="shared" si="192"/>
        <v>68035.199999999997</v>
      </c>
      <c r="S143" s="25">
        <f>R143/Q143*100</f>
        <v>101.10789615646971</v>
      </c>
      <c r="T143" s="37">
        <f t="shared" si="192"/>
        <v>85815.5</v>
      </c>
      <c r="U143" s="37">
        <f t="shared" si="192"/>
        <v>108087.3</v>
      </c>
      <c r="V143" s="25">
        <f>U143/T143*100</f>
        <v>125.95312035704507</v>
      </c>
      <c r="W143" s="37">
        <f t="shared" si="192"/>
        <v>127389.8</v>
      </c>
      <c r="X143" s="37">
        <f t="shared" si="192"/>
        <v>104373.2</v>
      </c>
      <c r="Y143" s="25">
        <f>X143/W143*100</f>
        <v>81.932148413766242</v>
      </c>
      <c r="Z143" s="37">
        <f t="shared" si="192"/>
        <v>48534.8</v>
      </c>
      <c r="AA143" s="37">
        <f t="shared" si="192"/>
        <v>42816.7</v>
      </c>
      <c r="AB143" s="25">
        <f>AA143/Z143*100</f>
        <v>88.218556582081291</v>
      </c>
      <c r="AC143" s="37">
        <f t="shared" si="192"/>
        <v>23106.799999999999</v>
      </c>
      <c r="AD143" s="37">
        <f t="shared" si="192"/>
        <v>22609</v>
      </c>
      <c r="AE143" s="25">
        <f>AD143/AC143*100</f>
        <v>97.845655824259524</v>
      </c>
      <c r="AF143" s="37">
        <f t="shared" si="192"/>
        <v>35468.200000000004</v>
      </c>
      <c r="AG143" s="37">
        <f t="shared" si="192"/>
        <v>39469.1</v>
      </c>
      <c r="AH143" s="25">
        <f>AG143/AF143*100</f>
        <v>111.28024540292429</v>
      </c>
      <c r="AI143" s="37">
        <f t="shared" si="192"/>
        <v>77064.899999999994</v>
      </c>
      <c r="AJ143" s="37">
        <f t="shared" si="192"/>
        <v>0</v>
      </c>
      <c r="AK143" s="25">
        <f>AJ143/AI143*100</f>
        <v>0</v>
      </c>
      <c r="AL143" s="37">
        <f t="shared" si="192"/>
        <v>63292.600000000006</v>
      </c>
      <c r="AM143" s="37">
        <f t="shared" si="192"/>
        <v>0</v>
      </c>
      <c r="AN143" s="25">
        <f>AM143/AL143*100</f>
        <v>0</v>
      </c>
      <c r="AO143" s="37">
        <f t="shared" si="192"/>
        <v>139587.70000000001</v>
      </c>
      <c r="AP143" s="37"/>
      <c r="AQ143" s="22">
        <f t="shared" ref="AQ143:AQ146" si="195">AP143/AO143</f>
        <v>0</v>
      </c>
      <c r="AR143" s="33"/>
      <c r="AS143" s="33"/>
    </row>
    <row r="144" spans="1:45" ht="12.75" customHeight="1">
      <c r="A144" s="121"/>
      <c r="B144" s="121"/>
      <c r="C144" s="121"/>
      <c r="D144" s="36" t="s">
        <v>23</v>
      </c>
      <c r="E144" s="37">
        <f t="shared" si="175"/>
        <v>13648.399999999998</v>
      </c>
      <c r="F144" s="37">
        <f t="shared" si="175"/>
        <v>3210.8999999999996</v>
      </c>
      <c r="G144" s="25"/>
      <c r="H144" s="37">
        <f>H84+H89+H94+H99+H104+H109+H114+H119+H124+H129+H134+H139</f>
        <v>0</v>
      </c>
      <c r="I144" s="37">
        <f>I84+I89+I94+I99+I104+I109+I114+I119+I124+I129+I134+I139</f>
        <v>0</v>
      </c>
      <c r="J144" s="25"/>
      <c r="K144" s="37">
        <f>K84+K89+K94+K99+K104+K109+K114+K119+K124+K129+K134+K139</f>
        <v>0</v>
      </c>
      <c r="L144" s="37">
        <f>L84+L89+L94+L99+L104+L109+L114+L119+L124+L129+L134+L139</f>
        <v>0</v>
      </c>
      <c r="M144" s="25"/>
      <c r="N144" s="37">
        <f>N84+N89+N94+N99+N104+N109+N114+N119+N124+N129+N134+N139</f>
        <v>0</v>
      </c>
      <c r="O144" s="37">
        <f>O84+O89+O94+O99+O104+O109+O114+O119+O124+O129+O134+O139</f>
        <v>0</v>
      </c>
      <c r="P144" s="25"/>
      <c r="Q144" s="37">
        <f>Q84+Q89+Q94+Q99+Q104+Q109+Q114+Q119+Q124+Q129+Q134+Q139</f>
        <v>0</v>
      </c>
      <c r="R144" s="37">
        <f>R84+R89+R94+R99+R104+R109+R114+R119+R124+R129+R134+R139</f>
        <v>0</v>
      </c>
      <c r="S144" s="25"/>
      <c r="T144" s="37">
        <f>T84+T89+T94+T99+T104+T109+T114+T119+T124+T129+T134+T139</f>
        <v>0</v>
      </c>
      <c r="U144" s="37">
        <f>U84+U89+U94+U99+U104+U109+U114+U119+U124+U129+U134+U139</f>
        <v>0</v>
      </c>
      <c r="V144" s="25"/>
      <c r="W144" s="37">
        <f>W84+W89+W94+W99+W104+W109+W114+W119+W124+W129+W134+W139</f>
        <v>0</v>
      </c>
      <c r="X144" s="37">
        <f>X84+X89+X94+X99+X104+X109+X114+X119+X124+X129+X134+X139</f>
        <v>0</v>
      </c>
      <c r="Y144" s="25"/>
      <c r="Z144" s="37">
        <f>Z84+Z89+Z94+Z99+Z104+Z109+Z114+Z119+Z124+Z129+Z134+Z139</f>
        <v>0</v>
      </c>
      <c r="AA144" s="37">
        <f>AA84+AA89+AA94+AA99+AA104+AA109+AA114+AA119+AA124+AA129+AA134+AA139</f>
        <v>0</v>
      </c>
      <c r="AB144" s="25"/>
      <c r="AC144" s="37">
        <f>AC84+AC89+AC94+AC99+AC104+AC109+AC114+AC119+AC124+AC129+AC134+AC139</f>
        <v>0</v>
      </c>
      <c r="AD144" s="37">
        <f>AD84+AD89+AD94+AD99+AD104+AD109+AD114+AD119+AD124+AD129+AD134+AD139</f>
        <v>0</v>
      </c>
      <c r="AE144" s="25"/>
      <c r="AF144" s="37">
        <f>AF84+AF89+AF94+AF99+AF104+AF109+AF114+AF119+AF124+AF129+AF134+AF139</f>
        <v>3210.8999999999996</v>
      </c>
      <c r="AG144" s="37">
        <f>AG84+AG89+AG94+AG99+AG104+AG109+AG114+AG119+AG124+AG129+AG134+AG139</f>
        <v>3210.8999999999996</v>
      </c>
      <c r="AH144" s="25"/>
      <c r="AI144" s="37">
        <f>AI84+AI89+AI94+AI99+AI104+AI109+AI114+AI119+AI124+AI129+AI134+AI139</f>
        <v>4835.2</v>
      </c>
      <c r="AJ144" s="37">
        <f>AJ84+AJ89+AJ94+AJ99+AJ104+AJ109+AJ114+AJ119+AJ124+AJ129+AJ134+AJ139</f>
        <v>0</v>
      </c>
      <c r="AK144" s="25"/>
      <c r="AL144" s="37">
        <f>AL84+AL89+AL94+AL99+AL104+AL109+AL114+AL119+AL124+AL129+AL134+AL139</f>
        <v>2800</v>
      </c>
      <c r="AM144" s="37">
        <f>AM84+AM89+AM94+AM99+AM104+AM109+AM114+AM119+AM124+AM129+AM134+AM139</f>
        <v>0</v>
      </c>
      <c r="AN144" s="25"/>
      <c r="AO144" s="37">
        <f>AO84+AO89+AO94+AO99+AO104+AO109+AO114+AO119+AO124+AO129+AO134+AO139</f>
        <v>2802.3</v>
      </c>
      <c r="AP144" s="23"/>
      <c r="AQ144" s="22"/>
      <c r="AR144" s="33"/>
      <c r="AS144" s="33"/>
    </row>
    <row r="145" spans="1:45" ht="23.25" customHeight="1">
      <c r="A145" s="121"/>
      <c r="B145" s="121"/>
      <c r="C145" s="121"/>
      <c r="D145" s="36" t="s">
        <v>5</v>
      </c>
      <c r="E145" s="37">
        <f t="shared" si="175"/>
        <v>666909.90000000014</v>
      </c>
      <c r="F145" s="37">
        <f t="shared" si="175"/>
        <v>446166.9</v>
      </c>
      <c r="G145" s="25">
        <f t="shared" ref="G145:G146" si="196">F145/E145*100</f>
        <v>66.900626306492057</v>
      </c>
      <c r="H145" s="37">
        <f t="shared" ref="H145:I147" si="197">H85+H90+H95+H100+H105+H110+H115+H120+H125+H130+H135+H140</f>
        <v>14665</v>
      </c>
      <c r="I145" s="37">
        <f t="shared" si="197"/>
        <v>14665</v>
      </c>
      <c r="J145" s="25">
        <f t="shared" ref="J145:J146" si="198">I145/H145*100</f>
        <v>100</v>
      </c>
      <c r="K145" s="37">
        <f t="shared" ref="K145:L147" si="199">K85+K90+K95+K100+K105+K110+K115+K120+K125+K130+K135+K140</f>
        <v>46451</v>
      </c>
      <c r="L145" s="37">
        <f t="shared" si="199"/>
        <v>46451</v>
      </c>
      <c r="M145" s="25">
        <f t="shared" si="193"/>
        <v>100</v>
      </c>
      <c r="N145" s="37">
        <f t="shared" ref="N145:O147" si="200">N85+N90+N95+N100+N105+N110+N115+N120+N125+N130+N135+N140</f>
        <v>48436</v>
      </c>
      <c r="O145" s="37">
        <f t="shared" si="200"/>
        <v>48436</v>
      </c>
      <c r="P145" s="25">
        <f t="shared" si="194"/>
        <v>100</v>
      </c>
      <c r="Q145" s="37">
        <f t="shared" ref="Q145:R147" si="201">Q85+Q90+Q95+Q100+Q105+Q110+Q115+Q120+Q125+Q130+Q135+Q140</f>
        <v>52231.7</v>
      </c>
      <c r="R145" s="37">
        <f t="shared" si="201"/>
        <v>52131.7</v>
      </c>
      <c r="S145" s="25">
        <f t="shared" ref="S145:S146" si="202">R145/Q145*100</f>
        <v>99.808545385273689</v>
      </c>
      <c r="T145" s="37">
        <f t="shared" ref="T145:U147" si="203">T85+T90+T95+T100+T105+T110+T115+T120+T125+T130+T135+T140</f>
        <v>73456.5</v>
      </c>
      <c r="U145" s="37">
        <f t="shared" si="203"/>
        <v>96156.5</v>
      </c>
      <c r="V145" s="25">
        <f t="shared" ref="V145:V146" si="204">U145/T145*100</f>
        <v>130.90264306085913</v>
      </c>
      <c r="W145" s="37">
        <f t="shared" ref="W145:X147" si="205">W85+W90+W95+W100+W105+W110+W115+W120+W125+W130+W135+W140</f>
        <v>121567</v>
      </c>
      <c r="X145" s="37">
        <f t="shared" si="205"/>
        <v>98967</v>
      </c>
      <c r="Y145" s="25">
        <f t="shared" ref="Y145:Y146" si="206">X145/W145*100</f>
        <v>81.409428545575693</v>
      </c>
      <c r="Z145" s="37">
        <f t="shared" ref="Z145:AA147" si="207">Z85+Z90+Z95+Z100+Z105+Z110+Z115+Z120+Z125+Z130+Z135+Z140</f>
        <v>44614.8</v>
      </c>
      <c r="AA145" s="37">
        <f t="shared" si="207"/>
        <v>39417.699999999997</v>
      </c>
      <c r="AB145" s="25">
        <f t="shared" ref="AB145:AB146" si="208">AA145/Z145*100</f>
        <v>88.351174946430319</v>
      </c>
      <c r="AC145" s="37">
        <f t="shared" ref="AC145:AD147" si="209">AC85+AC90+AC95+AC100+AC105+AC110+AC115+AC120+AC125+AC130+AC135+AC140</f>
        <v>17869</v>
      </c>
      <c r="AD145" s="37">
        <f t="shared" si="209"/>
        <v>19475.3</v>
      </c>
      <c r="AE145" s="25">
        <f t="shared" ref="AE145:AE146" si="210">AD145/AC145*100</f>
        <v>108.98931109743131</v>
      </c>
      <c r="AF145" s="37">
        <f t="shared" ref="AF145:AG147" si="211">AF85+AF90+AF95+AF100+AF105+AF110+AF115+AF120+AF125+AF130+AF135+AF140</f>
        <v>28562.9</v>
      </c>
      <c r="AG145" s="37">
        <f t="shared" si="211"/>
        <v>30466.7</v>
      </c>
      <c r="AH145" s="25">
        <f t="shared" ref="AH145:AH146" si="212">AG145/AF145*100</f>
        <v>106.6652895889423</v>
      </c>
      <c r="AI145" s="37">
        <f t="shared" ref="AI145:AJ147" si="213">AI85+AI90+AI95+AI100+AI105+AI110+AI115+AI120+AI125+AI130+AI135+AI140</f>
        <v>58536.5</v>
      </c>
      <c r="AJ145" s="37">
        <f t="shared" si="213"/>
        <v>0</v>
      </c>
      <c r="AK145" s="25">
        <f t="shared" ref="AK145:AK146" si="214">AJ145/AI145*100</f>
        <v>0</v>
      </c>
      <c r="AL145" s="37">
        <f t="shared" ref="AL145:AM147" si="215">AL85+AL90+AL95+AL100+AL105+AL110+AL115+AL120+AL125+AL130+AL135+AL140</f>
        <v>45745.8</v>
      </c>
      <c r="AM145" s="37">
        <f t="shared" si="215"/>
        <v>0</v>
      </c>
      <c r="AN145" s="25">
        <f t="shared" ref="AN145:AN146" si="216">AM145/AL145*100</f>
        <v>0</v>
      </c>
      <c r="AO145" s="37">
        <f t="shared" ref="AO145:AO147" si="217">AO85+AO90+AO95+AO100+AO105+AO110+AO115+AO120+AO125+AO130+AO135+AO140</f>
        <v>114773.70000000001</v>
      </c>
      <c r="AP145" s="23"/>
      <c r="AQ145" s="22">
        <f t="shared" si="195"/>
        <v>0</v>
      </c>
      <c r="AR145" s="33"/>
      <c r="AS145" s="33"/>
    </row>
    <row r="146" spans="1:45">
      <c r="A146" s="121"/>
      <c r="B146" s="121"/>
      <c r="C146" s="121"/>
      <c r="D146" s="36" t="s">
        <v>49</v>
      </c>
      <c r="E146" s="37">
        <f t="shared" si="175"/>
        <v>128290.9</v>
      </c>
      <c r="F146" s="37">
        <f t="shared" si="175"/>
        <v>77311.199999999997</v>
      </c>
      <c r="G146" s="25">
        <f t="shared" si="196"/>
        <v>60.26241923628254</v>
      </c>
      <c r="H146" s="37">
        <f t="shared" si="197"/>
        <v>3532.8</v>
      </c>
      <c r="I146" s="37">
        <f t="shared" si="197"/>
        <v>3451.5</v>
      </c>
      <c r="J146" s="25">
        <f t="shared" si="198"/>
        <v>97.698709239130437</v>
      </c>
      <c r="K146" s="37">
        <f t="shared" si="199"/>
        <v>15937.5</v>
      </c>
      <c r="L146" s="37">
        <f t="shared" si="199"/>
        <v>16090</v>
      </c>
      <c r="M146" s="25">
        <f t="shared" si="193"/>
        <v>100.95686274509804</v>
      </c>
      <c r="N146" s="37">
        <f t="shared" si="200"/>
        <v>12276.9</v>
      </c>
      <c r="O146" s="37">
        <f t="shared" si="200"/>
        <v>12205</v>
      </c>
      <c r="P146" s="25">
        <f t="shared" si="194"/>
        <v>99.41434727007632</v>
      </c>
      <c r="Q146" s="37">
        <f t="shared" si="201"/>
        <v>15058</v>
      </c>
      <c r="R146" s="37">
        <f t="shared" si="201"/>
        <v>15903.5</v>
      </c>
      <c r="S146" s="25">
        <f t="shared" si="202"/>
        <v>105.6149555053792</v>
      </c>
      <c r="T146" s="37">
        <f t="shared" si="203"/>
        <v>12359</v>
      </c>
      <c r="U146" s="37">
        <f t="shared" si="203"/>
        <v>11930.8</v>
      </c>
      <c r="V146" s="25">
        <f t="shared" si="204"/>
        <v>96.535318391455618</v>
      </c>
      <c r="W146" s="37">
        <f t="shared" si="205"/>
        <v>5822.8</v>
      </c>
      <c r="X146" s="37">
        <f t="shared" si="205"/>
        <v>5406.2</v>
      </c>
      <c r="Y146" s="25">
        <f t="shared" si="206"/>
        <v>92.845366490348283</v>
      </c>
      <c r="Z146" s="37">
        <f t="shared" si="207"/>
        <v>3920</v>
      </c>
      <c r="AA146" s="37">
        <f t="shared" si="207"/>
        <v>3399</v>
      </c>
      <c r="AB146" s="25">
        <f t="shared" si="208"/>
        <v>86.709183673469397</v>
      </c>
      <c r="AC146" s="37">
        <f t="shared" si="209"/>
        <v>5237.8</v>
      </c>
      <c r="AD146" s="37">
        <f t="shared" si="209"/>
        <v>3133.7000000000003</v>
      </c>
      <c r="AE146" s="25">
        <f t="shared" si="210"/>
        <v>59.828553973042119</v>
      </c>
      <c r="AF146" s="37">
        <f t="shared" si="211"/>
        <v>3694.3999999999996</v>
      </c>
      <c r="AG146" s="37">
        <f t="shared" si="211"/>
        <v>5791.5</v>
      </c>
      <c r="AH146" s="25">
        <f t="shared" si="212"/>
        <v>156.76429190125597</v>
      </c>
      <c r="AI146" s="37">
        <f t="shared" si="213"/>
        <v>13693.2</v>
      </c>
      <c r="AJ146" s="37">
        <f t="shared" si="213"/>
        <v>0</v>
      </c>
      <c r="AK146" s="25">
        <f t="shared" si="214"/>
        <v>0</v>
      </c>
      <c r="AL146" s="37">
        <f t="shared" si="215"/>
        <v>14746.8</v>
      </c>
      <c r="AM146" s="37">
        <f t="shared" si="215"/>
        <v>0</v>
      </c>
      <c r="AN146" s="25">
        <f t="shared" si="216"/>
        <v>0</v>
      </c>
      <c r="AO146" s="37">
        <f t="shared" si="217"/>
        <v>22011.699999999997</v>
      </c>
      <c r="AP146" s="23"/>
      <c r="AQ146" s="22">
        <f t="shared" si="195"/>
        <v>0</v>
      </c>
      <c r="AR146" s="33"/>
      <c r="AS146" s="33"/>
    </row>
    <row r="147" spans="1:45" ht="15.75" customHeight="1">
      <c r="A147" s="121"/>
      <c r="B147" s="121"/>
      <c r="C147" s="121"/>
      <c r="D147" s="36" t="s">
        <v>24</v>
      </c>
      <c r="E147" s="37">
        <f t="shared" si="175"/>
        <v>0</v>
      </c>
      <c r="F147" s="37">
        <f t="shared" si="175"/>
        <v>0</v>
      </c>
      <c r="G147" s="37"/>
      <c r="H147" s="37">
        <f t="shared" si="197"/>
        <v>0</v>
      </c>
      <c r="I147" s="37">
        <f t="shared" si="197"/>
        <v>0</v>
      </c>
      <c r="J147" s="37"/>
      <c r="K147" s="37">
        <f t="shared" si="199"/>
        <v>0</v>
      </c>
      <c r="L147" s="37">
        <f t="shared" si="199"/>
        <v>0</v>
      </c>
      <c r="M147" s="25"/>
      <c r="N147" s="37">
        <f t="shared" si="200"/>
        <v>0</v>
      </c>
      <c r="O147" s="37">
        <f t="shared" si="200"/>
        <v>0</v>
      </c>
      <c r="P147" s="37"/>
      <c r="Q147" s="37">
        <f t="shared" si="201"/>
        <v>0</v>
      </c>
      <c r="R147" s="37">
        <f t="shared" si="201"/>
        <v>0</v>
      </c>
      <c r="S147" s="37"/>
      <c r="T147" s="37">
        <f t="shared" si="203"/>
        <v>0</v>
      </c>
      <c r="U147" s="37">
        <f t="shared" si="203"/>
        <v>0</v>
      </c>
      <c r="V147" s="37"/>
      <c r="W147" s="37">
        <f t="shared" si="205"/>
        <v>0</v>
      </c>
      <c r="X147" s="37">
        <f t="shared" si="205"/>
        <v>0</v>
      </c>
      <c r="Y147" s="37"/>
      <c r="Z147" s="37">
        <f t="shared" si="207"/>
        <v>0</v>
      </c>
      <c r="AA147" s="37">
        <f t="shared" si="207"/>
        <v>0</v>
      </c>
      <c r="AB147" s="37"/>
      <c r="AC147" s="37">
        <f t="shared" si="209"/>
        <v>0</v>
      </c>
      <c r="AD147" s="37">
        <f t="shared" si="209"/>
        <v>0</v>
      </c>
      <c r="AE147" s="37"/>
      <c r="AF147" s="37">
        <f t="shared" si="211"/>
        <v>0</v>
      </c>
      <c r="AG147" s="37">
        <f t="shared" si="211"/>
        <v>0</v>
      </c>
      <c r="AH147" s="37"/>
      <c r="AI147" s="37">
        <f t="shared" si="213"/>
        <v>0</v>
      </c>
      <c r="AJ147" s="37">
        <f t="shared" si="213"/>
        <v>0</v>
      </c>
      <c r="AK147" s="37"/>
      <c r="AL147" s="37">
        <f t="shared" si="215"/>
        <v>0</v>
      </c>
      <c r="AM147" s="37">
        <f t="shared" si="215"/>
        <v>0</v>
      </c>
      <c r="AN147" s="37"/>
      <c r="AO147" s="37">
        <f t="shared" si="217"/>
        <v>0</v>
      </c>
      <c r="AP147" s="23"/>
      <c r="AQ147" s="37"/>
      <c r="AR147" s="33"/>
      <c r="AS147" s="33"/>
    </row>
    <row r="148" spans="1:45" ht="15.75">
      <c r="A148" s="41" t="s">
        <v>68</v>
      </c>
      <c r="B148" s="34" t="s">
        <v>13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3"/>
      <c r="AS148" s="33"/>
    </row>
    <row r="149" spans="1:45" ht="24" customHeight="1">
      <c r="A149" s="90" t="s">
        <v>69</v>
      </c>
      <c r="B149" s="90" t="s">
        <v>103</v>
      </c>
      <c r="C149" s="90" t="s">
        <v>7</v>
      </c>
      <c r="D149" s="35" t="s">
        <v>4</v>
      </c>
      <c r="E149" s="23">
        <f t="shared" ref="E149:F164" si="218">H149+K149+N149+Q149+T149+W149+Z149+AC149+AF149+AI149+AL149+AO149</f>
        <v>45</v>
      </c>
      <c r="F149" s="23">
        <f t="shared" si="218"/>
        <v>20.2</v>
      </c>
      <c r="G149" s="24">
        <f>F149/E149*100</f>
        <v>44.888888888888886</v>
      </c>
      <c r="H149" s="23">
        <f>H150+H151+H152+H153</f>
        <v>30</v>
      </c>
      <c r="I149" s="23">
        <f>I150+I151+I152+I153</f>
        <v>20.2</v>
      </c>
      <c r="J149" s="24">
        <f>I149/H149*100</f>
        <v>67.333333333333329</v>
      </c>
      <c r="K149" s="23">
        <f t="shared" ref="K149:AO149" si="219">K150+K151+K152+K153</f>
        <v>0</v>
      </c>
      <c r="L149" s="23">
        <f t="shared" si="219"/>
        <v>0</v>
      </c>
      <c r="M149" s="24"/>
      <c r="N149" s="23">
        <f t="shared" si="219"/>
        <v>-9.8000000000000007</v>
      </c>
      <c r="O149" s="23"/>
      <c r="P149" s="21"/>
      <c r="Q149" s="23">
        <f t="shared" si="219"/>
        <v>0</v>
      </c>
      <c r="R149" s="23"/>
      <c r="S149" s="21"/>
      <c r="T149" s="23">
        <f t="shared" si="219"/>
        <v>0</v>
      </c>
      <c r="U149" s="23"/>
      <c r="V149" s="21"/>
      <c r="W149" s="23">
        <f t="shared" si="219"/>
        <v>0</v>
      </c>
      <c r="X149" s="23"/>
      <c r="Y149" s="21"/>
      <c r="Z149" s="23">
        <f t="shared" si="219"/>
        <v>0</v>
      </c>
      <c r="AA149" s="23"/>
      <c r="AB149" s="21"/>
      <c r="AC149" s="23">
        <f t="shared" si="219"/>
        <v>0</v>
      </c>
      <c r="AD149" s="23"/>
      <c r="AE149" s="21"/>
      <c r="AF149" s="23">
        <f t="shared" si="219"/>
        <v>0</v>
      </c>
      <c r="AG149" s="23">
        <f t="shared" si="219"/>
        <v>0</v>
      </c>
      <c r="AH149" s="21"/>
      <c r="AI149" s="23">
        <f t="shared" si="219"/>
        <v>15</v>
      </c>
      <c r="AJ149" s="23">
        <f t="shared" si="219"/>
        <v>0</v>
      </c>
      <c r="AK149" s="24">
        <f>AJ149/AI149*100</f>
        <v>0</v>
      </c>
      <c r="AL149" s="23">
        <f t="shared" si="219"/>
        <v>9.8000000000000007</v>
      </c>
      <c r="AM149" s="23"/>
      <c r="AN149" s="24"/>
      <c r="AO149" s="23">
        <f t="shared" si="219"/>
        <v>0</v>
      </c>
      <c r="AP149" s="23"/>
      <c r="AQ149" s="21"/>
      <c r="AR149" s="33"/>
      <c r="AS149" s="33"/>
    </row>
    <row r="150" spans="1:45" ht="12" customHeight="1">
      <c r="A150" s="90"/>
      <c r="B150" s="90"/>
      <c r="C150" s="90"/>
      <c r="D150" s="35" t="s">
        <v>23</v>
      </c>
      <c r="E150" s="23">
        <f t="shared" si="218"/>
        <v>0</v>
      </c>
      <c r="F150" s="23">
        <f t="shared" si="218"/>
        <v>0</v>
      </c>
      <c r="G150" s="24"/>
      <c r="H150" s="23"/>
      <c r="I150" s="23"/>
      <c r="J150" s="24"/>
      <c r="K150" s="23"/>
      <c r="L150" s="23"/>
      <c r="M150" s="24"/>
      <c r="N150" s="23"/>
      <c r="O150" s="23"/>
      <c r="P150" s="21"/>
      <c r="Q150" s="23"/>
      <c r="R150" s="23"/>
      <c r="S150" s="21"/>
      <c r="T150" s="23"/>
      <c r="U150" s="23"/>
      <c r="V150" s="21"/>
      <c r="W150" s="23"/>
      <c r="X150" s="23"/>
      <c r="Y150" s="21"/>
      <c r="Z150" s="23"/>
      <c r="AA150" s="23"/>
      <c r="AB150" s="21"/>
      <c r="AC150" s="23"/>
      <c r="AD150" s="23"/>
      <c r="AE150" s="21"/>
      <c r="AF150" s="23"/>
      <c r="AG150" s="23"/>
      <c r="AH150" s="21"/>
      <c r="AI150" s="23"/>
      <c r="AJ150" s="23"/>
      <c r="AK150" s="24"/>
      <c r="AL150" s="23"/>
      <c r="AM150" s="23"/>
      <c r="AN150" s="24"/>
      <c r="AO150" s="23"/>
      <c r="AP150" s="23"/>
      <c r="AQ150" s="21"/>
      <c r="AR150" s="33"/>
      <c r="AS150" s="33"/>
    </row>
    <row r="151" spans="1:45" ht="14.25" customHeight="1">
      <c r="A151" s="90"/>
      <c r="B151" s="90"/>
      <c r="C151" s="90"/>
      <c r="D151" s="35" t="s">
        <v>5</v>
      </c>
      <c r="E151" s="23">
        <f t="shared" si="218"/>
        <v>0</v>
      </c>
      <c r="F151" s="23">
        <f t="shared" si="218"/>
        <v>0</v>
      </c>
      <c r="G151" s="24"/>
      <c r="H151" s="24"/>
      <c r="I151" s="24"/>
      <c r="J151" s="24"/>
      <c r="K151" s="24"/>
      <c r="L151" s="24"/>
      <c r="M151" s="24"/>
      <c r="N151" s="24"/>
      <c r="O151" s="24"/>
      <c r="P151" s="21"/>
      <c r="Q151" s="24"/>
      <c r="R151" s="24"/>
      <c r="S151" s="21"/>
      <c r="T151" s="24"/>
      <c r="U151" s="24"/>
      <c r="V151" s="21"/>
      <c r="W151" s="24"/>
      <c r="X151" s="24"/>
      <c r="Y151" s="21"/>
      <c r="Z151" s="24"/>
      <c r="AA151" s="24"/>
      <c r="AB151" s="21"/>
      <c r="AC151" s="24"/>
      <c r="AD151" s="24"/>
      <c r="AE151" s="21"/>
      <c r="AF151" s="24"/>
      <c r="AG151" s="24"/>
      <c r="AH151" s="21"/>
      <c r="AI151" s="24"/>
      <c r="AJ151" s="24"/>
      <c r="AK151" s="24"/>
      <c r="AL151" s="24"/>
      <c r="AM151" s="24"/>
      <c r="AN151" s="24"/>
      <c r="AO151" s="24"/>
      <c r="AP151" s="24"/>
      <c r="AQ151" s="21"/>
      <c r="AR151" s="33"/>
      <c r="AS151" s="33"/>
    </row>
    <row r="152" spans="1:45" ht="39" customHeight="1">
      <c r="A152" s="90"/>
      <c r="B152" s="90"/>
      <c r="C152" s="90"/>
      <c r="D152" s="35" t="s">
        <v>49</v>
      </c>
      <c r="E152" s="23">
        <f t="shared" si="218"/>
        <v>45</v>
      </c>
      <c r="F152" s="23">
        <f t="shared" si="218"/>
        <v>20.2</v>
      </c>
      <c r="G152" s="24">
        <f t="shared" ref="G152" si="220">F152/E152*100</f>
        <v>44.888888888888886</v>
      </c>
      <c r="H152" s="24">
        <v>30</v>
      </c>
      <c r="I152" s="24">
        <v>20.2</v>
      </c>
      <c r="J152" s="24">
        <f t="shared" ref="J152" si="221">I152/H152*100</f>
        <v>67.333333333333329</v>
      </c>
      <c r="K152" s="24">
        <f>30-30</f>
        <v>0</v>
      </c>
      <c r="L152" s="24"/>
      <c r="M152" s="24"/>
      <c r="N152" s="24">
        <v>-9.8000000000000007</v>
      </c>
      <c r="O152" s="24"/>
      <c r="P152" s="21"/>
      <c r="Q152" s="24"/>
      <c r="R152" s="24"/>
      <c r="S152" s="21"/>
      <c r="T152" s="24"/>
      <c r="U152" s="24"/>
      <c r="V152" s="21"/>
      <c r="W152" s="24"/>
      <c r="X152" s="24"/>
      <c r="Y152" s="21"/>
      <c r="Z152" s="24"/>
      <c r="AA152" s="24"/>
      <c r="AB152" s="21"/>
      <c r="AC152" s="24"/>
      <c r="AD152" s="24"/>
      <c r="AE152" s="21"/>
      <c r="AF152" s="24"/>
      <c r="AG152" s="24"/>
      <c r="AH152" s="21"/>
      <c r="AI152" s="24">
        <v>15</v>
      </c>
      <c r="AJ152" s="24"/>
      <c r="AK152" s="24">
        <f t="shared" ref="AK152" si="222">AJ152/AI152*100</f>
        <v>0</v>
      </c>
      <c r="AL152" s="24">
        <v>9.8000000000000007</v>
      </c>
      <c r="AM152" s="24"/>
      <c r="AN152" s="24"/>
      <c r="AO152" s="24"/>
      <c r="AP152" s="24"/>
      <c r="AQ152" s="21"/>
      <c r="AR152" s="83" t="s">
        <v>146</v>
      </c>
      <c r="AS152" s="33"/>
    </row>
    <row r="153" spans="1:45" ht="15.75" customHeight="1">
      <c r="A153" s="90"/>
      <c r="B153" s="90"/>
      <c r="C153" s="90"/>
      <c r="D153" s="35" t="s">
        <v>24</v>
      </c>
      <c r="E153" s="23">
        <f t="shared" si="218"/>
        <v>0</v>
      </c>
      <c r="F153" s="23">
        <f t="shared" si="218"/>
        <v>0</v>
      </c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33"/>
      <c r="AS153" s="33"/>
    </row>
    <row r="154" spans="1:45" ht="15.75" customHeight="1">
      <c r="A154" s="90" t="s">
        <v>70</v>
      </c>
      <c r="B154" s="90" t="s">
        <v>104</v>
      </c>
      <c r="C154" s="90" t="s">
        <v>7</v>
      </c>
      <c r="D154" s="35" t="s">
        <v>4</v>
      </c>
      <c r="E154" s="23">
        <f t="shared" si="218"/>
        <v>7.8</v>
      </c>
      <c r="F154" s="23">
        <f t="shared" si="218"/>
        <v>7.8</v>
      </c>
      <c r="G154" s="24">
        <f>F154/E154*100</f>
        <v>100</v>
      </c>
      <c r="H154" s="23">
        <f>H155+H156+H157+H158</f>
        <v>0</v>
      </c>
      <c r="I154" s="23"/>
      <c r="J154" s="21"/>
      <c r="K154" s="23">
        <f t="shared" ref="K154:AO154" si="223">K155+K156+K157+K158</f>
        <v>0</v>
      </c>
      <c r="L154" s="23"/>
      <c r="M154" s="21"/>
      <c r="N154" s="23">
        <f t="shared" si="223"/>
        <v>0</v>
      </c>
      <c r="O154" s="23"/>
      <c r="P154" s="21"/>
      <c r="Q154" s="23">
        <f t="shared" si="223"/>
        <v>0</v>
      </c>
      <c r="R154" s="23"/>
      <c r="S154" s="21"/>
      <c r="T154" s="23">
        <f t="shared" si="223"/>
        <v>0</v>
      </c>
      <c r="U154" s="23"/>
      <c r="V154" s="21"/>
      <c r="W154" s="23">
        <f t="shared" si="223"/>
        <v>0</v>
      </c>
      <c r="X154" s="23"/>
      <c r="Y154" s="21"/>
      <c r="Z154" s="23">
        <f t="shared" si="223"/>
        <v>0</v>
      </c>
      <c r="AA154" s="23"/>
      <c r="AB154" s="21"/>
      <c r="AC154" s="23">
        <f t="shared" si="223"/>
        <v>0</v>
      </c>
      <c r="AD154" s="23"/>
      <c r="AE154" s="21"/>
      <c r="AF154" s="23">
        <f t="shared" si="223"/>
        <v>7.8</v>
      </c>
      <c r="AG154" s="23">
        <f t="shared" si="223"/>
        <v>7.8</v>
      </c>
      <c r="AH154" s="24">
        <f>AG154/AF154*100</f>
        <v>100</v>
      </c>
      <c r="AI154" s="23">
        <f t="shared" si="223"/>
        <v>0</v>
      </c>
      <c r="AJ154" s="23">
        <f t="shared" si="223"/>
        <v>0</v>
      </c>
      <c r="AK154" s="24"/>
      <c r="AL154" s="23">
        <f t="shared" si="223"/>
        <v>0</v>
      </c>
      <c r="AM154" s="23"/>
      <c r="AN154" s="24"/>
      <c r="AO154" s="23">
        <f t="shared" si="223"/>
        <v>0</v>
      </c>
      <c r="AP154" s="23"/>
      <c r="AQ154" s="21"/>
      <c r="AR154" s="33"/>
      <c r="AS154" s="33"/>
    </row>
    <row r="155" spans="1:45">
      <c r="A155" s="90"/>
      <c r="B155" s="90"/>
      <c r="C155" s="90"/>
      <c r="D155" s="35" t="s">
        <v>23</v>
      </c>
      <c r="E155" s="23">
        <f t="shared" si="218"/>
        <v>0</v>
      </c>
      <c r="F155" s="23">
        <f t="shared" si="218"/>
        <v>0</v>
      </c>
      <c r="G155" s="24"/>
      <c r="H155" s="23"/>
      <c r="I155" s="23"/>
      <c r="J155" s="21"/>
      <c r="K155" s="23"/>
      <c r="L155" s="23"/>
      <c r="M155" s="21"/>
      <c r="N155" s="23"/>
      <c r="O155" s="23"/>
      <c r="P155" s="21"/>
      <c r="Q155" s="23"/>
      <c r="R155" s="23"/>
      <c r="S155" s="21"/>
      <c r="T155" s="23"/>
      <c r="U155" s="23"/>
      <c r="V155" s="21"/>
      <c r="W155" s="23"/>
      <c r="X155" s="23"/>
      <c r="Y155" s="21"/>
      <c r="Z155" s="23"/>
      <c r="AA155" s="23"/>
      <c r="AB155" s="21"/>
      <c r="AC155" s="23"/>
      <c r="AD155" s="23"/>
      <c r="AE155" s="21"/>
      <c r="AF155" s="23"/>
      <c r="AG155" s="23"/>
      <c r="AH155" s="24"/>
      <c r="AI155" s="23"/>
      <c r="AJ155" s="23"/>
      <c r="AK155" s="24"/>
      <c r="AL155" s="23"/>
      <c r="AM155" s="23"/>
      <c r="AN155" s="24"/>
      <c r="AO155" s="23"/>
      <c r="AP155" s="23"/>
      <c r="AQ155" s="21"/>
      <c r="AR155" s="33"/>
      <c r="AS155" s="33"/>
    </row>
    <row r="156" spans="1:45" ht="24">
      <c r="A156" s="90"/>
      <c r="B156" s="90"/>
      <c r="C156" s="90"/>
      <c r="D156" s="35" t="s">
        <v>5</v>
      </c>
      <c r="E156" s="23">
        <f t="shared" si="218"/>
        <v>0</v>
      </c>
      <c r="F156" s="23">
        <f t="shared" si="218"/>
        <v>0</v>
      </c>
      <c r="G156" s="24"/>
      <c r="H156" s="24"/>
      <c r="I156" s="24"/>
      <c r="J156" s="21"/>
      <c r="K156" s="24"/>
      <c r="L156" s="24"/>
      <c r="M156" s="21"/>
      <c r="N156" s="24"/>
      <c r="O156" s="24"/>
      <c r="P156" s="21"/>
      <c r="Q156" s="24"/>
      <c r="R156" s="24"/>
      <c r="S156" s="21"/>
      <c r="T156" s="24"/>
      <c r="U156" s="24"/>
      <c r="V156" s="21"/>
      <c r="W156" s="24"/>
      <c r="X156" s="24"/>
      <c r="Y156" s="21"/>
      <c r="Z156" s="24"/>
      <c r="AA156" s="24"/>
      <c r="AB156" s="21"/>
      <c r="AC156" s="24"/>
      <c r="AD156" s="24"/>
      <c r="AE156" s="21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1"/>
      <c r="AR156" s="33"/>
      <c r="AS156" s="33"/>
    </row>
    <row r="157" spans="1:45" ht="36.75">
      <c r="A157" s="90"/>
      <c r="B157" s="90"/>
      <c r="C157" s="90"/>
      <c r="D157" s="35" t="s">
        <v>49</v>
      </c>
      <c r="E157" s="23">
        <f t="shared" si="218"/>
        <v>7.8</v>
      </c>
      <c r="F157" s="23">
        <f t="shared" si="218"/>
        <v>7.8</v>
      </c>
      <c r="G157" s="24">
        <f t="shared" ref="G157" si="224">F157/E157*100</f>
        <v>100</v>
      </c>
      <c r="H157" s="24"/>
      <c r="I157" s="24"/>
      <c r="J157" s="21"/>
      <c r="K157" s="24"/>
      <c r="L157" s="24"/>
      <c r="M157" s="21"/>
      <c r="N157" s="24"/>
      <c r="O157" s="24"/>
      <c r="P157" s="21"/>
      <c r="Q157" s="24"/>
      <c r="R157" s="24"/>
      <c r="S157" s="21"/>
      <c r="T157" s="24"/>
      <c r="U157" s="24"/>
      <c r="V157" s="21"/>
      <c r="W157" s="24"/>
      <c r="X157" s="24"/>
      <c r="Y157" s="21"/>
      <c r="Z157" s="24"/>
      <c r="AA157" s="24"/>
      <c r="AB157" s="21"/>
      <c r="AC157" s="24"/>
      <c r="AD157" s="24"/>
      <c r="AE157" s="21"/>
      <c r="AF157" s="24">
        <v>7.8</v>
      </c>
      <c r="AG157" s="24">
        <v>7.8</v>
      </c>
      <c r="AH157" s="24">
        <f t="shared" ref="AH157" si="225">AG157/AF157*100</f>
        <v>100</v>
      </c>
      <c r="AI157" s="24"/>
      <c r="AJ157" s="24"/>
      <c r="AK157" s="24"/>
      <c r="AL157" s="24"/>
      <c r="AM157" s="24"/>
      <c r="AN157" s="24"/>
      <c r="AO157" s="24"/>
      <c r="AP157" s="24"/>
      <c r="AQ157" s="21"/>
      <c r="AR157" s="40" t="s">
        <v>185</v>
      </c>
      <c r="AS157" s="33"/>
    </row>
    <row r="158" spans="1:45" ht="15.75" customHeight="1">
      <c r="A158" s="90"/>
      <c r="B158" s="90"/>
      <c r="C158" s="90"/>
      <c r="D158" s="35" t="s">
        <v>24</v>
      </c>
      <c r="E158" s="23">
        <f t="shared" si="218"/>
        <v>0</v>
      </c>
      <c r="F158" s="23">
        <f t="shared" si="218"/>
        <v>0</v>
      </c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33"/>
      <c r="AS158" s="33"/>
    </row>
    <row r="159" spans="1:45" ht="15.75" customHeight="1">
      <c r="A159" s="90" t="s">
        <v>71</v>
      </c>
      <c r="B159" s="90" t="s">
        <v>105</v>
      </c>
      <c r="C159" s="90" t="s">
        <v>7</v>
      </c>
      <c r="D159" s="35" t="s">
        <v>4</v>
      </c>
      <c r="E159" s="23">
        <f t="shared" si="218"/>
        <v>292.8</v>
      </c>
      <c r="F159" s="23">
        <f t="shared" si="218"/>
        <v>12.8</v>
      </c>
      <c r="G159" s="24">
        <f>F159/E159*100</f>
        <v>4.3715846994535523</v>
      </c>
      <c r="H159" s="23">
        <f>H160+H161+H162+H163</f>
        <v>0</v>
      </c>
      <c r="I159" s="23"/>
      <c r="J159" s="21"/>
      <c r="K159" s="23">
        <f t="shared" ref="K159:AO159" si="226">K160+K161+K162+K163</f>
        <v>0</v>
      </c>
      <c r="L159" s="23"/>
      <c r="M159" s="21"/>
      <c r="N159" s="23">
        <f t="shared" si="226"/>
        <v>0</v>
      </c>
      <c r="O159" s="23">
        <f t="shared" si="226"/>
        <v>0</v>
      </c>
      <c r="P159" s="24"/>
      <c r="Q159" s="23">
        <f t="shared" si="226"/>
        <v>0</v>
      </c>
      <c r="R159" s="23"/>
      <c r="S159" s="21"/>
      <c r="T159" s="23">
        <f t="shared" si="226"/>
        <v>0</v>
      </c>
      <c r="U159" s="23"/>
      <c r="V159" s="21"/>
      <c r="W159" s="23">
        <f t="shared" si="226"/>
        <v>0</v>
      </c>
      <c r="X159" s="23">
        <f t="shared" si="226"/>
        <v>0</v>
      </c>
      <c r="Y159" s="21"/>
      <c r="Z159" s="23">
        <f t="shared" si="226"/>
        <v>0</v>
      </c>
      <c r="AA159" s="23"/>
      <c r="AB159" s="21"/>
      <c r="AC159" s="23">
        <f t="shared" si="226"/>
        <v>0</v>
      </c>
      <c r="AD159" s="23"/>
      <c r="AE159" s="21"/>
      <c r="AF159" s="23">
        <f t="shared" si="226"/>
        <v>12.799999999999997</v>
      </c>
      <c r="AG159" s="23">
        <f t="shared" si="226"/>
        <v>12.8</v>
      </c>
      <c r="AH159" s="24">
        <f>AG159/AF159*100</f>
        <v>100.00000000000003</v>
      </c>
      <c r="AI159" s="23">
        <f t="shared" si="226"/>
        <v>70</v>
      </c>
      <c r="AJ159" s="23">
        <f t="shared" si="226"/>
        <v>0</v>
      </c>
      <c r="AK159" s="24">
        <f>AJ159/AI159*100</f>
        <v>0</v>
      </c>
      <c r="AL159" s="23">
        <f t="shared" si="226"/>
        <v>110</v>
      </c>
      <c r="AM159" s="23"/>
      <c r="AN159" s="21"/>
      <c r="AO159" s="23">
        <f t="shared" si="226"/>
        <v>100</v>
      </c>
      <c r="AP159" s="23"/>
      <c r="AQ159" s="21">
        <f t="shared" ref="AQ159:AQ172" si="227">AP159/AO159</f>
        <v>0</v>
      </c>
      <c r="AR159" s="33"/>
      <c r="AS159" s="33"/>
    </row>
    <row r="160" spans="1:45">
      <c r="A160" s="90"/>
      <c r="B160" s="90"/>
      <c r="C160" s="90"/>
      <c r="D160" s="35" t="s">
        <v>23</v>
      </c>
      <c r="E160" s="23">
        <f t="shared" si="218"/>
        <v>0</v>
      </c>
      <c r="F160" s="23">
        <f t="shared" si="218"/>
        <v>0</v>
      </c>
      <c r="G160" s="24"/>
      <c r="H160" s="23"/>
      <c r="I160" s="23"/>
      <c r="J160" s="21"/>
      <c r="K160" s="23"/>
      <c r="L160" s="23"/>
      <c r="M160" s="21"/>
      <c r="N160" s="23"/>
      <c r="O160" s="23"/>
      <c r="P160" s="24"/>
      <c r="Q160" s="23"/>
      <c r="R160" s="23"/>
      <c r="S160" s="21"/>
      <c r="T160" s="23"/>
      <c r="U160" s="23"/>
      <c r="V160" s="21"/>
      <c r="W160" s="23"/>
      <c r="X160" s="23"/>
      <c r="Y160" s="21"/>
      <c r="Z160" s="23"/>
      <c r="AA160" s="23"/>
      <c r="AB160" s="21"/>
      <c r="AC160" s="23"/>
      <c r="AD160" s="23"/>
      <c r="AE160" s="21"/>
      <c r="AF160" s="23"/>
      <c r="AG160" s="23"/>
      <c r="AH160" s="24"/>
      <c r="AI160" s="23"/>
      <c r="AJ160" s="23"/>
      <c r="AK160" s="24"/>
      <c r="AL160" s="23"/>
      <c r="AM160" s="23"/>
      <c r="AN160" s="21"/>
      <c r="AO160" s="23"/>
      <c r="AP160" s="23"/>
      <c r="AQ160" s="21"/>
      <c r="AR160" s="33"/>
      <c r="AS160" s="33"/>
    </row>
    <row r="161" spans="1:45" ht="24">
      <c r="A161" s="90"/>
      <c r="B161" s="90"/>
      <c r="C161" s="90"/>
      <c r="D161" s="35" t="s">
        <v>5</v>
      </c>
      <c r="E161" s="23">
        <f t="shared" si="218"/>
        <v>0</v>
      </c>
      <c r="F161" s="23">
        <f t="shared" si="218"/>
        <v>0</v>
      </c>
      <c r="G161" s="24"/>
      <c r="H161" s="24"/>
      <c r="I161" s="24"/>
      <c r="J161" s="21"/>
      <c r="K161" s="24"/>
      <c r="L161" s="24"/>
      <c r="M161" s="21"/>
      <c r="N161" s="24"/>
      <c r="O161" s="24"/>
      <c r="P161" s="24"/>
      <c r="Q161" s="24"/>
      <c r="R161" s="24"/>
      <c r="S161" s="21"/>
      <c r="T161" s="24"/>
      <c r="U161" s="24"/>
      <c r="V161" s="21"/>
      <c r="W161" s="24"/>
      <c r="X161" s="24"/>
      <c r="Y161" s="21"/>
      <c r="Z161" s="24"/>
      <c r="AA161" s="24"/>
      <c r="AB161" s="21"/>
      <c r="AC161" s="24"/>
      <c r="AD161" s="24"/>
      <c r="AE161" s="21"/>
      <c r="AF161" s="24"/>
      <c r="AG161" s="24"/>
      <c r="AH161" s="24"/>
      <c r="AI161" s="24"/>
      <c r="AJ161" s="24"/>
      <c r="AK161" s="24"/>
      <c r="AL161" s="24"/>
      <c r="AM161" s="24"/>
      <c r="AN161" s="21"/>
      <c r="AO161" s="24"/>
      <c r="AP161" s="24"/>
      <c r="AQ161" s="21"/>
      <c r="AR161" s="33"/>
      <c r="AS161" s="33"/>
    </row>
    <row r="162" spans="1:45" ht="38.25" customHeight="1">
      <c r="A162" s="90"/>
      <c r="B162" s="90"/>
      <c r="C162" s="90"/>
      <c r="D162" s="35" t="s">
        <v>49</v>
      </c>
      <c r="E162" s="23">
        <f t="shared" si="218"/>
        <v>292.8</v>
      </c>
      <c r="F162" s="23">
        <f t="shared" si="218"/>
        <v>12.8</v>
      </c>
      <c r="G162" s="24">
        <f t="shared" ref="G162" si="228">F162/E162*100</f>
        <v>4.3715846994535523</v>
      </c>
      <c r="H162" s="24"/>
      <c r="I162" s="24"/>
      <c r="J162" s="21"/>
      <c r="K162" s="24"/>
      <c r="L162" s="24"/>
      <c r="M162" s="21"/>
      <c r="N162" s="24">
        <f>110-110</f>
        <v>0</v>
      </c>
      <c r="O162" s="24">
        <v>0</v>
      </c>
      <c r="P162" s="24"/>
      <c r="Q162" s="24"/>
      <c r="R162" s="24"/>
      <c r="S162" s="21"/>
      <c r="T162" s="24"/>
      <c r="U162" s="24"/>
      <c r="V162" s="21"/>
      <c r="W162" s="24"/>
      <c r="X162" s="24"/>
      <c r="Y162" s="21"/>
      <c r="Z162" s="24"/>
      <c r="AA162" s="24"/>
      <c r="AB162" s="21"/>
      <c r="AC162" s="24"/>
      <c r="AD162" s="24"/>
      <c r="AE162" s="21"/>
      <c r="AF162" s="24">
        <f>12.8+110-110</f>
        <v>12.799999999999997</v>
      </c>
      <c r="AG162" s="24">
        <v>12.8</v>
      </c>
      <c r="AH162" s="24">
        <f t="shared" ref="AH162" si="229">AG162/AF162*100</f>
        <v>100.00000000000003</v>
      </c>
      <c r="AI162" s="24">
        <v>70</v>
      </c>
      <c r="AJ162" s="24"/>
      <c r="AK162" s="24">
        <f t="shared" ref="AK162" si="230">AJ162/AI162*100</f>
        <v>0</v>
      </c>
      <c r="AL162" s="24">
        <v>110</v>
      </c>
      <c r="AM162" s="24"/>
      <c r="AN162" s="21"/>
      <c r="AO162" s="24">
        <v>100</v>
      </c>
      <c r="AP162" s="24"/>
      <c r="AQ162" s="21">
        <f t="shared" si="227"/>
        <v>0</v>
      </c>
      <c r="AR162" s="83" t="s">
        <v>186</v>
      </c>
      <c r="AS162" s="83"/>
    </row>
    <row r="163" spans="1:45" ht="15.75" customHeight="1">
      <c r="A163" s="90"/>
      <c r="B163" s="90"/>
      <c r="C163" s="90"/>
      <c r="D163" s="35" t="s">
        <v>24</v>
      </c>
      <c r="E163" s="23">
        <f t="shared" si="218"/>
        <v>0</v>
      </c>
      <c r="F163" s="23">
        <f t="shared" si="218"/>
        <v>0</v>
      </c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33"/>
      <c r="AS163" s="33"/>
    </row>
    <row r="164" spans="1:45" ht="15.75" customHeight="1">
      <c r="A164" s="90" t="s">
        <v>72</v>
      </c>
      <c r="B164" s="90" t="s">
        <v>106</v>
      </c>
      <c r="C164" s="90" t="s">
        <v>7</v>
      </c>
      <c r="D164" s="35" t="s">
        <v>4</v>
      </c>
      <c r="E164" s="23">
        <f t="shared" si="218"/>
        <v>19608.899999999998</v>
      </c>
      <c r="F164" s="23">
        <f t="shared" si="218"/>
        <v>13928</v>
      </c>
      <c r="G164" s="24">
        <f>F164/E164*100</f>
        <v>71.028971538434078</v>
      </c>
      <c r="H164" s="23">
        <f>H165+H166+H167+H168</f>
        <v>712</v>
      </c>
      <c r="I164" s="23">
        <f>I165+I166+I167+I168</f>
        <v>712</v>
      </c>
      <c r="J164" s="24">
        <f>I164/H164*100</f>
        <v>100</v>
      </c>
      <c r="K164" s="23">
        <f t="shared" ref="K164:AO164" si="231">K165+K166+K167+K168</f>
        <v>1853</v>
      </c>
      <c r="L164" s="23">
        <f t="shared" si="231"/>
        <v>1853</v>
      </c>
      <c r="M164" s="24">
        <f t="shared" ref="M164:M167" si="232">L164/K164*100</f>
        <v>100</v>
      </c>
      <c r="N164" s="23">
        <f t="shared" si="231"/>
        <v>1856</v>
      </c>
      <c r="O164" s="23">
        <f t="shared" si="231"/>
        <v>1856</v>
      </c>
      <c r="P164" s="24">
        <f t="shared" ref="P164:P167" si="233">O164/N164*100</f>
        <v>100</v>
      </c>
      <c r="Q164" s="23">
        <f t="shared" si="231"/>
        <v>2624</v>
      </c>
      <c r="R164" s="23">
        <f t="shared" si="231"/>
        <v>2624</v>
      </c>
      <c r="S164" s="24">
        <f>R164/Q164*100</f>
        <v>100</v>
      </c>
      <c r="T164" s="23">
        <f t="shared" si="231"/>
        <v>904</v>
      </c>
      <c r="U164" s="23">
        <f t="shared" si="231"/>
        <v>904</v>
      </c>
      <c r="V164" s="24">
        <f>U164/T164*100</f>
        <v>100</v>
      </c>
      <c r="W164" s="23">
        <f t="shared" si="231"/>
        <v>1403.8</v>
      </c>
      <c r="X164" s="23">
        <f t="shared" si="231"/>
        <v>1403.8</v>
      </c>
      <c r="Y164" s="24">
        <f>X164/W164*100</f>
        <v>100</v>
      </c>
      <c r="Z164" s="23">
        <f t="shared" si="231"/>
        <v>2059</v>
      </c>
      <c r="AA164" s="23">
        <f t="shared" si="231"/>
        <v>2259</v>
      </c>
      <c r="AB164" s="24">
        <f>AA164/Z164*100</f>
        <v>109.71345313258864</v>
      </c>
      <c r="AC164" s="23">
        <f t="shared" si="231"/>
        <v>1597</v>
      </c>
      <c r="AD164" s="23">
        <f t="shared" si="231"/>
        <v>1397</v>
      </c>
      <c r="AE164" s="24">
        <f>AD164/AC164*100</f>
        <v>87.476518472135254</v>
      </c>
      <c r="AF164" s="23">
        <f t="shared" si="231"/>
        <v>919.2</v>
      </c>
      <c r="AG164" s="23">
        <f t="shared" si="231"/>
        <v>919.2</v>
      </c>
      <c r="AH164" s="24">
        <f>AG164/AF164*100</f>
        <v>100</v>
      </c>
      <c r="AI164" s="23">
        <f t="shared" si="231"/>
        <v>1926.2</v>
      </c>
      <c r="AJ164" s="23">
        <f t="shared" si="231"/>
        <v>0</v>
      </c>
      <c r="AK164" s="24">
        <f>AJ164/AI164*100</f>
        <v>0</v>
      </c>
      <c r="AL164" s="23">
        <f t="shared" si="231"/>
        <v>1967.1</v>
      </c>
      <c r="AM164" s="23">
        <f t="shared" si="231"/>
        <v>0</v>
      </c>
      <c r="AN164" s="24">
        <f>AM164/AL164*100</f>
        <v>0</v>
      </c>
      <c r="AO164" s="23">
        <f t="shared" si="231"/>
        <v>1787.6</v>
      </c>
      <c r="AP164" s="23"/>
      <c r="AQ164" s="21">
        <f t="shared" si="227"/>
        <v>0</v>
      </c>
      <c r="AR164" s="33"/>
      <c r="AS164" s="33"/>
    </row>
    <row r="165" spans="1:45">
      <c r="A165" s="90"/>
      <c r="B165" s="90"/>
      <c r="C165" s="90"/>
      <c r="D165" s="35" t="s">
        <v>23</v>
      </c>
      <c r="E165" s="23">
        <f t="shared" ref="E165:F183" si="234">H165+K165+N165+Q165+T165+W165+Z165+AC165+AF165+AI165+AL165+AO165</f>
        <v>0</v>
      </c>
      <c r="F165" s="23">
        <f t="shared" si="234"/>
        <v>0</v>
      </c>
      <c r="G165" s="24"/>
      <c r="H165" s="23"/>
      <c r="I165" s="23"/>
      <c r="J165" s="24"/>
      <c r="K165" s="23"/>
      <c r="L165" s="23"/>
      <c r="M165" s="24"/>
      <c r="N165" s="23"/>
      <c r="O165" s="23"/>
      <c r="P165" s="24"/>
      <c r="Q165" s="23"/>
      <c r="R165" s="23"/>
      <c r="S165" s="24"/>
      <c r="T165" s="23"/>
      <c r="U165" s="23"/>
      <c r="V165" s="24"/>
      <c r="W165" s="23"/>
      <c r="X165" s="23"/>
      <c r="Y165" s="24"/>
      <c r="Z165" s="23"/>
      <c r="AA165" s="23"/>
      <c r="AB165" s="24"/>
      <c r="AC165" s="23"/>
      <c r="AD165" s="23"/>
      <c r="AE165" s="24"/>
      <c r="AF165" s="23"/>
      <c r="AG165" s="23"/>
      <c r="AH165" s="24"/>
      <c r="AI165" s="23"/>
      <c r="AJ165" s="23"/>
      <c r="AK165" s="24"/>
      <c r="AL165" s="23"/>
      <c r="AM165" s="23"/>
      <c r="AN165" s="24"/>
      <c r="AO165" s="23"/>
      <c r="AP165" s="23"/>
      <c r="AQ165" s="21"/>
      <c r="AR165" s="33"/>
      <c r="AS165" s="33"/>
    </row>
    <row r="166" spans="1:45" ht="24">
      <c r="A166" s="90"/>
      <c r="B166" s="90"/>
      <c r="C166" s="90"/>
      <c r="D166" s="35" t="s">
        <v>5</v>
      </c>
      <c r="E166" s="23">
        <f t="shared" si="234"/>
        <v>0</v>
      </c>
      <c r="F166" s="23">
        <f t="shared" si="234"/>
        <v>0</v>
      </c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1"/>
      <c r="AR166" s="33"/>
      <c r="AS166" s="33"/>
    </row>
    <row r="167" spans="1:45" ht="49.9" customHeight="1">
      <c r="A167" s="90"/>
      <c r="B167" s="90"/>
      <c r="C167" s="90"/>
      <c r="D167" s="35" t="s">
        <v>49</v>
      </c>
      <c r="E167" s="23">
        <f t="shared" si="234"/>
        <v>19608.899999999998</v>
      </c>
      <c r="F167" s="23">
        <f t="shared" si="234"/>
        <v>13928</v>
      </c>
      <c r="G167" s="24">
        <f t="shared" ref="G167" si="235">F167/E167*100</f>
        <v>71.028971538434078</v>
      </c>
      <c r="H167" s="24">
        <v>712</v>
      </c>
      <c r="I167" s="24">
        <v>712</v>
      </c>
      <c r="J167" s="24">
        <f t="shared" ref="J167" si="236">I167/H167*100</f>
        <v>100</v>
      </c>
      <c r="K167" s="24">
        <v>1853</v>
      </c>
      <c r="L167" s="24">
        <v>1853</v>
      </c>
      <c r="M167" s="24">
        <f t="shared" si="232"/>
        <v>100</v>
      </c>
      <c r="N167" s="24">
        <v>1856</v>
      </c>
      <c r="O167" s="24">
        <v>1856</v>
      </c>
      <c r="P167" s="24">
        <f t="shared" si="233"/>
        <v>100</v>
      </c>
      <c r="Q167" s="24">
        <v>2624</v>
      </c>
      <c r="R167" s="24">
        <v>2624</v>
      </c>
      <c r="S167" s="24">
        <f t="shared" ref="S167" si="237">R167/Q167*100</f>
        <v>100</v>
      </c>
      <c r="T167" s="24">
        <v>904</v>
      </c>
      <c r="U167" s="24">
        <v>904</v>
      </c>
      <c r="V167" s="24">
        <f t="shared" ref="V167" si="238">U167/T167*100</f>
        <v>100</v>
      </c>
      <c r="W167" s="24">
        <f>1803.8-400</f>
        <v>1403.8</v>
      </c>
      <c r="X167" s="24">
        <v>1403.8</v>
      </c>
      <c r="Y167" s="24">
        <f t="shared" ref="Y167" si="239">X167/W167*100</f>
        <v>100</v>
      </c>
      <c r="Z167" s="24">
        <v>2059</v>
      </c>
      <c r="AA167" s="24">
        <v>2259</v>
      </c>
      <c r="AB167" s="24">
        <f t="shared" ref="AB167" si="240">AA167/Z167*100</f>
        <v>109.71345313258864</v>
      </c>
      <c r="AC167" s="24">
        <v>1597</v>
      </c>
      <c r="AD167" s="24">
        <v>1397</v>
      </c>
      <c r="AE167" s="24">
        <f t="shared" ref="AE167" si="241">AD167/AC167*100</f>
        <v>87.476518472135254</v>
      </c>
      <c r="AF167" s="24">
        <v>919.2</v>
      </c>
      <c r="AG167" s="24">
        <v>919.2</v>
      </c>
      <c r="AH167" s="24">
        <f t="shared" ref="AH167" si="242">AG167/AF167*100</f>
        <v>100</v>
      </c>
      <c r="AI167" s="24">
        <f>1526.2+400</f>
        <v>1926.2</v>
      </c>
      <c r="AJ167" s="24"/>
      <c r="AK167" s="24">
        <f t="shared" ref="AK167" si="243">AJ167/AI167*100</f>
        <v>0</v>
      </c>
      <c r="AL167" s="24">
        <v>1967.1</v>
      </c>
      <c r="AM167" s="24"/>
      <c r="AN167" s="24">
        <f t="shared" ref="AN167" si="244">AM167/AL167*100</f>
        <v>0</v>
      </c>
      <c r="AO167" s="24">
        <f>1787.6</f>
        <v>1787.6</v>
      </c>
      <c r="AP167" s="24"/>
      <c r="AQ167" s="21">
        <f t="shared" si="227"/>
        <v>0</v>
      </c>
      <c r="AR167" s="83" t="s">
        <v>187</v>
      </c>
      <c r="AS167" s="40"/>
    </row>
    <row r="168" spans="1:45" ht="15.75" customHeight="1">
      <c r="A168" s="90"/>
      <c r="B168" s="90"/>
      <c r="C168" s="90"/>
      <c r="D168" s="35" t="s">
        <v>24</v>
      </c>
      <c r="E168" s="23">
        <f t="shared" si="234"/>
        <v>0</v>
      </c>
      <c r="F168" s="23">
        <f t="shared" si="234"/>
        <v>0</v>
      </c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33"/>
      <c r="AS168" s="33"/>
    </row>
    <row r="169" spans="1:45" ht="15.75" customHeight="1">
      <c r="A169" s="90" t="s">
        <v>73</v>
      </c>
      <c r="B169" s="90" t="s">
        <v>107</v>
      </c>
      <c r="C169" s="90" t="s">
        <v>7</v>
      </c>
      <c r="D169" s="35" t="s">
        <v>4</v>
      </c>
      <c r="E169" s="23">
        <f t="shared" si="234"/>
        <v>32565</v>
      </c>
      <c r="F169" s="23">
        <f t="shared" si="234"/>
        <v>21318.9</v>
      </c>
      <c r="G169" s="24">
        <f>F169/E169*100</f>
        <v>65.46568401658223</v>
      </c>
      <c r="H169" s="23">
        <f>H170+H171+H172+H173</f>
        <v>841</v>
      </c>
      <c r="I169" s="23">
        <f>I170+I171+I172+I173</f>
        <v>570.70000000000005</v>
      </c>
      <c r="J169" s="24">
        <f>I169/H169*100</f>
        <v>67.859690844233057</v>
      </c>
      <c r="K169" s="23">
        <f t="shared" ref="K169:AO169" si="245">K170+K171+K172+K173</f>
        <v>3951.6</v>
      </c>
      <c r="L169" s="23">
        <f t="shared" si="245"/>
        <v>3445.9</v>
      </c>
      <c r="M169" s="24">
        <f t="shared" ref="M169:M172" si="246">L169/K169*100</f>
        <v>87.202652090292545</v>
      </c>
      <c r="N169" s="23">
        <f t="shared" si="245"/>
        <v>3449</v>
      </c>
      <c r="O169" s="23">
        <f t="shared" si="245"/>
        <v>3647.2999999999997</v>
      </c>
      <c r="P169" s="24">
        <f t="shared" ref="P169:P172" si="247">O169/N169*100</f>
        <v>105.74949260655262</v>
      </c>
      <c r="Q169" s="23">
        <f t="shared" si="245"/>
        <v>2452.7000000000003</v>
      </c>
      <c r="R169" s="23">
        <f t="shared" si="245"/>
        <v>2228.1</v>
      </c>
      <c r="S169" s="24">
        <f>R169/Q169*100</f>
        <v>90.842744730297213</v>
      </c>
      <c r="T169" s="23">
        <f t="shared" si="245"/>
        <v>2126.5</v>
      </c>
      <c r="U169" s="23">
        <f t="shared" si="245"/>
        <v>2244.2999999999997</v>
      </c>
      <c r="V169" s="24">
        <f>U169/T169*100</f>
        <v>105.53961909240535</v>
      </c>
      <c r="W169" s="23">
        <f t="shared" si="245"/>
        <v>3602.6</v>
      </c>
      <c r="X169" s="23">
        <f t="shared" si="245"/>
        <v>2774.2</v>
      </c>
      <c r="Y169" s="24">
        <f>X169/W169*100</f>
        <v>77.005496030644522</v>
      </c>
      <c r="Z169" s="23">
        <f t="shared" si="245"/>
        <v>3658.2999999999997</v>
      </c>
      <c r="AA169" s="23">
        <f t="shared" si="245"/>
        <v>2844.5</v>
      </c>
      <c r="AB169" s="24">
        <f>AA169/Z169*100</f>
        <v>77.754694803597303</v>
      </c>
      <c r="AC169" s="23">
        <f t="shared" si="245"/>
        <v>2892.5</v>
      </c>
      <c r="AD169" s="23">
        <f t="shared" si="245"/>
        <v>2029.4</v>
      </c>
      <c r="AE169" s="24">
        <f>AD169/AC169*100</f>
        <v>70.160760587726884</v>
      </c>
      <c r="AF169" s="23">
        <f t="shared" si="245"/>
        <v>2341.6</v>
      </c>
      <c r="AG169" s="23">
        <f t="shared" si="245"/>
        <v>1534.5</v>
      </c>
      <c r="AH169" s="24">
        <f>AG169/AF169*100</f>
        <v>65.532114793303734</v>
      </c>
      <c r="AI169" s="23">
        <f t="shared" si="245"/>
        <v>2308.5</v>
      </c>
      <c r="AJ169" s="23">
        <f t="shared" si="245"/>
        <v>0</v>
      </c>
      <c r="AK169" s="24">
        <f>AJ169/AI169*100</f>
        <v>0</v>
      </c>
      <c r="AL169" s="23">
        <f t="shared" si="245"/>
        <v>1876.5</v>
      </c>
      <c r="AM169" s="23">
        <f t="shared" si="245"/>
        <v>0</v>
      </c>
      <c r="AN169" s="24">
        <f>AM169/AL169*100</f>
        <v>0</v>
      </c>
      <c r="AO169" s="23">
        <f t="shared" si="245"/>
        <v>3064.2</v>
      </c>
      <c r="AP169" s="23"/>
      <c r="AQ169" s="21">
        <f t="shared" si="227"/>
        <v>0</v>
      </c>
      <c r="AR169" s="33"/>
      <c r="AS169" s="33"/>
    </row>
    <row r="170" spans="1:45">
      <c r="A170" s="90"/>
      <c r="B170" s="90"/>
      <c r="C170" s="90"/>
      <c r="D170" s="35" t="s">
        <v>23</v>
      </c>
      <c r="E170" s="23">
        <f t="shared" si="234"/>
        <v>0</v>
      </c>
      <c r="F170" s="23">
        <f t="shared" si="234"/>
        <v>0</v>
      </c>
      <c r="G170" s="24"/>
      <c r="H170" s="23"/>
      <c r="I170" s="23"/>
      <c r="J170" s="24"/>
      <c r="K170" s="23"/>
      <c r="L170" s="23"/>
      <c r="M170" s="24"/>
      <c r="N170" s="23"/>
      <c r="O170" s="23"/>
      <c r="P170" s="24"/>
      <c r="Q170" s="23"/>
      <c r="R170" s="23"/>
      <c r="S170" s="24"/>
      <c r="T170" s="23"/>
      <c r="U170" s="23"/>
      <c r="V170" s="24"/>
      <c r="W170" s="23"/>
      <c r="X170" s="23"/>
      <c r="Y170" s="24"/>
      <c r="Z170" s="23"/>
      <c r="AA170" s="23"/>
      <c r="AB170" s="21"/>
      <c r="AC170" s="23"/>
      <c r="AD170" s="23"/>
      <c r="AE170" s="24"/>
      <c r="AF170" s="23"/>
      <c r="AG170" s="23"/>
      <c r="AH170" s="24"/>
      <c r="AI170" s="23"/>
      <c r="AJ170" s="23"/>
      <c r="AK170" s="24"/>
      <c r="AL170" s="23"/>
      <c r="AM170" s="23"/>
      <c r="AN170" s="24"/>
      <c r="AO170" s="23"/>
      <c r="AP170" s="23"/>
      <c r="AQ170" s="21"/>
      <c r="AR170" s="33"/>
      <c r="AS170" s="33"/>
    </row>
    <row r="171" spans="1:45" ht="60">
      <c r="A171" s="90"/>
      <c r="B171" s="90"/>
      <c r="C171" s="90"/>
      <c r="D171" s="35" t="s">
        <v>5</v>
      </c>
      <c r="E171" s="23">
        <f t="shared" si="234"/>
        <v>1704</v>
      </c>
      <c r="F171" s="23">
        <f t="shared" si="234"/>
        <v>957.99999999999989</v>
      </c>
      <c r="G171" s="24">
        <f t="shared" ref="G171:G172" si="248">F171/E171*100</f>
        <v>56.220657276995297</v>
      </c>
      <c r="H171" s="24">
        <v>38</v>
      </c>
      <c r="I171" s="24">
        <v>10.1</v>
      </c>
      <c r="J171" s="24">
        <f>I171/H171*100</f>
        <v>26.578947368421051</v>
      </c>
      <c r="K171" s="24">
        <v>229</v>
      </c>
      <c r="L171" s="24">
        <v>203.8</v>
      </c>
      <c r="M171" s="24">
        <f t="shared" si="246"/>
        <v>88.995633187772924</v>
      </c>
      <c r="N171" s="24">
        <v>118</v>
      </c>
      <c r="O171" s="24">
        <v>107.2</v>
      </c>
      <c r="P171" s="24">
        <f t="shared" si="247"/>
        <v>90.847457627118644</v>
      </c>
      <c r="Q171" s="24">
        <v>146.30000000000001</v>
      </c>
      <c r="R171" s="24">
        <v>69.7</v>
      </c>
      <c r="S171" s="24">
        <f t="shared" ref="S171:S172" si="249">R171/Q171*100</f>
        <v>47.641831852358166</v>
      </c>
      <c r="T171" s="24">
        <v>177</v>
      </c>
      <c r="U171" s="24">
        <v>166.7</v>
      </c>
      <c r="V171" s="24">
        <f t="shared" ref="V171:V172" si="250">U171/T171*100</f>
        <v>94.180790960451972</v>
      </c>
      <c r="W171" s="24">
        <f>184</f>
        <v>184</v>
      </c>
      <c r="X171" s="24">
        <v>153.5</v>
      </c>
      <c r="Y171" s="24">
        <f t="shared" ref="Y171:Y172" si="251">X171/W171*100</f>
        <v>83.423913043478265</v>
      </c>
      <c r="Z171" s="24">
        <v>122.7</v>
      </c>
      <c r="AA171" s="24">
        <v>83.8</v>
      </c>
      <c r="AB171" s="24">
        <f>AA171/Z171*100</f>
        <v>68.29665851670741</v>
      </c>
      <c r="AC171" s="24">
        <v>123</v>
      </c>
      <c r="AD171" s="24">
        <v>74.900000000000006</v>
      </c>
      <c r="AE171" s="24">
        <f t="shared" ref="AE171:AE172" si="252">AD171/AC171*100</f>
        <v>60.894308943089435</v>
      </c>
      <c r="AF171" s="24">
        <v>93</v>
      </c>
      <c r="AG171" s="24">
        <v>88.3</v>
      </c>
      <c r="AH171" s="24">
        <f t="shared" ref="AH171:AH172" si="253">AG171/AF171*100</f>
        <v>94.946236559139791</v>
      </c>
      <c r="AI171" s="24">
        <v>152.80000000000001</v>
      </c>
      <c r="AJ171" s="24"/>
      <c r="AK171" s="24">
        <f t="shared" ref="AK171:AK172" si="254">AJ171/AI171*100</f>
        <v>0</v>
      </c>
      <c r="AL171" s="24">
        <v>93</v>
      </c>
      <c r="AM171" s="24"/>
      <c r="AN171" s="24">
        <f t="shared" ref="AN171:AN172" si="255">AM171/AL171*100</f>
        <v>0</v>
      </c>
      <c r="AO171" s="24">
        <v>227.2</v>
      </c>
      <c r="AP171" s="24"/>
      <c r="AQ171" s="21"/>
      <c r="AR171" s="83" t="s">
        <v>188</v>
      </c>
      <c r="AS171" s="60" t="s">
        <v>145</v>
      </c>
    </row>
    <row r="172" spans="1:45" ht="125.25" customHeight="1">
      <c r="A172" s="90"/>
      <c r="B172" s="90"/>
      <c r="C172" s="90"/>
      <c r="D172" s="35" t="s">
        <v>49</v>
      </c>
      <c r="E172" s="23">
        <f t="shared" si="234"/>
        <v>30861</v>
      </c>
      <c r="F172" s="23">
        <f t="shared" si="234"/>
        <v>20360.900000000001</v>
      </c>
      <c r="G172" s="24">
        <f t="shared" si="248"/>
        <v>65.976151129257005</v>
      </c>
      <c r="H172" s="24">
        <v>803</v>
      </c>
      <c r="I172" s="24">
        <v>560.6</v>
      </c>
      <c r="J172" s="24">
        <f t="shared" ref="J172" si="256">I172/H172*100</f>
        <v>69.813200498132005</v>
      </c>
      <c r="K172" s="24">
        <v>3722.6</v>
      </c>
      <c r="L172" s="24">
        <f>3242.2-0.1</f>
        <v>3242.1</v>
      </c>
      <c r="M172" s="24">
        <f t="shared" si="246"/>
        <v>87.0923548057809</v>
      </c>
      <c r="N172" s="24">
        <v>3331</v>
      </c>
      <c r="O172" s="24">
        <v>3540.1</v>
      </c>
      <c r="P172" s="24">
        <f t="shared" si="247"/>
        <v>106.27739417592315</v>
      </c>
      <c r="Q172" s="24">
        <v>2306.4</v>
      </c>
      <c r="R172" s="24">
        <v>2158.4</v>
      </c>
      <c r="S172" s="24">
        <f t="shared" si="249"/>
        <v>93.583073187651749</v>
      </c>
      <c r="T172" s="24">
        <v>1949.5</v>
      </c>
      <c r="U172" s="24">
        <v>2077.6</v>
      </c>
      <c r="V172" s="24">
        <f t="shared" si="250"/>
        <v>106.57091561938958</v>
      </c>
      <c r="W172" s="24">
        <f>3058.6+360</f>
        <v>3418.6</v>
      </c>
      <c r="X172" s="24">
        <v>2620.6999999999998</v>
      </c>
      <c r="Y172" s="24">
        <f t="shared" si="251"/>
        <v>76.660036272158194</v>
      </c>
      <c r="Z172" s="24">
        <v>3535.6</v>
      </c>
      <c r="AA172" s="24">
        <v>2760.7</v>
      </c>
      <c r="AB172" s="24">
        <f>AA172/Z172*100</f>
        <v>78.082927933024095</v>
      </c>
      <c r="AC172" s="24">
        <v>2769.5</v>
      </c>
      <c r="AD172" s="24">
        <v>1954.5</v>
      </c>
      <c r="AE172" s="24">
        <f t="shared" si="252"/>
        <v>70.572305470301501</v>
      </c>
      <c r="AF172" s="24">
        <v>2248.6</v>
      </c>
      <c r="AG172" s="24">
        <v>1446.2</v>
      </c>
      <c r="AH172" s="24">
        <f t="shared" si="253"/>
        <v>64.315574135017357</v>
      </c>
      <c r="AI172" s="24">
        <v>2155.6999999999998</v>
      </c>
      <c r="AJ172" s="24"/>
      <c r="AK172" s="24">
        <f t="shared" si="254"/>
        <v>0</v>
      </c>
      <c r="AL172" s="24">
        <v>1783.5</v>
      </c>
      <c r="AM172" s="24"/>
      <c r="AN172" s="24">
        <f t="shared" si="255"/>
        <v>0</v>
      </c>
      <c r="AO172" s="24">
        <f>3197-360</f>
        <v>2837</v>
      </c>
      <c r="AP172" s="24"/>
      <c r="AQ172" s="21">
        <f t="shared" si="227"/>
        <v>0</v>
      </c>
      <c r="AR172" s="83" t="s">
        <v>189</v>
      </c>
      <c r="AS172" s="86" t="s">
        <v>190</v>
      </c>
    </row>
    <row r="173" spans="1:45" ht="15.75" customHeight="1">
      <c r="A173" s="90"/>
      <c r="B173" s="90"/>
      <c r="C173" s="90"/>
      <c r="D173" s="35" t="s">
        <v>24</v>
      </c>
      <c r="E173" s="23">
        <f t="shared" si="234"/>
        <v>0</v>
      </c>
      <c r="F173" s="23">
        <f t="shared" si="234"/>
        <v>0</v>
      </c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33"/>
      <c r="AS173" s="33"/>
    </row>
    <row r="174" spans="1:45" ht="15.75" customHeight="1">
      <c r="A174" s="90" t="s">
        <v>74</v>
      </c>
      <c r="B174" s="90" t="s">
        <v>108</v>
      </c>
      <c r="C174" s="90" t="s">
        <v>7</v>
      </c>
      <c r="D174" s="35" t="s">
        <v>4</v>
      </c>
      <c r="E174" s="23">
        <f t="shared" si="234"/>
        <v>0</v>
      </c>
      <c r="F174" s="23">
        <f t="shared" si="234"/>
        <v>0</v>
      </c>
      <c r="G174" s="24"/>
      <c r="H174" s="23">
        <f>H175+H176+H177+H178</f>
        <v>0</v>
      </c>
      <c r="I174" s="23"/>
      <c r="J174" s="24"/>
      <c r="K174" s="23">
        <f t="shared" ref="K174:AO174" si="257">K175+K176+K177+K178</f>
        <v>0</v>
      </c>
      <c r="L174" s="23"/>
      <c r="M174" s="24"/>
      <c r="N174" s="23">
        <f t="shared" si="257"/>
        <v>0</v>
      </c>
      <c r="O174" s="23"/>
      <c r="P174" s="24"/>
      <c r="Q174" s="23">
        <f t="shared" si="257"/>
        <v>0</v>
      </c>
      <c r="R174" s="23"/>
      <c r="S174" s="24"/>
      <c r="T174" s="23">
        <f t="shared" si="257"/>
        <v>0</v>
      </c>
      <c r="U174" s="23"/>
      <c r="V174" s="24"/>
      <c r="W174" s="23">
        <f t="shared" si="257"/>
        <v>0</v>
      </c>
      <c r="X174" s="23"/>
      <c r="Y174" s="24"/>
      <c r="Z174" s="23">
        <f t="shared" si="257"/>
        <v>0</v>
      </c>
      <c r="AA174" s="23"/>
      <c r="AB174" s="24"/>
      <c r="AC174" s="23">
        <f t="shared" si="257"/>
        <v>0</v>
      </c>
      <c r="AD174" s="23"/>
      <c r="AE174" s="24"/>
      <c r="AF174" s="23">
        <f t="shared" si="257"/>
        <v>0</v>
      </c>
      <c r="AG174" s="23"/>
      <c r="AH174" s="24"/>
      <c r="AI174" s="23">
        <f t="shared" si="257"/>
        <v>0</v>
      </c>
      <c r="AJ174" s="23"/>
      <c r="AK174" s="24"/>
      <c r="AL174" s="23">
        <f t="shared" si="257"/>
        <v>0</v>
      </c>
      <c r="AM174" s="23"/>
      <c r="AN174" s="24"/>
      <c r="AO174" s="23">
        <f t="shared" si="257"/>
        <v>0</v>
      </c>
      <c r="AP174" s="23"/>
      <c r="AQ174" s="24"/>
      <c r="AR174" s="33"/>
      <c r="AS174" s="33"/>
    </row>
    <row r="175" spans="1:45">
      <c r="A175" s="90"/>
      <c r="B175" s="90"/>
      <c r="C175" s="90"/>
      <c r="D175" s="35" t="s">
        <v>23</v>
      </c>
      <c r="E175" s="23">
        <f t="shared" si="234"/>
        <v>0</v>
      </c>
      <c r="F175" s="23">
        <f t="shared" si="234"/>
        <v>0</v>
      </c>
      <c r="G175" s="24"/>
      <c r="H175" s="23"/>
      <c r="I175" s="23"/>
      <c r="J175" s="24"/>
      <c r="K175" s="23"/>
      <c r="L175" s="23"/>
      <c r="M175" s="24"/>
      <c r="N175" s="23"/>
      <c r="O175" s="23"/>
      <c r="P175" s="24"/>
      <c r="Q175" s="23"/>
      <c r="R175" s="23"/>
      <c r="S175" s="24"/>
      <c r="T175" s="23"/>
      <c r="U175" s="23"/>
      <c r="V175" s="24"/>
      <c r="W175" s="23"/>
      <c r="X175" s="23"/>
      <c r="Y175" s="24"/>
      <c r="Z175" s="23"/>
      <c r="AA175" s="23"/>
      <c r="AB175" s="24"/>
      <c r="AC175" s="23"/>
      <c r="AD175" s="23"/>
      <c r="AE175" s="24"/>
      <c r="AF175" s="23"/>
      <c r="AG175" s="23"/>
      <c r="AH175" s="24"/>
      <c r="AI175" s="23"/>
      <c r="AJ175" s="23"/>
      <c r="AK175" s="24"/>
      <c r="AL175" s="23"/>
      <c r="AM175" s="23"/>
      <c r="AN175" s="24"/>
      <c r="AO175" s="23"/>
      <c r="AP175" s="23"/>
      <c r="AQ175" s="24"/>
      <c r="AR175" s="33"/>
      <c r="AS175" s="33"/>
    </row>
    <row r="176" spans="1:45" ht="26.25" customHeight="1">
      <c r="A176" s="90"/>
      <c r="B176" s="90"/>
      <c r="C176" s="90"/>
      <c r="D176" s="35" t="s">
        <v>5</v>
      </c>
      <c r="E176" s="23">
        <f t="shared" si="234"/>
        <v>0</v>
      </c>
      <c r="F176" s="23">
        <f t="shared" si="234"/>
        <v>0</v>
      </c>
      <c r="G176" s="24"/>
      <c r="H176" s="23"/>
      <c r="I176" s="23"/>
      <c r="J176" s="24"/>
      <c r="K176" s="23"/>
      <c r="L176" s="23"/>
      <c r="M176" s="24"/>
      <c r="N176" s="23"/>
      <c r="O176" s="23"/>
      <c r="P176" s="24"/>
      <c r="Q176" s="23"/>
      <c r="R176" s="23"/>
      <c r="S176" s="24"/>
      <c r="T176" s="23"/>
      <c r="U176" s="23"/>
      <c r="V176" s="24"/>
      <c r="W176" s="23"/>
      <c r="X176" s="23"/>
      <c r="Y176" s="24"/>
      <c r="Z176" s="23"/>
      <c r="AA176" s="23"/>
      <c r="AB176" s="24"/>
      <c r="AC176" s="23"/>
      <c r="AD176" s="23"/>
      <c r="AE176" s="24"/>
      <c r="AF176" s="23"/>
      <c r="AG176" s="23"/>
      <c r="AH176" s="24"/>
      <c r="AI176" s="23"/>
      <c r="AJ176" s="23"/>
      <c r="AK176" s="24"/>
      <c r="AL176" s="23"/>
      <c r="AM176" s="23"/>
      <c r="AN176" s="24"/>
      <c r="AO176" s="23"/>
      <c r="AP176" s="23"/>
      <c r="AQ176" s="24"/>
      <c r="AR176" s="33"/>
      <c r="AS176" s="33"/>
    </row>
    <row r="177" spans="1:45">
      <c r="A177" s="90"/>
      <c r="B177" s="90"/>
      <c r="C177" s="90"/>
      <c r="D177" s="35" t="s">
        <v>49</v>
      </c>
      <c r="E177" s="23">
        <f t="shared" si="234"/>
        <v>0</v>
      </c>
      <c r="F177" s="23">
        <f t="shared" si="234"/>
        <v>0</v>
      </c>
      <c r="G177" s="24"/>
      <c r="H177" s="23"/>
      <c r="I177" s="23"/>
      <c r="J177" s="24"/>
      <c r="K177" s="23"/>
      <c r="L177" s="23"/>
      <c r="M177" s="24"/>
      <c r="N177" s="23"/>
      <c r="O177" s="23"/>
      <c r="P177" s="24"/>
      <c r="Q177" s="23"/>
      <c r="R177" s="23"/>
      <c r="S177" s="24"/>
      <c r="T177" s="23"/>
      <c r="U177" s="23"/>
      <c r="V177" s="24"/>
      <c r="W177" s="23"/>
      <c r="X177" s="23"/>
      <c r="Y177" s="24"/>
      <c r="Z177" s="23"/>
      <c r="AA177" s="23"/>
      <c r="AB177" s="24"/>
      <c r="AC177" s="23"/>
      <c r="AD177" s="23"/>
      <c r="AE177" s="24"/>
      <c r="AF177" s="23"/>
      <c r="AG177" s="23"/>
      <c r="AH177" s="24"/>
      <c r="AI177" s="23"/>
      <c r="AJ177" s="23"/>
      <c r="AK177" s="24"/>
      <c r="AL177" s="23"/>
      <c r="AM177" s="23"/>
      <c r="AN177" s="24"/>
      <c r="AO177" s="23"/>
      <c r="AP177" s="23"/>
      <c r="AQ177" s="24"/>
      <c r="AR177" s="33"/>
      <c r="AS177" s="33"/>
    </row>
    <row r="178" spans="1:45" ht="15.75" customHeight="1">
      <c r="A178" s="90"/>
      <c r="B178" s="90"/>
      <c r="C178" s="90"/>
      <c r="D178" s="35" t="s">
        <v>24</v>
      </c>
      <c r="E178" s="23">
        <f t="shared" si="234"/>
        <v>0</v>
      </c>
      <c r="F178" s="23">
        <f t="shared" si="234"/>
        <v>0</v>
      </c>
      <c r="G178" s="24"/>
      <c r="H178" s="23"/>
      <c r="I178" s="23"/>
      <c r="J178" s="24"/>
      <c r="K178" s="23"/>
      <c r="L178" s="23"/>
      <c r="M178" s="24"/>
      <c r="N178" s="23"/>
      <c r="O178" s="23"/>
      <c r="P178" s="24"/>
      <c r="Q178" s="23"/>
      <c r="R178" s="23"/>
      <c r="S178" s="24"/>
      <c r="T178" s="23"/>
      <c r="U178" s="23"/>
      <c r="V178" s="24"/>
      <c r="W178" s="23"/>
      <c r="X178" s="23"/>
      <c r="Y178" s="24"/>
      <c r="Z178" s="23"/>
      <c r="AA178" s="23"/>
      <c r="AB178" s="24"/>
      <c r="AC178" s="23"/>
      <c r="AD178" s="23"/>
      <c r="AE178" s="24"/>
      <c r="AF178" s="23"/>
      <c r="AG178" s="23"/>
      <c r="AH178" s="24"/>
      <c r="AI178" s="23"/>
      <c r="AJ178" s="23"/>
      <c r="AK178" s="24"/>
      <c r="AL178" s="23"/>
      <c r="AM178" s="23"/>
      <c r="AN178" s="24"/>
      <c r="AO178" s="23"/>
      <c r="AP178" s="23"/>
      <c r="AQ178" s="24"/>
      <c r="AR178" s="33"/>
      <c r="AS178" s="33"/>
    </row>
    <row r="179" spans="1:45" ht="12" customHeight="1">
      <c r="A179" s="110" t="s">
        <v>14</v>
      </c>
      <c r="B179" s="110"/>
      <c r="C179" s="110"/>
      <c r="D179" s="36" t="s">
        <v>4</v>
      </c>
      <c r="E179" s="37">
        <f t="shared" si="234"/>
        <v>52519.5</v>
      </c>
      <c r="F179" s="37">
        <f t="shared" si="234"/>
        <v>35287.700000000004</v>
      </c>
      <c r="G179" s="25">
        <f>F179/E179*100</f>
        <v>67.189710488485233</v>
      </c>
      <c r="H179" s="37">
        <f>H180+H181+H182+H183</f>
        <v>1583</v>
      </c>
      <c r="I179" s="37">
        <f>I180+I181+I182+I183</f>
        <v>1302.9000000000001</v>
      </c>
      <c r="J179" s="25">
        <f>I179/H179*100</f>
        <v>82.305748578648135</v>
      </c>
      <c r="K179" s="37">
        <f t="shared" ref="K179:AO179" si="258">K180+K181+K182+K183</f>
        <v>5804.6</v>
      </c>
      <c r="L179" s="37">
        <f t="shared" si="258"/>
        <v>5298.9000000000005</v>
      </c>
      <c r="M179" s="25">
        <f t="shared" ref="M179:M182" si="259">L179/K179*100</f>
        <v>91.287944044378605</v>
      </c>
      <c r="N179" s="37">
        <f t="shared" si="258"/>
        <v>5295.2</v>
      </c>
      <c r="O179" s="37">
        <f t="shared" si="258"/>
        <v>5503.3</v>
      </c>
      <c r="P179" s="25">
        <f t="shared" ref="P179:P182" si="260">O179/N179*100</f>
        <v>103.92997431636199</v>
      </c>
      <c r="Q179" s="37">
        <f t="shared" si="258"/>
        <v>5076.7</v>
      </c>
      <c r="R179" s="37">
        <f t="shared" si="258"/>
        <v>4852.0999999999995</v>
      </c>
      <c r="S179" s="25">
        <f>R179/Q179*100</f>
        <v>95.575866212303268</v>
      </c>
      <c r="T179" s="37">
        <f t="shared" si="258"/>
        <v>3030.5</v>
      </c>
      <c r="U179" s="37">
        <f t="shared" si="258"/>
        <v>3148.2999999999997</v>
      </c>
      <c r="V179" s="25">
        <f>U179/T179*100</f>
        <v>103.88714733542319</v>
      </c>
      <c r="W179" s="37">
        <f t="shared" si="258"/>
        <v>5006.3999999999996</v>
      </c>
      <c r="X179" s="37">
        <f t="shared" si="258"/>
        <v>4178</v>
      </c>
      <c r="Y179" s="25">
        <f>X179/W179*100</f>
        <v>83.453179929690009</v>
      </c>
      <c r="Z179" s="37">
        <f t="shared" si="258"/>
        <v>5717.3</v>
      </c>
      <c r="AA179" s="37">
        <f t="shared" si="258"/>
        <v>5103.5</v>
      </c>
      <c r="AB179" s="25">
        <f>AA179/Z179*100</f>
        <v>89.264163153936295</v>
      </c>
      <c r="AC179" s="37">
        <f t="shared" si="258"/>
        <v>4489.5</v>
      </c>
      <c r="AD179" s="37">
        <f t="shared" si="258"/>
        <v>3426.4</v>
      </c>
      <c r="AE179" s="25">
        <f>AD179/AC179*100</f>
        <v>76.320302929056695</v>
      </c>
      <c r="AF179" s="37">
        <f t="shared" si="258"/>
        <v>3281.4</v>
      </c>
      <c r="AG179" s="37">
        <f t="shared" si="258"/>
        <v>2474.3000000000002</v>
      </c>
      <c r="AH179" s="25">
        <f>AG179/AF179*100</f>
        <v>75.403791064789431</v>
      </c>
      <c r="AI179" s="37">
        <f t="shared" si="258"/>
        <v>4319.7</v>
      </c>
      <c r="AJ179" s="37">
        <f t="shared" si="258"/>
        <v>0</v>
      </c>
      <c r="AK179" s="25">
        <f>AJ179/AI179*100</f>
        <v>0</v>
      </c>
      <c r="AL179" s="37">
        <f t="shared" si="258"/>
        <v>3963.4</v>
      </c>
      <c r="AM179" s="37">
        <f t="shared" si="258"/>
        <v>0</v>
      </c>
      <c r="AN179" s="25">
        <f>AM179/AL179*100</f>
        <v>0</v>
      </c>
      <c r="AO179" s="37">
        <f t="shared" si="258"/>
        <v>4951.8</v>
      </c>
      <c r="AP179" s="37"/>
      <c r="AQ179" s="21">
        <f t="shared" ref="AQ179:AQ182" si="261">AP179/AO179</f>
        <v>0</v>
      </c>
      <c r="AR179" s="33"/>
      <c r="AS179" s="33"/>
    </row>
    <row r="180" spans="1:45">
      <c r="A180" s="110"/>
      <c r="B180" s="110"/>
      <c r="C180" s="110"/>
      <c r="D180" s="36" t="s">
        <v>23</v>
      </c>
      <c r="E180" s="37">
        <f t="shared" si="234"/>
        <v>0</v>
      </c>
      <c r="F180" s="37">
        <f t="shared" si="234"/>
        <v>0</v>
      </c>
      <c r="G180" s="22"/>
      <c r="H180" s="25">
        <f t="shared" ref="H180:I183" si="262">H150+H155+H160+H165+H170+H175</f>
        <v>0</v>
      </c>
      <c r="I180" s="25">
        <f t="shared" si="262"/>
        <v>0</v>
      </c>
      <c r="J180" s="22"/>
      <c r="K180" s="25">
        <f t="shared" ref="K180:AO183" si="263">K150+K155+K160+K165+K170+K175</f>
        <v>0</v>
      </c>
      <c r="L180" s="25">
        <f t="shared" si="263"/>
        <v>0</v>
      </c>
      <c r="M180" s="25"/>
      <c r="N180" s="25">
        <f t="shared" si="263"/>
        <v>0</v>
      </c>
      <c r="O180" s="25">
        <f t="shared" si="263"/>
        <v>0</v>
      </c>
      <c r="P180" s="25"/>
      <c r="Q180" s="25">
        <f t="shared" si="263"/>
        <v>0</v>
      </c>
      <c r="R180" s="25">
        <f t="shared" si="263"/>
        <v>0</v>
      </c>
      <c r="S180" s="22"/>
      <c r="T180" s="25">
        <f t="shared" si="263"/>
        <v>0</v>
      </c>
      <c r="U180" s="25">
        <f t="shared" si="263"/>
        <v>0</v>
      </c>
      <c r="V180" s="22"/>
      <c r="W180" s="25">
        <f t="shared" si="263"/>
        <v>0</v>
      </c>
      <c r="X180" s="25">
        <f t="shared" si="263"/>
        <v>0</v>
      </c>
      <c r="Y180" s="22"/>
      <c r="Z180" s="25">
        <f t="shared" si="263"/>
        <v>0</v>
      </c>
      <c r="AA180" s="25">
        <f t="shared" si="263"/>
        <v>0</v>
      </c>
      <c r="AB180" s="22"/>
      <c r="AC180" s="25">
        <f t="shared" si="263"/>
        <v>0</v>
      </c>
      <c r="AD180" s="25">
        <f t="shared" si="263"/>
        <v>0</v>
      </c>
      <c r="AE180" s="22"/>
      <c r="AF180" s="25">
        <f t="shared" si="263"/>
        <v>0</v>
      </c>
      <c r="AG180" s="25">
        <f t="shared" si="263"/>
        <v>0</v>
      </c>
      <c r="AH180" s="22"/>
      <c r="AI180" s="25">
        <f t="shared" si="263"/>
        <v>0</v>
      </c>
      <c r="AJ180" s="25">
        <f t="shared" si="263"/>
        <v>0</v>
      </c>
      <c r="AK180" s="22"/>
      <c r="AL180" s="25">
        <f t="shared" si="263"/>
        <v>0</v>
      </c>
      <c r="AM180" s="25">
        <f t="shared" si="263"/>
        <v>0</v>
      </c>
      <c r="AN180" s="22"/>
      <c r="AO180" s="25">
        <f t="shared" si="263"/>
        <v>0</v>
      </c>
      <c r="AP180" s="24"/>
      <c r="AQ180" s="21"/>
      <c r="AR180" s="33"/>
      <c r="AS180" s="33"/>
    </row>
    <row r="181" spans="1:45" ht="24" customHeight="1">
      <c r="A181" s="110"/>
      <c r="B181" s="110"/>
      <c r="C181" s="110"/>
      <c r="D181" s="36" t="s">
        <v>5</v>
      </c>
      <c r="E181" s="37">
        <f t="shared" si="234"/>
        <v>1704</v>
      </c>
      <c r="F181" s="37">
        <f t="shared" si="234"/>
        <v>957.99999999999989</v>
      </c>
      <c r="G181" s="25">
        <f>F181/E181*100</f>
        <v>56.220657276995297</v>
      </c>
      <c r="H181" s="25">
        <f t="shared" si="262"/>
        <v>38</v>
      </c>
      <c r="I181" s="25">
        <f t="shared" si="262"/>
        <v>10.1</v>
      </c>
      <c r="J181" s="25">
        <f>I181/H181*100</f>
        <v>26.578947368421051</v>
      </c>
      <c r="K181" s="25">
        <f t="shared" si="263"/>
        <v>229</v>
      </c>
      <c r="L181" s="25">
        <f t="shared" si="263"/>
        <v>203.8</v>
      </c>
      <c r="M181" s="25">
        <f t="shared" si="259"/>
        <v>88.995633187772924</v>
      </c>
      <c r="N181" s="25">
        <f t="shared" si="263"/>
        <v>118</v>
      </c>
      <c r="O181" s="25">
        <f t="shared" si="263"/>
        <v>107.2</v>
      </c>
      <c r="P181" s="25">
        <f t="shared" si="260"/>
        <v>90.847457627118644</v>
      </c>
      <c r="Q181" s="25">
        <f t="shared" si="263"/>
        <v>146.30000000000001</v>
      </c>
      <c r="R181" s="25">
        <f t="shared" si="263"/>
        <v>69.7</v>
      </c>
      <c r="S181" s="25">
        <f>R181/Q181*100</f>
        <v>47.641831852358166</v>
      </c>
      <c r="T181" s="25">
        <f t="shared" si="263"/>
        <v>177</v>
      </c>
      <c r="U181" s="25">
        <f t="shared" si="263"/>
        <v>166.7</v>
      </c>
      <c r="V181" s="25">
        <f>U181/T181*100</f>
        <v>94.180790960451972</v>
      </c>
      <c r="W181" s="25">
        <f t="shared" si="263"/>
        <v>184</v>
      </c>
      <c r="X181" s="25">
        <f t="shared" si="263"/>
        <v>153.5</v>
      </c>
      <c r="Y181" s="25">
        <f>X181/W181*100</f>
        <v>83.423913043478265</v>
      </c>
      <c r="Z181" s="25">
        <f t="shared" si="263"/>
        <v>122.7</v>
      </c>
      <c r="AA181" s="25">
        <f t="shared" si="263"/>
        <v>83.8</v>
      </c>
      <c r="AB181" s="25">
        <f>AA181/Z181*100</f>
        <v>68.29665851670741</v>
      </c>
      <c r="AC181" s="25">
        <f t="shared" si="263"/>
        <v>123</v>
      </c>
      <c r="AD181" s="25">
        <f t="shared" si="263"/>
        <v>74.900000000000006</v>
      </c>
      <c r="AE181" s="25">
        <f>AD181/AC181*100</f>
        <v>60.894308943089435</v>
      </c>
      <c r="AF181" s="25">
        <f t="shared" si="263"/>
        <v>93</v>
      </c>
      <c r="AG181" s="25">
        <f t="shared" si="263"/>
        <v>88.3</v>
      </c>
      <c r="AH181" s="25">
        <f>AG181/AF181*100</f>
        <v>94.946236559139791</v>
      </c>
      <c r="AI181" s="25">
        <f t="shared" si="263"/>
        <v>152.80000000000001</v>
      </c>
      <c r="AJ181" s="25">
        <f t="shared" si="263"/>
        <v>0</v>
      </c>
      <c r="AK181" s="25">
        <f>AJ181/AI181*100</f>
        <v>0</v>
      </c>
      <c r="AL181" s="25">
        <f t="shared" si="263"/>
        <v>93</v>
      </c>
      <c r="AM181" s="25">
        <f t="shared" si="263"/>
        <v>0</v>
      </c>
      <c r="AN181" s="25">
        <f>AM181/AL181*100</f>
        <v>0</v>
      </c>
      <c r="AO181" s="25">
        <f t="shared" si="263"/>
        <v>227.2</v>
      </c>
      <c r="AP181" s="24"/>
      <c r="AQ181" s="21"/>
      <c r="AR181" s="33"/>
      <c r="AS181" s="33"/>
    </row>
    <row r="182" spans="1:45">
      <c r="A182" s="110"/>
      <c r="B182" s="110"/>
      <c r="C182" s="110"/>
      <c r="D182" s="36" t="s">
        <v>49</v>
      </c>
      <c r="E182" s="37">
        <f t="shared" si="234"/>
        <v>50815.5</v>
      </c>
      <c r="F182" s="37">
        <f t="shared" si="234"/>
        <v>34329.699999999997</v>
      </c>
      <c r="G182" s="25">
        <f>F182/E182*100</f>
        <v>67.557536578406186</v>
      </c>
      <c r="H182" s="25">
        <f t="shared" si="262"/>
        <v>1545</v>
      </c>
      <c r="I182" s="25">
        <f t="shared" si="262"/>
        <v>1292.8000000000002</v>
      </c>
      <c r="J182" s="25">
        <f>I182/H182*100</f>
        <v>83.676375404530759</v>
      </c>
      <c r="K182" s="25">
        <f t="shared" si="263"/>
        <v>5575.6</v>
      </c>
      <c r="L182" s="25">
        <f t="shared" si="263"/>
        <v>5095.1000000000004</v>
      </c>
      <c r="M182" s="25">
        <f t="shared" si="259"/>
        <v>91.382093406987579</v>
      </c>
      <c r="N182" s="25">
        <f t="shared" si="263"/>
        <v>5177.2</v>
      </c>
      <c r="O182" s="25">
        <f t="shared" si="263"/>
        <v>5396.1</v>
      </c>
      <c r="P182" s="25">
        <f t="shared" si="260"/>
        <v>104.22815421463341</v>
      </c>
      <c r="Q182" s="25">
        <f t="shared" si="263"/>
        <v>4930.3999999999996</v>
      </c>
      <c r="R182" s="25">
        <f t="shared" si="263"/>
        <v>4782.3999999999996</v>
      </c>
      <c r="S182" s="25">
        <f>R182/Q182*100</f>
        <v>96.998215154956995</v>
      </c>
      <c r="T182" s="25">
        <f t="shared" si="263"/>
        <v>2853.5</v>
      </c>
      <c r="U182" s="25">
        <f t="shared" si="263"/>
        <v>2981.6</v>
      </c>
      <c r="V182" s="25">
        <f>U182/T182*100</f>
        <v>104.48922376029437</v>
      </c>
      <c r="W182" s="25">
        <f t="shared" si="263"/>
        <v>4822.3999999999996</v>
      </c>
      <c r="X182" s="25">
        <f t="shared" si="263"/>
        <v>4024.5</v>
      </c>
      <c r="Y182" s="25">
        <f>X182/W182*100</f>
        <v>83.454296615792984</v>
      </c>
      <c r="Z182" s="25">
        <f t="shared" si="263"/>
        <v>5594.6</v>
      </c>
      <c r="AA182" s="25">
        <f t="shared" si="263"/>
        <v>5019.7</v>
      </c>
      <c r="AB182" s="25">
        <f>AA182/Z182*100</f>
        <v>89.72401959031923</v>
      </c>
      <c r="AC182" s="25">
        <f t="shared" si="263"/>
        <v>4366.5</v>
      </c>
      <c r="AD182" s="25">
        <f t="shared" si="263"/>
        <v>3351.5</v>
      </c>
      <c r="AE182" s="25">
        <f>AD182/AC182*100</f>
        <v>76.75483797091492</v>
      </c>
      <c r="AF182" s="25">
        <f t="shared" si="263"/>
        <v>3188.4</v>
      </c>
      <c r="AG182" s="25">
        <f t="shared" si="263"/>
        <v>2386</v>
      </c>
      <c r="AH182" s="25">
        <f>AG182/AF182*100</f>
        <v>74.833772425040763</v>
      </c>
      <c r="AI182" s="25">
        <f t="shared" si="263"/>
        <v>4166.8999999999996</v>
      </c>
      <c r="AJ182" s="25">
        <f t="shared" si="263"/>
        <v>0</v>
      </c>
      <c r="AK182" s="25">
        <f>AJ182/AI182*100</f>
        <v>0</v>
      </c>
      <c r="AL182" s="25">
        <f t="shared" si="263"/>
        <v>3870.4</v>
      </c>
      <c r="AM182" s="25">
        <f t="shared" si="263"/>
        <v>0</v>
      </c>
      <c r="AN182" s="25">
        <f>AM182/AL182*100</f>
        <v>0</v>
      </c>
      <c r="AO182" s="25">
        <f t="shared" si="263"/>
        <v>4724.6000000000004</v>
      </c>
      <c r="AP182" s="24"/>
      <c r="AQ182" s="21">
        <f t="shared" si="261"/>
        <v>0</v>
      </c>
      <c r="AR182" s="33"/>
      <c r="AS182" s="33"/>
    </row>
    <row r="183" spans="1:45" ht="13.5" customHeight="1">
      <c r="A183" s="110"/>
      <c r="B183" s="110"/>
      <c r="C183" s="110"/>
      <c r="D183" s="36" t="s">
        <v>24</v>
      </c>
      <c r="E183" s="37">
        <f t="shared" si="234"/>
        <v>0</v>
      </c>
      <c r="F183" s="37">
        <f t="shared" si="234"/>
        <v>0</v>
      </c>
      <c r="G183" s="25"/>
      <c r="H183" s="25">
        <f t="shared" si="262"/>
        <v>0</v>
      </c>
      <c r="I183" s="25">
        <f t="shared" si="262"/>
        <v>0</v>
      </c>
      <c r="J183" s="25"/>
      <c r="K183" s="25">
        <f t="shared" si="263"/>
        <v>0</v>
      </c>
      <c r="L183" s="25">
        <f t="shared" si="263"/>
        <v>0</v>
      </c>
      <c r="M183" s="25"/>
      <c r="N183" s="25">
        <f t="shared" si="263"/>
        <v>0</v>
      </c>
      <c r="O183" s="25">
        <f t="shared" si="263"/>
        <v>0</v>
      </c>
      <c r="P183" s="25"/>
      <c r="Q183" s="25">
        <f t="shared" si="263"/>
        <v>0</v>
      </c>
      <c r="R183" s="25">
        <f t="shared" si="263"/>
        <v>0</v>
      </c>
      <c r="S183" s="25"/>
      <c r="T183" s="25">
        <f t="shared" si="263"/>
        <v>0</v>
      </c>
      <c r="U183" s="25">
        <f t="shared" si="263"/>
        <v>0</v>
      </c>
      <c r="V183" s="25"/>
      <c r="W183" s="25">
        <f t="shared" si="263"/>
        <v>0</v>
      </c>
      <c r="X183" s="25">
        <f t="shared" si="263"/>
        <v>0</v>
      </c>
      <c r="Y183" s="25"/>
      <c r="Z183" s="25">
        <f t="shared" si="263"/>
        <v>0</v>
      </c>
      <c r="AA183" s="25"/>
      <c r="AB183" s="25"/>
      <c r="AC183" s="25">
        <f t="shared" si="263"/>
        <v>0</v>
      </c>
      <c r="AD183" s="25">
        <f t="shared" si="263"/>
        <v>0</v>
      </c>
      <c r="AE183" s="25"/>
      <c r="AF183" s="25">
        <f t="shared" si="263"/>
        <v>0</v>
      </c>
      <c r="AG183" s="25"/>
      <c r="AH183" s="25"/>
      <c r="AI183" s="25">
        <f t="shared" si="263"/>
        <v>0</v>
      </c>
      <c r="AJ183" s="25"/>
      <c r="AK183" s="25"/>
      <c r="AL183" s="25">
        <f t="shared" si="263"/>
        <v>0</v>
      </c>
      <c r="AM183" s="25">
        <f t="shared" si="263"/>
        <v>0</v>
      </c>
      <c r="AN183" s="25"/>
      <c r="AO183" s="25">
        <f t="shared" si="263"/>
        <v>0</v>
      </c>
      <c r="AP183" s="24"/>
      <c r="AQ183" s="25"/>
      <c r="AR183" s="33"/>
      <c r="AS183" s="33"/>
    </row>
    <row r="184" spans="1:45" ht="15" customHeight="1">
      <c r="A184" s="43" t="s">
        <v>75</v>
      </c>
      <c r="B184" s="34" t="s">
        <v>15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3"/>
      <c r="AS184" s="33"/>
    </row>
    <row r="185" spans="1:45" ht="22.5" customHeight="1">
      <c r="A185" s="131" t="s">
        <v>76</v>
      </c>
      <c r="B185" s="90" t="s">
        <v>109</v>
      </c>
      <c r="C185" s="90" t="s">
        <v>7</v>
      </c>
      <c r="D185" s="35" t="s">
        <v>4</v>
      </c>
      <c r="E185" s="23">
        <f t="shared" ref="E185:F200" si="264">H185+K185+N185+Q185+T185+W185+Z185+AC185+AF185+AI185+AL185+AO185</f>
        <v>40</v>
      </c>
      <c r="F185" s="23">
        <f t="shared" si="264"/>
        <v>40</v>
      </c>
      <c r="G185" s="24">
        <f>F185/E185*100</f>
        <v>100</v>
      </c>
      <c r="H185" s="23">
        <f>H186+H187+H188+H189</f>
        <v>0</v>
      </c>
      <c r="I185" s="23"/>
      <c r="J185" s="21"/>
      <c r="K185" s="23">
        <f t="shared" ref="K185:AO185" si="265">K186+K187+K188+K189</f>
        <v>0</v>
      </c>
      <c r="L185" s="23"/>
      <c r="M185" s="21"/>
      <c r="N185" s="23">
        <f t="shared" si="265"/>
        <v>40</v>
      </c>
      <c r="O185" s="23">
        <f t="shared" si="265"/>
        <v>40</v>
      </c>
      <c r="P185" s="24">
        <f t="shared" ref="P185:P188" si="266">O185/N185*100</f>
        <v>100</v>
      </c>
      <c r="Q185" s="23">
        <f t="shared" si="265"/>
        <v>0</v>
      </c>
      <c r="R185" s="23"/>
      <c r="S185" s="21"/>
      <c r="T185" s="23">
        <f t="shared" si="265"/>
        <v>0</v>
      </c>
      <c r="U185" s="23"/>
      <c r="V185" s="21"/>
      <c r="W185" s="23">
        <f t="shared" si="265"/>
        <v>0</v>
      </c>
      <c r="X185" s="23"/>
      <c r="Y185" s="21"/>
      <c r="Z185" s="23">
        <f t="shared" si="265"/>
        <v>0</v>
      </c>
      <c r="AA185" s="23"/>
      <c r="AB185" s="21"/>
      <c r="AC185" s="23">
        <f t="shared" si="265"/>
        <v>0</v>
      </c>
      <c r="AD185" s="23"/>
      <c r="AE185" s="21"/>
      <c r="AF185" s="23">
        <f t="shared" si="265"/>
        <v>0</v>
      </c>
      <c r="AG185" s="23"/>
      <c r="AH185" s="21"/>
      <c r="AI185" s="23">
        <f t="shared" si="265"/>
        <v>0</v>
      </c>
      <c r="AJ185" s="23">
        <f t="shared" si="265"/>
        <v>0</v>
      </c>
      <c r="AK185" s="21"/>
      <c r="AL185" s="23">
        <f t="shared" si="265"/>
        <v>0</v>
      </c>
      <c r="AM185" s="23"/>
      <c r="AN185" s="21"/>
      <c r="AO185" s="23">
        <f t="shared" si="265"/>
        <v>0</v>
      </c>
      <c r="AP185" s="23"/>
      <c r="AQ185" s="21" t="e">
        <f t="shared" ref="AQ185:AQ188" si="267">AP185/AO185</f>
        <v>#DIV/0!</v>
      </c>
      <c r="AR185" s="33"/>
      <c r="AS185" s="33"/>
    </row>
    <row r="186" spans="1:45" ht="15" customHeight="1">
      <c r="A186" s="131"/>
      <c r="B186" s="90"/>
      <c r="C186" s="90"/>
      <c r="D186" s="35" t="s">
        <v>23</v>
      </c>
      <c r="E186" s="23">
        <f t="shared" si="264"/>
        <v>0</v>
      </c>
      <c r="F186" s="23">
        <f t="shared" si="264"/>
        <v>0</v>
      </c>
      <c r="G186" s="24"/>
      <c r="H186" s="23"/>
      <c r="I186" s="23"/>
      <c r="J186" s="21"/>
      <c r="K186" s="23"/>
      <c r="L186" s="23"/>
      <c r="M186" s="21"/>
      <c r="N186" s="23"/>
      <c r="O186" s="23"/>
      <c r="P186" s="24"/>
      <c r="Q186" s="23"/>
      <c r="R186" s="23"/>
      <c r="S186" s="21"/>
      <c r="T186" s="23"/>
      <c r="U186" s="23"/>
      <c r="V186" s="21"/>
      <c r="W186" s="23"/>
      <c r="X186" s="23"/>
      <c r="Y186" s="21"/>
      <c r="Z186" s="23"/>
      <c r="AA186" s="23"/>
      <c r="AB186" s="21"/>
      <c r="AC186" s="23"/>
      <c r="AD186" s="23"/>
      <c r="AE186" s="21"/>
      <c r="AF186" s="23"/>
      <c r="AG186" s="23"/>
      <c r="AH186" s="21"/>
      <c r="AI186" s="23"/>
      <c r="AJ186" s="23"/>
      <c r="AK186" s="21"/>
      <c r="AL186" s="23"/>
      <c r="AM186" s="23"/>
      <c r="AN186" s="21"/>
      <c r="AO186" s="23"/>
      <c r="AP186" s="23"/>
      <c r="AQ186" s="21"/>
      <c r="AR186" s="33"/>
      <c r="AS186" s="33"/>
    </row>
    <row r="187" spans="1:45" ht="15" customHeight="1">
      <c r="A187" s="131"/>
      <c r="B187" s="90"/>
      <c r="C187" s="90"/>
      <c r="D187" s="35" t="s">
        <v>5</v>
      </c>
      <c r="E187" s="23">
        <f t="shared" si="264"/>
        <v>0</v>
      </c>
      <c r="F187" s="23">
        <f t="shared" si="264"/>
        <v>0</v>
      </c>
      <c r="G187" s="24"/>
      <c r="H187" s="24"/>
      <c r="I187" s="24"/>
      <c r="J187" s="21"/>
      <c r="K187" s="24"/>
      <c r="L187" s="24"/>
      <c r="M187" s="21"/>
      <c r="N187" s="24"/>
      <c r="O187" s="24"/>
      <c r="P187" s="24"/>
      <c r="Q187" s="24"/>
      <c r="R187" s="24"/>
      <c r="S187" s="21"/>
      <c r="T187" s="24"/>
      <c r="U187" s="24"/>
      <c r="V187" s="21"/>
      <c r="W187" s="24"/>
      <c r="X187" s="24"/>
      <c r="Y187" s="21"/>
      <c r="Z187" s="24"/>
      <c r="AA187" s="24"/>
      <c r="AB187" s="21"/>
      <c r="AC187" s="24"/>
      <c r="AD187" s="24"/>
      <c r="AE187" s="21"/>
      <c r="AF187" s="24"/>
      <c r="AG187" s="24"/>
      <c r="AH187" s="21"/>
      <c r="AI187" s="24"/>
      <c r="AJ187" s="24"/>
      <c r="AK187" s="21"/>
      <c r="AL187" s="24"/>
      <c r="AM187" s="24"/>
      <c r="AN187" s="21"/>
      <c r="AO187" s="24"/>
      <c r="AP187" s="24"/>
      <c r="AQ187" s="21"/>
      <c r="AR187" s="33"/>
      <c r="AS187" s="33"/>
    </row>
    <row r="188" spans="1:45" ht="37.9" customHeight="1">
      <c r="A188" s="131"/>
      <c r="B188" s="90"/>
      <c r="C188" s="90"/>
      <c r="D188" s="35" t="s">
        <v>49</v>
      </c>
      <c r="E188" s="23">
        <f t="shared" si="264"/>
        <v>40</v>
      </c>
      <c r="F188" s="23">
        <f t="shared" si="264"/>
        <v>40</v>
      </c>
      <c r="G188" s="24">
        <f t="shared" ref="G188" si="268">F188/E188*100</f>
        <v>100</v>
      </c>
      <c r="H188" s="24"/>
      <c r="I188" s="24"/>
      <c r="J188" s="21"/>
      <c r="K188" s="24"/>
      <c r="L188" s="24"/>
      <c r="M188" s="21"/>
      <c r="N188" s="24">
        <v>40</v>
      </c>
      <c r="O188" s="24">
        <v>40</v>
      </c>
      <c r="P188" s="24">
        <f t="shared" si="266"/>
        <v>100</v>
      </c>
      <c r="Q188" s="24"/>
      <c r="R188" s="24"/>
      <c r="S188" s="21"/>
      <c r="T188" s="24"/>
      <c r="U188" s="24"/>
      <c r="V188" s="21"/>
      <c r="W188" s="24"/>
      <c r="X188" s="24"/>
      <c r="Y188" s="21"/>
      <c r="Z188" s="24"/>
      <c r="AA188" s="24"/>
      <c r="AB188" s="21"/>
      <c r="AC188" s="24"/>
      <c r="AD188" s="24"/>
      <c r="AE188" s="21"/>
      <c r="AF188" s="24"/>
      <c r="AG188" s="24"/>
      <c r="AH188" s="21"/>
      <c r="AI188" s="24"/>
      <c r="AJ188" s="24"/>
      <c r="AK188" s="21"/>
      <c r="AL188" s="24"/>
      <c r="AM188" s="24"/>
      <c r="AN188" s="21"/>
      <c r="AO188" s="24"/>
      <c r="AP188" s="24"/>
      <c r="AQ188" s="21" t="e">
        <f t="shared" si="267"/>
        <v>#DIV/0!</v>
      </c>
      <c r="AR188" s="83" t="s">
        <v>141</v>
      </c>
      <c r="AS188" s="33"/>
    </row>
    <row r="189" spans="1:45" ht="15.75" customHeight="1">
      <c r="A189" s="131"/>
      <c r="B189" s="90"/>
      <c r="C189" s="90"/>
      <c r="D189" s="35" t="s">
        <v>24</v>
      </c>
      <c r="E189" s="23">
        <f t="shared" si="264"/>
        <v>0</v>
      </c>
      <c r="F189" s="23">
        <f t="shared" si="264"/>
        <v>0</v>
      </c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33"/>
      <c r="AS189" s="33"/>
    </row>
    <row r="190" spans="1:45" ht="15.75" customHeight="1">
      <c r="A190" s="131" t="s">
        <v>77</v>
      </c>
      <c r="B190" s="90" t="s">
        <v>110</v>
      </c>
      <c r="C190" s="90" t="s">
        <v>7</v>
      </c>
      <c r="D190" s="35" t="s">
        <v>4</v>
      </c>
      <c r="E190" s="23">
        <f t="shared" si="264"/>
        <v>0</v>
      </c>
      <c r="F190" s="23">
        <f t="shared" si="264"/>
        <v>0</v>
      </c>
      <c r="G190" s="24"/>
      <c r="H190" s="23">
        <f>H191+H192+H193+H194</f>
        <v>0</v>
      </c>
      <c r="I190" s="23"/>
      <c r="J190" s="24"/>
      <c r="K190" s="23">
        <f t="shared" ref="K190:AO190" si="269">K191+K192+K193+K194</f>
        <v>0</v>
      </c>
      <c r="L190" s="23"/>
      <c r="M190" s="24"/>
      <c r="N190" s="23">
        <f t="shared" si="269"/>
        <v>0</v>
      </c>
      <c r="O190" s="23"/>
      <c r="P190" s="24"/>
      <c r="Q190" s="23">
        <f t="shared" si="269"/>
        <v>0</v>
      </c>
      <c r="R190" s="23"/>
      <c r="S190" s="24"/>
      <c r="T190" s="23">
        <f t="shared" si="269"/>
        <v>0</v>
      </c>
      <c r="U190" s="23"/>
      <c r="V190" s="24"/>
      <c r="W190" s="23">
        <f t="shared" si="269"/>
        <v>0</v>
      </c>
      <c r="X190" s="23"/>
      <c r="Y190" s="24"/>
      <c r="Z190" s="23">
        <f t="shared" si="269"/>
        <v>0</v>
      </c>
      <c r="AA190" s="23"/>
      <c r="AB190" s="24"/>
      <c r="AC190" s="23">
        <f t="shared" si="269"/>
        <v>0</v>
      </c>
      <c r="AD190" s="23"/>
      <c r="AE190" s="24"/>
      <c r="AF190" s="23">
        <f t="shared" si="269"/>
        <v>0</v>
      </c>
      <c r="AG190" s="23"/>
      <c r="AH190" s="24"/>
      <c r="AI190" s="23">
        <f t="shared" si="269"/>
        <v>0</v>
      </c>
      <c r="AJ190" s="23"/>
      <c r="AK190" s="24"/>
      <c r="AL190" s="23">
        <f t="shared" si="269"/>
        <v>0</v>
      </c>
      <c r="AM190" s="23"/>
      <c r="AN190" s="24"/>
      <c r="AO190" s="23">
        <f t="shared" si="269"/>
        <v>0</v>
      </c>
      <c r="AP190" s="23"/>
      <c r="AQ190" s="24"/>
      <c r="AR190" s="33"/>
      <c r="AS190" s="33"/>
    </row>
    <row r="191" spans="1:45">
      <c r="A191" s="131"/>
      <c r="B191" s="90"/>
      <c r="C191" s="90"/>
      <c r="D191" s="35" t="s">
        <v>23</v>
      </c>
      <c r="E191" s="23">
        <f t="shared" si="264"/>
        <v>0</v>
      </c>
      <c r="F191" s="23">
        <f t="shared" si="264"/>
        <v>0</v>
      </c>
      <c r="G191" s="24"/>
      <c r="H191" s="23"/>
      <c r="I191" s="23"/>
      <c r="J191" s="24"/>
      <c r="K191" s="23"/>
      <c r="L191" s="23"/>
      <c r="M191" s="24"/>
      <c r="N191" s="23"/>
      <c r="O191" s="23"/>
      <c r="P191" s="24"/>
      <c r="Q191" s="23"/>
      <c r="R191" s="23"/>
      <c r="S191" s="24"/>
      <c r="T191" s="23"/>
      <c r="U191" s="23"/>
      <c r="V191" s="24"/>
      <c r="W191" s="23"/>
      <c r="X191" s="23"/>
      <c r="Y191" s="24"/>
      <c r="Z191" s="23"/>
      <c r="AA191" s="23"/>
      <c r="AB191" s="24"/>
      <c r="AC191" s="23"/>
      <c r="AD191" s="23"/>
      <c r="AE191" s="24"/>
      <c r="AF191" s="23"/>
      <c r="AG191" s="23"/>
      <c r="AH191" s="24"/>
      <c r="AI191" s="23"/>
      <c r="AJ191" s="23"/>
      <c r="AK191" s="24"/>
      <c r="AL191" s="23"/>
      <c r="AM191" s="23"/>
      <c r="AN191" s="24"/>
      <c r="AO191" s="23"/>
      <c r="AP191" s="23"/>
      <c r="AQ191" s="24"/>
      <c r="AR191" s="33"/>
      <c r="AS191" s="33"/>
    </row>
    <row r="192" spans="1:45" ht="24">
      <c r="A192" s="131"/>
      <c r="B192" s="90"/>
      <c r="C192" s="90"/>
      <c r="D192" s="35" t="s">
        <v>5</v>
      </c>
      <c r="E192" s="23">
        <f t="shared" si="264"/>
        <v>0</v>
      </c>
      <c r="F192" s="23">
        <f t="shared" si="264"/>
        <v>0</v>
      </c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33"/>
      <c r="AS192" s="33"/>
    </row>
    <row r="193" spans="1:45">
      <c r="A193" s="131"/>
      <c r="B193" s="90"/>
      <c r="C193" s="90"/>
      <c r="D193" s="35" t="s">
        <v>49</v>
      </c>
      <c r="E193" s="23">
        <f t="shared" si="264"/>
        <v>0</v>
      </c>
      <c r="F193" s="23">
        <f t="shared" si="264"/>
        <v>0</v>
      </c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33"/>
      <c r="AS193" s="33"/>
    </row>
    <row r="194" spans="1:45" ht="15.75" customHeight="1">
      <c r="A194" s="131"/>
      <c r="B194" s="90"/>
      <c r="C194" s="90"/>
      <c r="D194" s="35" t="s">
        <v>24</v>
      </c>
      <c r="E194" s="23">
        <f t="shared" si="264"/>
        <v>0</v>
      </c>
      <c r="F194" s="23">
        <f t="shared" si="264"/>
        <v>0</v>
      </c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33"/>
      <c r="AS194" s="33"/>
    </row>
    <row r="195" spans="1:45" ht="15.75" customHeight="1">
      <c r="A195" s="131" t="s">
        <v>78</v>
      </c>
      <c r="B195" s="90" t="s">
        <v>111</v>
      </c>
      <c r="C195" s="90" t="s">
        <v>7</v>
      </c>
      <c r="D195" s="35" t="s">
        <v>4</v>
      </c>
      <c r="E195" s="23">
        <f t="shared" si="264"/>
        <v>105</v>
      </c>
      <c r="F195" s="23">
        <f t="shared" si="264"/>
        <v>104.6</v>
      </c>
      <c r="G195" s="24">
        <f>F195/E195*100</f>
        <v>99.61904761904762</v>
      </c>
      <c r="H195" s="23">
        <f>H196+H197+H198+H199</f>
        <v>0</v>
      </c>
      <c r="I195" s="23"/>
      <c r="J195" s="24"/>
      <c r="K195" s="23">
        <f t="shared" ref="K195:AO195" si="270">K196+K197+K198+K199</f>
        <v>0</v>
      </c>
      <c r="L195" s="23"/>
      <c r="M195" s="24"/>
      <c r="N195" s="23">
        <f t="shared" si="270"/>
        <v>0</v>
      </c>
      <c r="O195" s="23"/>
      <c r="P195" s="24"/>
      <c r="Q195" s="23">
        <f t="shared" si="270"/>
        <v>0</v>
      </c>
      <c r="R195" s="23"/>
      <c r="S195" s="24"/>
      <c r="T195" s="23">
        <f t="shared" si="270"/>
        <v>0</v>
      </c>
      <c r="U195" s="23"/>
      <c r="V195" s="24"/>
      <c r="W195" s="23">
        <f t="shared" si="270"/>
        <v>0</v>
      </c>
      <c r="X195" s="23"/>
      <c r="Y195" s="24"/>
      <c r="Z195" s="23">
        <f t="shared" si="270"/>
        <v>35</v>
      </c>
      <c r="AA195" s="23">
        <f t="shared" si="270"/>
        <v>35</v>
      </c>
      <c r="AB195" s="24">
        <f>AA195/Z195*100</f>
        <v>100</v>
      </c>
      <c r="AC195" s="23">
        <f t="shared" si="270"/>
        <v>35</v>
      </c>
      <c r="AD195" s="23">
        <f t="shared" si="270"/>
        <v>0</v>
      </c>
      <c r="AE195" s="24">
        <f>AD195/AC195*100</f>
        <v>0</v>
      </c>
      <c r="AF195" s="23">
        <f t="shared" si="270"/>
        <v>35</v>
      </c>
      <c r="AG195" s="23">
        <f t="shared" si="270"/>
        <v>69.599999999999994</v>
      </c>
      <c r="AH195" s="24">
        <f>AG195/AF195*100</f>
        <v>198.85714285714283</v>
      </c>
      <c r="AI195" s="23">
        <f t="shared" si="270"/>
        <v>0</v>
      </c>
      <c r="AJ195" s="23"/>
      <c r="AK195" s="24"/>
      <c r="AL195" s="23">
        <f t="shared" si="270"/>
        <v>0</v>
      </c>
      <c r="AM195" s="23"/>
      <c r="AN195" s="24"/>
      <c r="AO195" s="23">
        <f t="shared" si="270"/>
        <v>0</v>
      </c>
      <c r="AP195" s="23"/>
      <c r="AQ195" s="24"/>
      <c r="AR195" s="33"/>
      <c r="AS195" s="33"/>
    </row>
    <row r="196" spans="1:45">
      <c r="A196" s="131"/>
      <c r="B196" s="90"/>
      <c r="C196" s="90"/>
      <c r="D196" s="35" t="s">
        <v>23</v>
      </c>
      <c r="E196" s="23">
        <f t="shared" si="264"/>
        <v>0</v>
      </c>
      <c r="F196" s="23">
        <f t="shared" si="264"/>
        <v>0</v>
      </c>
      <c r="G196" s="24"/>
      <c r="H196" s="23"/>
      <c r="I196" s="23"/>
      <c r="J196" s="24"/>
      <c r="K196" s="23"/>
      <c r="L196" s="23"/>
      <c r="M196" s="24"/>
      <c r="N196" s="23"/>
      <c r="O196" s="23"/>
      <c r="P196" s="24"/>
      <c r="Q196" s="23"/>
      <c r="R196" s="23"/>
      <c r="S196" s="24"/>
      <c r="T196" s="23"/>
      <c r="U196" s="23"/>
      <c r="V196" s="24"/>
      <c r="W196" s="23"/>
      <c r="X196" s="23"/>
      <c r="Y196" s="24"/>
      <c r="Z196" s="23"/>
      <c r="AA196" s="23"/>
      <c r="AB196" s="24"/>
      <c r="AC196" s="23"/>
      <c r="AD196" s="23"/>
      <c r="AE196" s="24"/>
      <c r="AF196" s="23"/>
      <c r="AG196" s="23"/>
      <c r="AH196" s="24"/>
      <c r="AI196" s="23"/>
      <c r="AJ196" s="23"/>
      <c r="AK196" s="24"/>
      <c r="AL196" s="23"/>
      <c r="AM196" s="23"/>
      <c r="AN196" s="24"/>
      <c r="AO196" s="23"/>
      <c r="AP196" s="23"/>
      <c r="AQ196" s="24"/>
      <c r="AR196" s="33"/>
      <c r="AS196" s="33"/>
    </row>
    <row r="197" spans="1:45" ht="24">
      <c r="A197" s="131"/>
      <c r="B197" s="90"/>
      <c r="C197" s="90"/>
      <c r="D197" s="35" t="s">
        <v>5</v>
      </c>
      <c r="E197" s="23">
        <f t="shared" si="264"/>
        <v>0</v>
      </c>
      <c r="F197" s="23">
        <f t="shared" si="264"/>
        <v>0</v>
      </c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33"/>
      <c r="AS197" s="33"/>
    </row>
    <row r="198" spans="1:45" ht="39.75" customHeight="1">
      <c r="A198" s="131"/>
      <c r="B198" s="90"/>
      <c r="C198" s="90"/>
      <c r="D198" s="35" t="s">
        <v>49</v>
      </c>
      <c r="E198" s="23">
        <f t="shared" si="264"/>
        <v>105</v>
      </c>
      <c r="F198" s="23">
        <f t="shared" si="264"/>
        <v>104.6</v>
      </c>
      <c r="G198" s="24">
        <f t="shared" ref="G198" si="271">F198/E198*100</f>
        <v>99.61904761904762</v>
      </c>
      <c r="H198" s="23"/>
      <c r="I198" s="23"/>
      <c r="J198" s="24"/>
      <c r="K198" s="23"/>
      <c r="L198" s="23"/>
      <c r="M198" s="24"/>
      <c r="N198" s="23"/>
      <c r="O198" s="23"/>
      <c r="P198" s="24"/>
      <c r="Q198" s="23"/>
      <c r="R198" s="23"/>
      <c r="S198" s="24"/>
      <c r="T198" s="23"/>
      <c r="U198" s="23"/>
      <c r="V198" s="24"/>
      <c r="W198" s="23"/>
      <c r="X198" s="23"/>
      <c r="Y198" s="24"/>
      <c r="Z198" s="24">
        <v>35</v>
      </c>
      <c r="AA198" s="24">
        <v>35</v>
      </c>
      <c r="AB198" s="24">
        <f t="shared" ref="AB198" si="272">AA198/Z198*100</f>
        <v>100</v>
      </c>
      <c r="AC198" s="24">
        <v>35</v>
      </c>
      <c r="AD198" s="24">
        <v>0</v>
      </c>
      <c r="AE198" s="24">
        <f t="shared" ref="AE198" si="273">AD198/AC198*100</f>
        <v>0</v>
      </c>
      <c r="AF198" s="24">
        <v>35</v>
      </c>
      <c r="AG198" s="23">
        <v>69.599999999999994</v>
      </c>
      <c r="AH198" s="24">
        <f t="shared" ref="AH198" si="274">AG198/AF198*100</f>
        <v>198.85714285714283</v>
      </c>
      <c r="AI198" s="23"/>
      <c r="AJ198" s="23"/>
      <c r="AK198" s="24"/>
      <c r="AL198" s="23"/>
      <c r="AM198" s="23"/>
      <c r="AN198" s="24"/>
      <c r="AO198" s="23"/>
      <c r="AP198" s="23"/>
      <c r="AQ198" s="24"/>
      <c r="AR198" s="83" t="s">
        <v>192</v>
      </c>
      <c r="AS198" s="83" t="s">
        <v>191</v>
      </c>
    </row>
    <row r="199" spans="1:45" ht="15.75" customHeight="1">
      <c r="A199" s="131"/>
      <c r="B199" s="90"/>
      <c r="C199" s="90"/>
      <c r="D199" s="35" t="s">
        <v>24</v>
      </c>
      <c r="E199" s="23">
        <f t="shared" si="264"/>
        <v>0</v>
      </c>
      <c r="F199" s="23">
        <f t="shared" si="264"/>
        <v>0</v>
      </c>
      <c r="G199" s="24"/>
      <c r="H199" s="23"/>
      <c r="I199" s="23"/>
      <c r="J199" s="24"/>
      <c r="K199" s="23"/>
      <c r="L199" s="23"/>
      <c r="M199" s="24"/>
      <c r="N199" s="23"/>
      <c r="O199" s="23"/>
      <c r="P199" s="24"/>
      <c r="Q199" s="23"/>
      <c r="R199" s="23"/>
      <c r="S199" s="24"/>
      <c r="T199" s="23"/>
      <c r="U199" s="23"/>
      <c r="V199" s="24"/>
      <c r="W199" s="23"/>
      <c r="X199" s="23"/>
      <c r="Y199" s="24"/>
      <c r="Z199" s="23"/>
      <c r="AA199" s="23"/>
      <c r="AB199" s="24"/>
      <c r="AC199" s="23"/>
      <c r="AD199" s="23"/>
      <c r="AE199" s="24"/>
      <c r="AF199" s="23"/>
      <c r="AG199" s="23"/>
      <c r="AH199" s="24"/>
      <c r="AI199" s="23"/>
      <c r="AJ199" s="23"/>
      <c r="AK199" s="24"/>
      <c r="AL199" s="23"/>
      <c r="AM199" s="23"/>
      <c r="AN199" s="24"/>
      <c r="AO199" s="23"/>
      <c r="AP199" s="23"/>
      <c r="AQ199" s="24"/>
      <c r="AR199" s="33"/>
      <c r="AS199" s="33"/>
    </row>
    <row r="200" spans="1:45" ht="15.75" customHeight="1">
      <c r="A200" s="131" t="s">
        <v>79</v>
      </c>
      <c r="B200" s="90" t="s">
        <v>112</v>
      </c>
      <c r="C200" s="90" t="s">
        <v>7</v>
      </c>
      <c r="D200" s="35" t="s">
        <v>4</v>
      </c>
      <c r="E200" s="23">
        <f t="shared" si="264"/>
        <v>70.099999999999994</v>
      </c>
      <c r="F200" s="23">
        <f t="shared" si="264"/>
        <v>1</v>
      </c>
      <c r="G200" s="24">
        <f>F200/E200*100</f>
        <v>1.4265335235378032</v>
      </c>
      <c r="H200" s="23">
        <f>H201+H202+H203+H204</f>
        <v>0</v>
      </c>
      <c r="I200" s="23"/>
      <c r="J200" s="21"/>
      <c r="K200" s="23">
        <f t="shared" ref="K200:AO200" si="275">K201+K202+K203+K204</f>
        <v>20</v>
      </c>
      <c r="L200" s="23">
        <f t="shared" si="275"/>
        <v>0</v>
      </c>
      <c r="M200" s="21"/>
      <c r="N200" s="23">
        <f t="shared" si="275"/>
        <v>-19</v>
      </c>
      <c r="O200" s="23">
        <f t="shared" si="275"/>
        <v>1</v>
      </c>
      <c r="P200" s="24">
        <f t="shared" ref="P200:P203" si="276">O200/N200*100</f>
        <v>-5.2631578947368416</v>
      </c>
      <c r="Q200" s="23">
        <f t="shared" si="275"/>
        <v>0</v>
      </c>
      <c r="R200" s="23"/>
      <c r="S200" s="21"/>
      <c r="T200" s="23">
        <f t="shared" si="275"/>
        <v>0</v>
      </c>
      <c r="U200" s="23"/>
      <c r="V200" s="21"/>
      <c r="W200" s="23">
        <f t="shared" si="275"/>
        <v>0</v>
      </c>
      <c r="X200" s="23">
        <f t="shared" si="275"/>
        <v>0</v>
      </c>
      <c r="Y200" s="21"/>
      <c r="Z200" s="23">
        <f t="shared" si="275"/>
        <v>0</v>
      </c>
      <c r="AA200" s="23"/>
      <c r="AB200" s="21"/>
      <c r="AC200" s="23">
        <f t="shared" si="275"/>
        <v>0</v>
      </c>
      <c r="AD200" s="23">
        <f t="shared" si="275"/>
        <v>0</v>
      </c>
      <c r="AE200" s="24"/>
      <c r="AF200" s="23">
        <f t="shared" si="275"/>
        <v>0</v>
      </c>
      <c r="AG200" s="23"/>
      <c r="AH200" s="21"/>
      <c r="AI200" s="23">
        <f t="shared" si="275"/>
        <v>0</v>
      </c>
      <c r="AJ200" s="23"/>
      <c r="AK200" s="21"/>
      <c r="AL200" s="23">
        <f t="shared" si="275"/>
        <v>0</v>
      </c>
      <c r="AM200" s="23"/>
      <c r="AN200" s="21"/>
      <c r="AO200" s="23">
        <f t="shared" si="275"/>
        <v>69.099999999999994</v>
      </c>
      <c r="AP200" s="23"/>
      <c r="AQ200" s="21">
        <f t="shared" ref="AQ200:AQ203" si="277">AP200/AO200</f>
        <v>0</v>
      </c>
      <c r="AR200" s="33"/>
      <c r="AS200" s="33"/>
    </row>
    <row r="201" spans="1:45">
      <c r="A201" s="131"/>
      <c r="B201" s="90"/>
      <c r="C201" s="90"/>
      <c r="D201" s="35" t="s">
        <v>23</v>
      </c>
      <c r="E201" s="23">
        <f t="shared" ref="E201:F214" si="278">H201+K201+N201+Q201+T201+W201+Z201+AC201+AF201+AI201+AL201+AO201</f>
        <v>0</v>
      </c>
      <c r="F201" s="23">
        <f t="shared" si="278"/>
        <v>0</v>
      </c>
      <c r="G201" s="24"/>
      <c r="H201" s="23"/>
      <c r="I201" s="23"/>
      <c r="J201" s="21"/>
      <c r="K201" s="23"/>
      <c r="L201" s="23"/>
      <c r="M201" s="21"/>
      <c r="N201" s="23"/>
      <c r="O201" s="23"/>
      <c r="P201" s="24"/>
      <c r="Q201" s="23"/>
      <c r="R201" s="23"/>
      <c r="S201" s="21"/>
      <c r="T201" s="23"/>
      <c r="U201" s="23"/>
      <c r="V201" s="21"/>
      <c r="W201" s="23"/>
      <c r="X201" s="23"/>
      <c r="Y201" s="21"/>
      <c r="Z201" s="23"/>
      <c r="AA201" s="23"/>
      <c r="AB201" s="21"/>
      <c r="AC201" s="23"/>
      <c r="AD201" s="23"/>
      <c r="AE201" s="24"/>
      <c r="AF201" s="23"/>
      <c r="AG201" s="23"/>
      <c r="AH201" s="21"/>
      <c r="AI201" s="23"/>
      <c r="AJ201" s="23"/>
      <c r="AK201" s="21"/>
      <c r="AL201" s="23"/>
      <c r="AM201" s="23"/>
      <c r="AN201" s="21"/>
      <c r="AO201" s="23"/>
      <c r="AP201" s="23"/>
      <c r="AQ201" s="21"/>
      <c r="AR201" s="33"/>
      <c r="AS201" s="33"/>
    </row>
    <row r="202" spans="1:45" ht="24">
      <c r="A202" s="131"/>
      <c r="B202" s="90"/>
      <c r="C202" s="90"/>
      <c r="D202" s="35" t="s">
        <v>5</v>
      </c>
      <c r="E202" s="23">
        <f t="shared" si="278"/>
        <v>0</v>
      </c>
      <c r="F202" s="23">
        <f t="shared" si="278"/>
        <v>0</v>
      </c>
      <c r="G202" s="24"/>
      <c r="H202" s="24"/>
      <c r="I202" s="24"/>
      <c r="J202" s="21"/>
      <c r="K202" s="24"/>
      <c r="L202" s="24"/>
      <c r="M202" s="21"/>
      <c r="N202" s="24"/>
      <c r="O202" s="24"/>
      <c r="P202" s="24"/>
      <c r="Q202" s="24"/>
      <c r="R202" s="24"/>
      <c r="S202" s="21"/>
      <c r="T202" s="24"/>
      <c r="U202" s="24"/>
      <c r="V202" s="21"/>
      <c r="W202" s="24"/>
      <c r="X202" s="24"/>
      <c r="Y202" s="21"/>
      <c r="Z202" s="24"/>
      <c r="AA202" s="24"/>
      <c r="AB202" s="21"/>
      <c r="AC202" s="24"/>
      <c r="AD202" s="24"/>
      <c r="AE202" s="24"/>
      <c r="AF202" s="24"/>
      <c r="AG202" s="24"/>
      <c r="AH202" s="21"/>
      <c r="AI202" s="24"/>
      <c r="AJ202" s="24"/>
      <c r="AK202" s="21"/>
      <c r="AL202" s="24"/>
      <c r="AM202" s="24"/>
      <c r="AN202" s="21"/>
      <c r="AO202" s="24"/>
      <c r="AP202" s="24"/>
      <c r="AQ202" s="21"/>
      <c r="AR202" s="33"/>
      <c r="AS202" s="33"/>
    </row>
    <row r="203" spans="1:45" ht="25.9" customHeight="1">
      <c r="A203" s="131"/>
      <c r="B203" s="90"/>
      <c r="C203" s="90"/>
      <c r="D203" s="35" t="s">
        <v>49</v>
      </c>
      <c r="E203" s="23">
        <f t="shared" si="278"/>
        <v>70.099999999999994</v>
      </c>
      <c r="F203" s="23">
        <f t="shared" si="278"/>
        <v>1</v>
      </c>
      <c r="G203" s="24">
        <f t="shared" ref="G203" si="279">F203/E203*100</f>
        <v>1.4265335235378032</v>
      </c>
      <c r="H203" s="23"/>
      <c r="I203" s="23"/>
      <c r="J203" s="21"/>
      <c r="K203" s="23">
        <v>20</v>
      </c>
      <c r="L203" s="23">
        <v>0</v>
      </c>
      <c r="M203" s="21"/>
      <c r="N203" s="23">
        <f>30-49</f>
        <v>-19</v>
      </c>
      <c r="O203" s="23">
        <v>1</v>
      </c>
      <c r="P203" s="24">
        <f t="shared" si="276"/>
        <v>-5.2631578947368416</v>
      </c>
      <c r="Q203" s="23"/>
      <c r="R203" s="23"/>
      <c r="S203" s="21"/>
      <c r="T203" s="23"/>
      <c r="U203" s="23"/>
      <c r="V203" s="21"/>
      <c r="W203" s="23"/>
      <c r="X203" s="23"/>
      <c r="Y203" s="21"/>
      <c r="Z203" s="23"/>
      <c r="AA203" s="23"/>
      <c r="AB203" s="21"/>
      <c r="AC203" s="23"/>
      <c r="AD203" s="23"/>
      <c r="AE203" s="24"/>
      <c r="AF203" s="23"/>
      <c r="AG203" s="23"/>
      <c r="AH203" s="21"/>
      <c r="AI203" s="23"/>
      <c r="AJ203" s="23"/>
      <c r="AK203" s="21"/>
      <c r="AL203" s="23"/>
      <c r="AM203" s="23"/>
      <c r="AN203" s="21"/>
      <c r="AO203" s="23">
        <f>20.1+49</f>
        <v>69.099999999999994</v>
      </c>
      <c r="AP203" s="23"/>
      <c r="AQ203" s="21">
        <f t="shared" si="277"/>
        <v>0</v>
      </c>
      <c r="AR203" s="83" t="s">
        <v>142</v>
      </c>
      <c r="AS203" s="83"/>
    </row>
    <row r="204" spans="1:45" ht="15.75" customHeight="1">
      <c r="A204" s="131"/>
      <c r="B204" s="90"/>
      <c r="C204" s="90"/>
      <c r="D204" s="35" t="s">
        <v>24</v>
      </c>
      <c r="E204" s="23">
        <f t="shared" si="278"/>
        <v>0</v>
      </c>
      <c r="F204" s="23">
        <f t="shared" si="278"/>
        <v>0</v>
      </c>
      <c r="G204" s="24"/>
      <c r="H204" s="23"/>
      <c r="I204" s="23"/>
      <c r="J204" s="24"/>
      <c r="K204" s="23"/>
      <c r="L204" s="23"/>
      <c r="M204" s="24"/>
      <c r="N204" s="23"/>
      <c r="O204" s="23"/>
      <c r="P204" s="24"/>
      <c r="Q204" s="23"/>
      <c r="R204" s="23"/>
      <c r="S204" s="24"/>
      <c r="T204" s="23"/>
      <c r="U204" s="23"/>
      <c r="V204" s="24"/>
      <c r="W204" s="23"/>
      <c r="X204" s="23"/>
      <c r="Y204" s="24"/>
      <c r="Z204" s="23"/>
      <c r="AA204" s="23"/>
      <c r="AB204" s="24"/>
      <c r="AC204" s="23"/>
      <c r="AD204" s="23"/>
      <c r="AE204" s="24"/>
      <c r="AF204" s="23"/>
      <c r="AG204" s="23"/>
      <c r="AH204" s="24"/>
      <c r="AI204" s="23"/>
      <c r="AJ204" s="23"/>
      <c r="AK204" s="24"/>
      <c r="AL204" s="23"/>
      <c r="AM204" s="23"/>
      <c r="AN204" s="24"/>
      <c r="AO204" s="23"/>
      <c r="AP204" s="23"/>
      <c r="AQ204" s="24"/>
      <c r="AR204" s="33"/>
      <c r="AS204" s="33"/>
    </row>
    <row r="205" spans="1:45" ht="15.75" customHeight="1">
      <c r="A205" s="132" t="s">
        <v>80</v>
      </c>
      <c r="B205" s="90" t="s">
        <v>113</v>
      </c>
      <c r="C205" s="90" t="s">
        <v>7</v>
      </c>
      <c r="D205" s="35" t="s">
        <v>4</v>
      </c>
      <c r="E205" s="23">
        <f t="shared" si="278"/>
        <v>87307.700000000012</v>
      </c>
      <c r="F205" s="23">
        <f t="shared" si="278"/>
        <v>22496.413199999999</v>
      </c>
      <c r="G205" s="24">
        <f>F205/E205*100</f>
        <v>25.766814610853334</v>
      </c>
      <c r="H205" s="23">
        <f>H206+H207+H208+H209</f>
        <v>0</v>
      </c>
      <c r="I205" s="23"/>
      <c r="J205" s="21"/>
      <c r="K205" s="23">
        <f t="shared" ref="K205:AO205" si="280">K206+K207+K208+K209</f>
        <v>6758</v>
      </c>
      <c r="L205" s="23">
        <f t="shared" si="280"/>
        <v>6357.2000000000007</v>
      </c>
      <c r="M205" s="24">
        <f t="shared" ref="M205:M208" si="281">L205/K205*100</f>
        <v>94.069251257768585</v>
      </c>
      <c r="N205" s="23">
        <f t="shared" si="280"/>
        <v>6521.2</v>
      </c>
      <c r="O205" s="23">
        <f t="shared" si="280"/>
        <v>6921.9995999999992</v>
      </c>
      <c r="P205" s="24">
        <f t="shared" ref="P205:P208" si="282">O205/N205*100</f>
        <v>106.1461019444274</v>
      </c>
      <c r="Q205" s="23">
        <f t="shared" si="280"/>
        <v>6130.1</v>
      </c>
      <c r="R205" s="23">
        <f t="shared" si="280"/>
        <v>6130.1</v>
      </c>
      <c r="S205" s="24">
        <f>R205/Q205*100</f>
        <v>100</v>
      </c>
      <c r="T205" s="23">
        <f t="shared" si="280"/>
        <v>3086.1</v>
      </c>
      <c r="U205" s="23">
        <f t="shared" si="280"/>
        <v>3086.1136000000006</v>
      </c>
      <c r="V205" s="24">
        <f>U205/T205*100</f>
        <v>100.00044068565505</v>
      </c>
      <c r="W205" s="23">
        <f t="shared" si="280"/>
        <v>1</v>
      </c>
      <c r="X205" s="24">
        <f t="shared" si="280"/>
        <v>1</v>
      </c>
      <c r="Y205" s="24"/>
      <c r="Z205" s="23">
        <f t="shared" si="280"/>
        <v>0</v>
      </c>
      <c r="AA205" s="23">
        <f t="shared" si="280"/>
        <v>0</v>
      </c>
      <c r="AB205" s="24"/>
      <c r="AC205" s="23">
        <f t="shared" si="280"/>
        <v>0</v>
      </c>
      <c r="AD205" s="23">
        <f t="shared" si="280"/>
        <v>0</v>
      </c>
      <c r="AE205" s="21"/>
      <c r="AF205" s="23">
        <f t="shared" si="280"/>
        <v>0</v>
      </c>
      <c r="AG205" s="23"/>
      <c r="AH205" s="21"/>
      <c r="AI205" s="23">
        <f t="shared" si="280"/>
        <v>16526</v>
      </c>
      <c r="AJ205" s="23">
        <f t="shared" si="280"/>
        <v>0</v>
      </c>
      <c r="AK205" s="24">
        <f>AJ205/AI205*100</f>
        <v>0</v>
      </c>
      <c r="AL205" s="23">
        <f t="shared" si="280"/>
        <v>13624</v>
      </c>
      <c r="AM205" s="23">
        <f t="shared" si="280"/>
        <v>0</v>
      </c>
      <c r="AN205" s="24">
        <f>AM205/AL205*100</f>
        <v>0</v>
      </c>
      <c r="AO205" s="23">
        <f t="shared" si="280"/>
        <v>34661.300000000003</v>
      </c>
      <c r="AP205" s="23"/>
      <c r="AQ205" s="21">
        <f t="shared" ref="AQ205:AQ213" si="283">AP205/AO205</f>
        <v>0</v>
      </c>
      <c r="AR205" s="33"/>
      <c r="AS205" s="33"/>
    </row>
    <row r="206" spans="1:45">
      <c r="A206" s="132"/>
      <c r="B206" s="90"/>
      <c r="C206" s="90"/>
      <c r="D206" s="35" t="s">
        <v>23</v>
      </c>
      <c r="E206" s="23">
        <f t="shared" si="278"/>
        <v>2144.1999999999998</v>
      </c>
      <c r="F206" s="23">
        <f t="shared" si="278"/>
        <v>0</v>
      </c>
      <c r="G206" s="24"/>
      <c r="H206" s="23"/>
      <c r="I206" s="23"/>
      <c r="J206" s="21"/>
      <c r="K206" s="23"/>
      <c r="L206" s="23"/>
      <c r="M206" s="24"/>
      <c r="N206" s="23"/>
      <c r="O206" s="23"/>
      <c r="P206" s="24"/>
      <c r="Q206" s="23"/>
      <c r="R206" s="23"/>
      <c r="S206" s="24"/>
      <c r="T206" s="23"/>
      <c r="U206" s="23"/>
      <c r="V206" s="24"/>
      <c r="W206" s="23"/>
      <c r="X206" s="24"/>
      <c r="Y206" s="24"/>
      <c r="Z206" s="23"/>
      <c r="AA206" s="23"/>
      <c r="AB206" s="24"/>
      <c r="AC206" s="23"/>
      <c r="AD206" s="23"/>
      <c r="AE206" s="21"/>
      <c r="AF206" s="23"/>
      <c r="AG206" s="23"/>
      <c r="AH206" s="21"/>
      <c r="AI206" s="23">
        <v>623</v>
      </c>
      <c r="AJ206" s="23"/>
      <c r="AK206" s="24"/>
      <c r="AL206" s="23">
        <v>562</v>
      </c>
      <c r="AM206" s="23"/>
      <c r="AN206" s="24"/>
      <c r="AO206" s="23">
        <v>959.2</v>
      </c>
      <c r="AP206" s="23"/>
      <c r="AQ206" s="21"/>
      <c r="AR206" s="107" t="s">
        <v>193</v>
      </c>
      <c r="AS206" s="133"/>
    </row>
    <row r="207" spans="1:45" ht="24.6" customHeight="1">
      <c r="A207" s="132"/>
      <c r="B207" s="90"/>
      <c r="C207" s="90"/>
      <c r="D207" s="35" t="s">
        <v>5</v>
      </c>
      <c r="E207" s="23">
        <f t="shared" si="278"/>
        <v>69231.899999999994</v>
      </c>
      <c r="F207" s="23">
        <f t="shared" si="278"/>
        <v>19287.413199999999</v>
      </c>
      <c r="G207" s="24">
        <f>F207/E207*100</f>
        <v>27.859141811794853</v>
      </c>
      <c r="H207" s="24">
        <v>0</v>
      </c>
      <c r="I207" s="24"/>
      <c r="J207" s="21"/>
      <c r="K207" s="24">
        <v>5176</v>
      </c>
      <c r="L207" s="24">
        <v>4848.6000000000004</v>
      </c>
      <c r="M207" s="24">
        <f t="shared" si="281"/>
        <v>93.674652241112838</v>
      </c>
      <c r="N207" s="24">
        <f>4826+794.5</f>
        <v>5620.5</v>
      </c>
      <c r="O207" s="24">
        <v>5947.8995999999988</v>
      </c>
      <c r="P207" s="24">
        <f t="shared" si="282"/>
        <v>105.82509741126232</v>
      </c>
      <c r="Q207" s="24">
        <v>5403.8</v>
      </c>
      <c r="R207" s="24">
        <v>5403.8</v>
      </c>
      <c r="S207" s="24">
        <f>R207/Q207*100</f>
        <v>100</v>
      </c>
      <c r="T207" s="24">
        <v>3086.1</v>
      </c>
      <c r="U207" s="24">
        <v>3086.1136000000006</v>
      </c>
      <c r="V207" s="24">
        <f>U207/T207*100</f>
        <v>100.00044068565505</v>
      </c>
      <c r="W207" s="24">
        <f>5062-3415-1646</f>
        <v>1</v>
      </c>
      <c r="X207" s="24">
        <v>1</v>
      </c>
      <c r="Y207" s="24"/>
      <c r="Z207" s="24"/>
      <c r="AA207" s="24"/>
      <c r="AB207" s="24"/>
      <c r="AC207" s="24"/>
      <c r="AD207" s="24"/>
      <c r="AE207" s="21"/>
      <c r="AF207" s="24"/>
      <c r="AG207" s="24"/>
      <c r="AH207" s="21"/>
      <c r="AI207" s="24">
        <f>9601.5+3238.2</f>
        <v>12839.7</v>
      </c>
      <c r="AJ207" s="24"/>
      <c r="AK207" s="24">
        <f>AJ207/AI207*100</f>
        <v>0</v>
      </c>
      <c r="AL207" s="24">
        <f>7941.4+2895.4</f>
        <v>10836.8</v>
      </c>
      <c r="AM207" s="24"/>
      <c r="AN207" s="24">
        <f>AM207/AL207*100</f>
        <v>0</v>
      </c>
      <c r="AO207" s="24">
        <f>14501.6+11766.4</f>
        <v>26268</v>
      </c>
      <c r="AP207" s="24"/>
      <c r="AQ207" s="21">
        <f t="shared" si="283"/>
        <v>0</v>
      </c>
      <c r="AR207" s="108"/>
      <c r="AS207" s="134"/>
    </row>
    <row r="208" spans="1:45" ht="24.6" customHeight="1">
      <c r="A208" s="132"/>
      <c r="B208" s="90"/>
      <c r="C208" s="90"/>
      <c r="D208" s="35" t="s">
        <v>49</v>
      </c>
      <c r="E208" s="23">
        <f t="shared" si="278"/>
        <v>15931.6</v>
      </c>
      <c r="F208" s="23">
        <f t="shared" si="278"/>
        <v>3209</v>
      </c>
      <c r="G208" s="24">
        <f>F208/E208*100</f>
        <v>20.142358582942077</v>
      </c>
      <c r="H208" s="23"/>
      <c r="I208" s="23"/>
      <c r="J208" s="21"/>
      <c r="K208" s="23">
        <v>1582</v>
      </c>
      <c r="L208" s="23">
        <v>1508.6</v>
      </c>
      <c r="M208" s="24">
        <f t="shared" si="281"/>
        <v>95.360303413400743</v>
      </c>
      <c r="N208" s="23">
        <f>1431.1-530.4</f>
        <v>900.69999999999993</v>
      </c>
      <c r="O208" s="23">
        <v>974.1</v>
      </c>
      <c r="P208" s="24">
        <f t="shared" si="282"/>
        <v>108.14921727545243</v>
      </c>
      <c r="Q208" s="23">
        <f>1655.9-686.1-243.5</f>
        <v>726.30000000000007</v>
      </c>
      <c r="R208" s="23">
        <v>726.3</v>
      </c>
      <c r="S208" s="24">
        <f>R208/Q208*100</f>
        <v>99.999999999999986</v>
      </c>
      <c r="T208" s="23">
        <f>1962.9-308.2-1654.7</f>
        <v>0</v>
      </c>
      <c r="U208" s="23">
        <v>0</v>
      </c>
      <c r="V208" s="24"/>
      <c r="W208" s="23">
        <f>1415.9+20.1-1436</f>
        <v>0</v>
      </c>
      <c r="X208" s="24"/>
      <c r="Y208" s="24"/>
      <c r="Z208" s="23"/>
      <c r="AA208" s="23"/>
      <c r="AB208" s="21"/>
      <c r="AC208" s="23"/>
      <c r="AD208" s="23"/>
      <c r="AE208" s="21"/>
      <c r="AF208" s="23"/>
      <c r="AG208" s="23"/>
      <c r="AH208" s="21"/>
      <c r="AI208" s="23">
        <v>3063.3</v>
      </c>
      <c r="AJ208" s="23"/>
      <c r="AK208" s="24">
        <f>AJ208/AI208*100</f>
        <v>0</v>
      </c>
      <c r="AL208" s="23">
        <v>2225.1999999999998</v>
      </c>
      <c r="AM208" s="23"/>
      <c r="AN208" s="24">
        <f>AM208/AL208*100</f>
        <v>0</v>
      </c>
      <c r="AO208" s="23">
        <v>7434.1</v>
      </c>
      <c r="AP208" s="23"/>
      <c r="AQ208" s="21"/>
      <c r="AR208" s="109"/>
      <c r="AS208" s="135"/>
    </row>
    <row r="209" spans="1:45" ht="15.75" customHeight="1">
      <c r="A209" s="132"/>
      <c r="B209" s="90"/>
      <c r="C209" s="90"/>
      <c r="D209" s="35" t="s">
        <v>24</v>
      </c>
      <c r="E209" s="23">
        <f t="shared" si="278"/>
        <v>0</v>
      </c>
      <c r="F209" s="23">
        <f t="shared" si="278"/>
        <v>0</v>
      </c>
      <c r="G209" s="24"/>
      <c r="H209" s="23"/>
      <c r="I209" s="23"/>
      <c r="J209" s="24"/>
      <c r="K209" s="23"/>
      <c r="L209" s="23"/>
      <c r="M209" s="24"/>
      <c r="N209" s="23"/>
      <c r="O209" s="23"/>
      <c r="P209" s="24"/>
      <c r="Q209" s="23"/>
      <c r="R209" s="23"/>
      <c r="S209" s="24"/>
      <c r="T209" s="23"/>
      <c r="U209" s="23"/>
      <c r="V209" s="24"/>
      <c r="W209" s="23"/>
      <c r="X209" s="24"/>
      <c r="Y209" s="24"/>
      <c r="Z209" s="23"/>
      <c r="AA209" s="23"/>
      <c r="AB209" s="24"/>
      <c r="AC209" s="23"/>
      <c r="AD209" s="23"/>
      <c r="AE209" s="24"/>
      <c r="AF209" s="23"/>
      <c r="AG209" s="23"/>
      <c r="AH209" s="24"/>
      <c r="AI209" s="23"/>
      <c r="AJ209" s="23"/>
      <c r="AK209" s="24"/>
      <c r="AL209" s="23"/>
      <c r="AM209" s="23"/>
      <c r="AN209" s="24"/>
      <c r="AO209" s="23"/>
      <c r="AP209" s="23"/>
      <c r="AQ209" s="24"/>
      <c r="AR209" s="33"/>
      <c r="AS209" s="33"/>
    </row>
    <row r="210" spans="1:45">
      <c r="A210" s="110" t="s">
        <v>16</v>
      </c>
      <c r="B210" s="110"/>
      <c r="C210" s="110"/>
      <c r="D210" s="36" t="s">
        <v>4</v>
      </c>
      <c r="E210" s="37">
        <f t="shared" si="278"/>
        <v>87522.8</v>
      </c>
      <c r="F210" s="37">
        <f t="shared" si="278"/>
        <v>22642.013199999998</v>
      </c>
      <c r="G210" s="25">
        <f>F210/E210*100</f>
        <v>25.869845571668176</v>
      </c>
      <c r="H210" s="37">
        <f>H211+H212+H213+H214</f>
        <v>0</v>
      </c>
      <c r="I210" s="37"/>
      <c r="J210" s="22"/>
      <c r="K210" s="37">
        <f t="shared" ref="K210:AO210" si="284">K211+K212+K213+K214</f>
        <v>6778</v>
      </c>
      <c r="L210" s="37">
        <f t="shared" si="284"/>
        <v>6357.2000000000007</v>
      </c>
      <c r="M210" s="25">
        <f t="shared" ref="M210:M212" si="285">L210/K210*100</f>
        <v>93.791678961345539</v>
      </c>
      <c r="N210" s="37">
        <f t="shared" si="284"/>
        <v>6542.2</v>
      </c>
      <c r="O210" s="37">
        <f t="shared" si="284"/>
        <v>6962.9995999999992</v>
      </c>
      <c r="P210" s="25">
        <f t="shared" ref="P210:P213" si="286">O210/N210*100</f>
        <v>106.43208095136191</v>
      </c>
      <c r="Q210" s="37">
        <f t="shared" si="284"/>
        <v>6130.1</v>
      </c>
      <c r="R210" s="37">
        <f t="shared" si="284"/>
        <v>6130.1</v>
      </c>
      <c r="S210" s="25">
        <f>R210/Q210*100</f>
        <v>100</v>
      </c>
      <c r="T210" s="37">
        <f t="shared" si="284"/>
        <v>3086.1</v>
      </c>
      <c r="U210" s="37">
        <f t="shared" si="284"/>
        <v>3086.1136000000006</v>
      </c>
      <c r="V210" s="25">
        <f>U210/T210*100</f>
        <v>100.00044068565505</v>
      </c>
      <c r="W210" s="37">
        <f t="shared" si="284"/>
        <v>1</v>
      </c>
      <c r="X210" s="25">
        <f t="shared" si="284"/>
        <v>1</v>
      </c>
      <c r="Y210" s="25">
        <f>X210/W210*100</f>
        <v>100</v>
      </c>
      <c r="Z210" s="37">
        <f t="shared" si="284"/>
        <v>35</v>
      </c>
      <c r="AA210" s="37">
        <f t="shared" si="284"/>
        <v>35</v>
      </c>
      <c r="AB210" s="25"/>
      <c r="AC210" s="37">
        <f t="shared" si="284"/>
        <v>35</v>
      </c>
      <c r="AD210" s="37">
        <f t="shared" si="284"/>
        <v>0</v>
      </c>
      <c r="AE210" s="25">
        <f>AD210/AC210*100</f>
        <v>0</v>
      </c>
      <c r="AF210" s="37">
        <f t="shared" si="284"/>
        <v>35</v>
      </c>
      <c r="AG210" s="37">
        <f t="shared" si="284"/>
        <v>69.599999999999994</v>
      </c>
      <c r="AH210" s="22"/>
      <c r="AI210" s="37">
        <f t="shared" si="284"/>
        <v>16526</v>
      </c>
      <c r="AJ210" s="37">
        <f t="shared" si="284"/>
        <v>0</v>
      </c>
      <c r="AK210" s="25">
        <f>AJ210/AI210*100</f>
        <v>0</v>
      </c>
      <c r="AL210" s="37">
        <f t="shared" si="284"/>
        <v>13624</v>
      </c>
      <c r="AM210" s="37">
        <f t="shared" si="284"/>
        <v>0</v>
      </c>
      <c r="AN210" s="25">
        <f>AM210/AL210*100</f>
        <v>0</v>
      </c>
      <c r="AO210" s="37">
        <f t="shared" si="284"/>
        <v>34730.400000000001</v>
      </c>
      <c r="AP210" s="37"/>
      <c r="AQ210" s="22">
        <f t="shared" si="283"/>
        <v>0</v>
      </c>
      <c r="AR210" s="33"/>
      <c r="AS210" s="33"/>
    </row>
    <row r="211" spans="1:45" ht="15" customHeight="1">
      <c r="A211" s="110"/>
      <c r="B211" s="110"/>
      <c r="C211" s="110"/>
      <c r="D211" s="36" t="s">
        <v>23</v>
      </c>
      <c r="E211" s="37">
        <f t="shared" si="278"/>
        <v>2144.1999999999998</v>
      </c>
      <c r="F211" s="37">
        <f t="shared" si="278"/>
        <v>0</v>
      </c>
      <c r="G211" s="25"/>
      <c r="H211" s="25">
        <f>H186+H191+H196+H201+H206</f>
        <v>0</v>
      </c>
      <c r="I211" s="25"/>
      <c r="J211" s="22"/>
      <c r="K211" s="25">
        <f t="shared" ref="K211:AO214" si="287">K186+K191+K196+K201+K206</f>
        <v>0</v>
      </c>
      <c r="L211" s="25">
        <f t="shared" si="287"/>
        <v>0</v>
      </c>
      <c r="M211" s="25"/>
      <c r="N211" s="25">
        <f t="shared" si="287"/>
        <v>0</v>
      </c>
      <c r="O211" s="25">
        <f t="shared" si="287"/>
        <v>0</v>
      </c>
      <c r="P211" s="25"/>
      <c r="Q211" s="25">
        <f t="shared" si="287"/>
        <v>0</v>
      </c>
      <c r="R211" s="25">
        <f t="shared" si="287"/>
        <v>0</v>
      </c>
      <c r="S211" s="25"/>
      <c r="T211" s="25">
        <f t="shared" si="287"/>
        <v>0</v>
      </c>
      <c r="U211" s="25">
        <f t="shared" si="287"/>
        <v>0</v>
      </c>
      <c r="V211" s="25"/>
      <c r="W211" s="25">
        <f t="shared" si="287"/>
        <v>0</v>
      </c>
      <c r="X211" s="25">
        <f t="shared" si="287"/>
        <v>0</v>
      </c>
      <c r="Y211" s="25"/>
      <c r="Z211" s="25">
        <f t="shared" si="287"/>
        <v>0</v>
      </c>
      <c r="AA211" s="25">
        <f t="shared" si="287"/>
        <v>0</v>
      </c>
      <c r="AB211" s="25"/>
      <c r="AC211" s="25">
        <f t="shared" si="287"/>
        <v>0</v>
      </c>
      <c r="AD211" s="25">
        <f t="shared" si="287"/>
        <v>0</v>
      </c>
      <c r="AE211" s="25"/>
      <c r="AF211" s="25">
        <f t="shared" si="287"/>
        <v>0</v>
      </c>
      <c r="AG211" s="25">
        <f t="shared" si="287"/>
        <v>0</v>
      </c>
      <c r="AH211" s="22"/>
      <c r="AI211" s="25">
        <f t="shared" si="287"/>
        <v>623</v>
      </c>
      <c r="AJ211" s="25">
        <f t="shared" si="287"/>
        <v>0</v>
      </c>
      <c r="AK211" s="25"/>
      <c r="AL211" s="25">
        <f t="shared" si="287"/>
        <v>562</v>
      </c>
      <c r="AM211" s="25">
        <f t="shared" si="287"/>
        <v>0</v>
      </c>
      <c r="AN211" s="25"/>
      <c r="AO211" s="25">
        <f t="shared" si="287"/>
        <v>959.2</v>
      </c>
      <c r="AP211" s="24"/>
      <c r="AQ211" s="22"/>
      <c r="AR211" s="33"/>
      <c r="AS211" s="33"/>
    </row>
    <row r="212" spans="1:45" ht="25.5" customHeight="1">
      <c r="A212" s="110"/>
      <c r="B212" s="110"/>
      <c r="C212" s="110"/>
      <c r="D212" s="36" t="s">
        <v>5</v>
      </c>
      <c r="E212" s="37">
        <f t="shared" si="278"/>
        <v>69231.899999999994</v>
      </c>
      <c r="F212" s="37">
        <f t="shared" si="278"/>
        <v>19287.413199999999</v>
      </c>
      <c r="G212" s="25">
        <f t="shared" ref="G212:G213" si="288">F212/E212*100</f>
        <v>27.859141811794853</v>
      </c>
      <c r="H212" s="25">
        <f>H187+H192+H197+H202+H207</f>
        <v>0</v>
      </c>
      <c r="I212" s="25"/>
      <c r="J212" s="22"/>
      <c r="K212" s="25">
        <f t="shared" si="287"/>
        <v>5176</v>
      </c>
      <c r="L212" s="25">
        <f t="shared" si="287"/>
        <v>4848.6000000000004</v>
      </c>
      <c r="M212" s="25">
        <f t="shared" si="285"/>
        <v>93.674652241112838</v>
      </c>
      <c r="N212" s="25">
        <f t="shared" si="287"/>
        <v>5620.5</v>
      </c>
      <c r="O212" s="25">
        <f t="shared" si="287"/>
        <v>5947.8995999999988</v>
      </c>
      <c r="P212" s="25">
        <f t="shared" si="286"/>
        <v>105.82509741126232</v>
      </c>
      <c r="Q212" s="25">
        <f t="shared" si="287"/>
        <v>5403.8</v>
      </c>
      <c r="R212" s="25">
        <f t="shared" si="287"/>
        <v>5403.8</v>
      </c>
      <c r="S212" s="25">
        <f t="shared" ref="S212:S213" si="289">R212/Q212*100</f>
        <v>100</v>
      </c>
      <c r="T212" s="25">
        <f t="shared" si="287"/>
        <v>3086.1</v>
      </c>
      <c r="U212" s="25">
        <f t="shared" si="287"/>
        <v>3086.1136000000006</v>
      </c>
      <c r="V212" s="25">
        <f t="shared" ref="V212:V213" si="290">U212/T212*100</f>
        <v>100.00044068565505</v>
      </c>
      <c r="W212" s="25">
        <f t="shared" si="287"/>
        <v>1</v>
      </c>
      <c r="X212" s="25">
        <f t="shared" si="287"/>
        <v>1</v>
      </c>
      <c r="Y212" s="25">
        <f t="shared" ref="Y212" si="291">X212/W212*100</f>
        <v>100</v>
      </c>
      <c r="Z212" s="25">
        <f t="shared" si="287"/>
        <v>0</v>
      </c>
      <c r="AA212" s="25">
        <f t="shared" si="287"/>
        <v>0</v>
      </c>
      <c r="AB212" s="25"/>
      <c r="AC212" s="25">
        <f t="shared" si="287"/>
        <v>0</v>
      </c>
      <c r="AD212" s="25">
        <f t="shared" si="287"/>
        <v>0</v>
      </c>
      <c r="AE212" s="25"/>
      <c r="AF212" s="25">
        <f t="shared" si="287"/>
        <v>0</v>
      </c>
      <c r="AG212" s="25">
        <f t="shared" si="287"/>
        <v>0</v>
      </c>
      <c r="AH212" s="22"/>
      <c r="AI212" s="25">
        <f t="shared" si="287"/>
        <v>12839.7</v>
      </c>
      <c r="AJ212" s="25">
        <f t="shared" si="287"/>
        <v>0</v>
      </c>
      <c r="AK212" s="25">
        <f t="shared" ref="AK212:AK213" si="292">AJ212/AI212*100</f>
        <v>0</v>
      </c>
      <c r="AL212" s="25">
        <f t="shared" si="287"/>
        <v>10836.8</v>
      </c>
      <c r="AM212" s="25">
        <f t="shared" si="287"/>
        <v>0</v>
      </c>
      <c r="AN212" s="25">
        <f t="shared" ref="AN212:AN213" si="293">AM212/AL212*100</f>
        <v>0</v>
      </c>
      <c r="AO212" s="25">
        <f t="shared" si="287"/>
        <v>26268</v>
      </c>
      <c r="AP212" s="24"/>
      <c r="AQ212" s="22">
        <f t="shared" si="283"/>
        <v>0</v>
      </c>
      <c r="AR212" s="33"/>
      <c r="AS212" s="33"/>
    </row>
    <row r="213" spans="1:45">
      <c r="A213" s="110"/>
      <c r="B213" s="110"/>
      <c r="C213" s="110"/>
      <c r="D213" s="36" t="s">
        <v>49</v>
      </c>
      <c r="E213" s="37">
        <f t="shared" si="278"/>
        <v>16146.7</v>
      </c>
      <c r="F213" s="37">
        <f t="shared" si="278"/>
        <v>3354.6</v>
      </c>
      <c r="G213" s="25">
        <f t="shared" si="288"/>
        <v>20.7757622300532</v>
      </c>
      <c r="H213" s="25">
        <f>H188+H193+H198+H203+H208</f>
        <v>0</v>
      </c>
      <c r="I213" s="25"/>
      <c r="J213" s="22"/>
      <c r="K213" s="25">
        <f t="shared" si="287"/>
        <v>1602</v>
      </c>
      <c r="L213" s="25">
        <f t="shared" si="287"/>
        <v>1508.6</v>
      </c>
      <c r="M213" s="25"/>
      <c r="N213" s="25">
        <f t="shared" si="287"/>
        <v>921.69999999999993</v>
      </c>
      <c r="O213" s="25">
        <f t="shared" si="287"/>
        <v>1015.1</v>
      </c>
      <c r="P213" s="25">
        <f t="shared" si="286"/>
        <v>110.13344906151676</v>
      </c>
      <c r="Q213" s="25">
        <f t="shared" si="287"/>
        <v>726.30000000000007</v>
      </c>
      <c r="R213" s="25">
        <f t="shared" si="287"/>
        <v>726.3</v>
      </c>
      <c r="S213" s="25">
        <f t="shared" si="289"/>
        <v>99.999999999999986</v>
      </c>
      <c r="T213" s="25">
        <f t="shared" si="287"/>
        <v>0</v>
      </c>
      <c r="U213" s="25">
        <f t="shared" si="287"/>
        <v>0</v>
      </c>
      <c r="V213" s="25" t="e">
        <f t="shared" si="290"/>
        <v>#DIV/0!</v>
      </c>
      <c r="W213" s="25">
        <f t="shared" si="287"/>
        <v>0</v>
      </c>
      <c r="X213" s="25">
        <f t="shared" si="287"/>
        <v>0</v>
      </c>
      <c r="Y213" s="25"/>
      <c r="Z213" s="25">
        <f t="shared" si="287"/>
        <v>35</v>
      </c>
      <c r="AA213" s="25">
        <f t="shared" si="287"/>
        <v>35</v>
      </c>
      <c r="AB213" s="22"/>
      <c r="AC213" s="25">
        <f t="shared" si="287"/>
        <v>35</v>
      </c>
      <c r="AD213" s="25">
        <f t="shared" si="287"/>
        <v>0</v>
      </c>
      <c r="AE213" s="25">
        <f t="shared" ref="AE213" si="294">AD213/AC213*100</f>
        <v>0</v>
      </c>
      <c r="AF213" s="25">
        <f t="shared" si="287"/>
        <v>35</v>
      </c>
      <c r="AG213" s="25">
        <f t="shared" si="287"/>
        <v>69.599999999999994</v>
      </c>
      <c r="AH213" s="22"/>
      <c r="AI213" s="25">
        <f t="shared" si="287"/>
        <v>3063.3</v>
      </c>
      <c r="AJ213" s="25">
        <f t="shared" si="287"/>
        <v>0</v>
      </c>
      <c r="AK213" s="25">
        <f t="shared" si="292"/>
        <v>0</v>
      </c>
      <c r="AL213" s="25">
        <f t="shared" si="287"/>
        <v>2225.1999999999998</v>
      </c>
      <c r="AM213" s="25">
        <f t="shared" si="287"/>
        <v>0</v>
      </c>
      <c r="AN213" s="25">
        <f t="shared" si="293"/>
        <v>0</v>
      </c>
      <c r="AO213" s="25">
        <f t="shared" si="287"/>
        <v>7503.2000000000007</v>
      </c>
      <c r="AP213" s="24"/>
      <c r="AQ213" s="22">
        <f t="shared" si="283"/>
        <v>0</v>
      </c>
      <c r="AR213" s="33"/>
      <c r="AS213" s="33"/>
    </row>
    <row r="214" spans="1:45" ht="14.25" customHeight="1">
      <c r="A214" s="110"/>
      <c r="B214" s="110"/>
      <c r="C214" s="110"/>
      <c r="D214" s="36" t="s">
        <v>24</v>
      </c>
      <c r="E214" s="37">
        <f t="shared" si="278"/>
        <v>0</v>
      </c>
      <c r="F214" s="37">
        <f t="shared" si="278"/>
        <v>0</v>
      </c>
      <c r="G214" s="25"/>
      <c r="H214" s="25">
        <f>H189+H194+H199+H204+H209</f>
        <v>0</v>
      </c>
      <c r="I214" s="25"/>
      <c r="J214" s="25"/>
      <c r="K214" s="25">
        <f t="shared" si="287"/>
        <v>0</v>
      </c>
      <c r="L214" s="25">
        <f t="shared" si="287"/>
        <v>0</v>
      </c>
      <c r="M214" s="25"/>
      <c r="N214" s="25">
        <f t="shared" si="287"/>
        <v>0</v>
      </c>
      <c r="O214" s="25">
        <f t="shared" si="287"/>
        <v>0</v>
      </c>
      <c r="P214" s="25"/>
      <c r="Q214" s="25">
        <f t="shared" si="287"/>
        <v>0</v>
      </c>
      <c r="R214" s="25">
        <f t="shared" si="287"/>
        <v>0</v>
      </c>
      <c r="S214" s="25"/>
      <c r="T214" s="25">
        <f t="shared" si="287"/>
        <v>0</v>
      </c>
      <c r="U214" s="25">
        <f t="shared" si="287"/>
        <v>0</v>
      </c>
      <c r="V214" s="25"/>
      <c r="W214" s="25">
        <f t="shared" si="287"/>
        <v>0</v>
      </c>
      <c r="X214" s="25">
        <f t="shared" si="287"/>
        <v>0</v>
      </c>
      <c r="Y214" s="25"/>
      <c r="Z214" s="25">
        <f t="shared" si="287"/>
        <v>0</v>
      </c>
      <c r="AA214" s="25">
        <f t="shared" si="287"/>
        <v>0</v>
      </c>
      <c r="AB214" s="25"/>
      <c r="AC214" s="25">
        <f t="shared" si="287"/>
        <v>0</v>
      </c>
      <c r="AD214" s="25">
        <f t="shared" si="287"/>
        <v>0</v>
      </c>
      <c r="AE214" s="25"/>
      <c r="AF214" s="25">
        <f t="shared" si="287"/>
        <v>0</v>
      </c>
      <c r="AG214" s="25"/>
      <c r="AH214" s="25"/>
      <c r="AI214" s="25">
        <f t="shared" si="287"/>
        <v>0</v>
      </c>
      <c r="AJ214" s="25"/>
      <c r="AK214" s="25"/>
      <c r="AL214" s="25">
        <f t="shared" si="287"/>
        <v>0</v>
      </c>
      <c r="AM214" s="25"/>
      <c r="AN214" s="25"/>
      <c r="AO214" s="25">
        <f t="shared" si="287"/>
        <v>0</v>
      </c>
      <c r="AP214" s="24"/>
      <c r="AQ214" s="25"/>
      <c r="AR214" s="33"/>
      <c r="AS214" s="33"/>
    </row>
    <row r="215" spans="1:45" ht="13.5" customHeight="1">
      <c r="A215" s="35" t="s">
        <v>81</v>
      </c>
      <c r="B215" s="34" t="s">
        <v>17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3"/>
      <c r="AS215" s="33"/>
    </row>
    <row r="216" spans="1:45" ht="18" customHeight="1">
      <c r="A216" s="89" t="s">
        <v>82</v>
      </c>
      <c r="B216" s="90" t="s">
        <v>114</v>
      </c>
      <c r="C216" s="90" t="s">
        <v>7</v>
      </c>
      <c r="D216" s="35" t="s">
        <v>4</v>
      </c>
      <c r="E216" s="23">
        <f t="shared" ref="E216:F236" si="295">H216+K216+N216+Q216+T216+W216+Z216+AC216+AF216+AI216+AL216+AO216</f>
        <v>246.89999999999998</v>
      </c>
      <c r="F216" s="23">
        <f t="shared" si="295"/>
        <v>93.6</v>
      </c>
      <c r="G216" s="24">
        <f>F216/E216*100</f>
        <v>37.910085054678014</v>
      </c>
      <c r="H216" s="23">
        <f>H217+H218+H219+H220</f>
        <v>0</v>
      </c>
      <c r="I216" s="23"/>
      <c r="J216" s="21"/>
      <c r="K216" s="23">
        <f t="shared" ref="K216:AO216" si="296">K217+K218+K219+K220</f>
        <v>0</v>
      </c>
      <c r="L216" s="23">
        <f t="shared" si="296"/>
        <v>0</v>
      </c>
      <c r="M216" s="24"/>
      <c r="N216" s="23">
        <f t="shared" si="296"/>
        <v>0</v>
      </c>
      <c r="O216" s="23"/>
      <c r="P216" s="24"/>
      <c r="Q216" s="23">
        <f t="shared" si="296"/>
        <v>0</v>
      </c>
      <c r="R216" s="23"/>
      <c r="S216" s="21"/>
      <c r="T216" s="23">
        <f t="shared" si="296"/>
        <v>0</v>
      </c>
      <c r="U216" s="23"/>
      <c r="V216" s="21"/>
      <c r="W216" s="23">
        <f t="shared" si="296"/>
        <v>0</v>
      </c>
      <c r="X216" s="23">
        <f t="shared" si="296"/>
        <v>0</v>
      </c>
      <c r="Y216" s="24"/>
      <c r="Z216" s="23">
        <f t="shared" si="296"/>
        <v>0</v>
      </c>
      <c r="AA216" s="23">
        <f t="shared" si="296"/>
        <v>0</v>
      </c>
      <c r="AB216" s="24"/>
      <c r="AC216" s="23">
        <f t="shared" si="296"/>
        <v>0</v>
      </c>
      <c r="AD216" s="23">
        <f t="shared" si="296"/>
        <v>0</v>
      </c>
      <c r="AE216" s="21"/>
      <c r="AF216" s="23">
        <f t="shared" si="296"/>
        <v>93.6</v>
      </c>
      <c r="AG216" s="23">
        <f t="shared" si="296"/>
        <v>93.6</v>
      </c>
      <c r="AH216" s="24">
        <f>AG216/AF216*100</f>
        <v>100</v>
      </c>
      <c r="AI216" s="23">
        <f t="shared" si="296"/>
        <v>53.3</v>
      </c>
      <c r="AJ216" s="23">
        <f t="shared" si="296"/>
        <v>0</v>
      </c>
      <c r="AK216" s="24">
        <f>AJ216/AI216*100</f>
        <v>0</v>
      </c>
      <c r="AL216" s="23">
        <f t="shared" si="296"/>
        <v>100</v>
      </c>
      <c r="AM216" s="23">
        <f t="shared" si="296"/>
        <v>0</v>
      </c>
      <c r="AN216" s="24">
        <f>AM216/AL216*100</f>
        <v>0</v>
      </c>
      <c r="AO216" s="23">
        <f t="shared" si="296"/>
        <v>0</v>
      </c>
      <c r="AP216" s="23"/>
      <c r="AQ216" s="21" t="e">
        <f t="shared" ref="AQ216:AQ235" si="297">AP216/AO216</f>
        <v>#DIV/0!</v>
      </c>
      <c r="AR216" s="33"/>
      <c r="AS216" s="33"/>
    </row>
    <row r="217" spans="1:45" ht="18" customHeight="1">
      <c r="A217" s="89"/>
      <c r="B217" s="90"/>
      <c r="C217" s="90"/>
      <c r="D217" s="35" t="s">
        <v>23</v>
      </c>
      <c r="E217" s="23">
        <f t="shared" si="295"/>
        <v>0</v>
      </c>
      <c r="F217" s="23">
        <f t="shared" si="295"/>
        <v>0</v>
      </c>
      <c r="G217" s="24"/>
      <c r="H217" s="23">
        <v>0</v>
      </c>
      <c r="I217" s="23"/>
      <c r="J217" s="21"/>
      <c r="K217" s="23">
        <v>0</v>
      </c>
      <c r="L217" s="23"/>
      <c r="M217" s="24"/>
      <c r="N217" s="23">
        <v>0</v>
      </c>
      <c r="O217" s="23"/>
      <c r="P217" s="24"/>
      <c r="Q217" s="23"/>
      <c r="R217" s="23"/>
      <c r="S217" s="21"/>
      <c r="T217" s="23"/>
      <c r="U217" s="23"/>
      <c r="V217" s="21"/>
      <c r="W217" s="23"/>
      <c r="X217" s="23"/>
      <c r="Y217" s="24"/>
      <c r="Z217" s="23"/>
      <c r="AA217" s="23"/>
      <c r="AB217" s="24"/>
      <c r="AC217" s="23"/>
      <c r="AD217" s="23"/>
      <c r="AE217" s="21"/>
      <c r="AF217" s="23"/>
      <c r="AG217" s="23"/>
      <c r="AH217" s="24"/>
      <c r="AI217" s="23"/>
      <c r="AJ217" s="23"/>
      <c r="AK217" s="24"/>
      <c r="AL217" s="23"/>
      <c r="AM217" s="23"/>
      <c r="AN217" s="24"/>
      <c r="AO217" s="23"/>
      <c r="AP217" s="23"/>
      <c r="AQ217" s="21"/>
      <c r="AR217" s="33"/>
      <c r="AS217" s="33"/>
    </row>
    <row r="218" spans="1:45" ht="24">
      <c r="A218" s="89"/>
      <c r="B218" s="90"/>
      <c r="C218" s="90"/>
      <c r="D218" s="35" t="s">
        <v>5</v>
      </c>
      <c r="E218" s="23">
        <f t="shared" si="295"/>
        <v>0</v>
      </c>
      <c r="F218" s="23">
        <f t="shared" si="295"/>
        <v>0</v>
      </c>
      <c r="G218" s="24"/>
      <c r="H218" s="23"/>
      <c r="I218" s="23"/>
      <c r="J218" s="21"/>
      <c r="K218" s="23"/>
      <c r="L218" s="23"/>
      <c r="M218" s="24"/>
      <c r="N218" s="23"/>
      <c r="O218" s="23"/>
      <c r="P218" s="24"/>
      <c r="Q218" s="23"/>
      <c r="R218" s="23"/>
      <c r="S218" s="21"/>
      <c r="T218" s="23"/>
      <c r="U218" s="23"/>
      <c r="V218" s="21"/>
      <c r="W218" s="23"/>
      <c r="X218" s="23"/>
      <c r="Y218" s="24"/>
      <c r="Z218" s="23"/>
      <c r="AA218" s="23"/>
      <c r="AB218" s="24"/>
      <c r="AC218" s="23"/>
      <c r="AD218" s="23"/>
      <c r="AE218" s="21"/>
      <c r="AF218" s="23"/>
      <c r="AG218" s="23"/>
      <c r="AH218" s="24"/>
      <c r="AI218" s="23"/>
      <c r="AJ218" s="23"/>
      <c r="AK218" s="24"/>
      <c r="AL218" s="23"/>
      <c r="AM218" s="23"/>
      <c r="AN218" s="24"/>
      <c r="AO218" s="23"/>
      <c r="AP218" s="23"/>
      <c r="AQ218" s="21"/>
      <c r="AR218" s="33"/>
      <c r="AS218" s="33"/>
    </row>
    <row r="219" spans="1:45" ht="36">
      <c r="A219" s="89"/>
      <c r="B219" s="90"/>
      <c r="C219" s="90"/>
      <c r="D219" s="35" t="s">
        <v>49</v>
      </c>
      <c r="E219" s="23">
        <f t="shared" si="295"/>
        <v>246.89999999999998</v>
      </c>
      <c r="F219" s="23">
        <f t="shared" si="295"/>
        <v>93.6</v>
      </c>
      <c r="G219" s="24">
        <f t="shared" ref="G219" si="298">F219/E219*100</f>
        <v>37.910085054678014</v>
      </c>
      <c r="H219" s="23"/>
      <c r="I219" s="23"/>
      <c r="J219" s="21"/>
      <c r="K219" s="23"/>
      <c r="L219" s="23"/>
      <c r="M219" s="24"/>
      <c r="N219" s="23"/>
      <c r="O219" s="23"/>
      <c r="P219" s="24"/>
      <c r="Q219" s="23">
        <f>41.8-41.8</f>
        <v>0</v>
      </c>
      <c r="R219" s="23"/>
      <c r="S219" s="21"/>
      <c r="T219" s="23"/>
      <c r="U219" s="23"/>
      <c r="V219" s="21"/>
      <c r="W219" s="23">
        <f>105.1-105.1</f>
        <v>0</v>
      </c>
      <c r="X219" s="23"/>
      <c r="Y219" s="24"/>
      <c r="Z219" s="23">
        <f>105.1-105.1</f>
        <v>0</v>
      </c>
      <c r="AA219" s="23"/>
      <c r="AB219" s="24"/>
      <c r="AC219" s="23"/>
      <c r="AD219" s="23"/>
      <c r="AE219" s="21"/>
      <c r="AF219" s="23">
        <v>93.6</v>
      </c>
      <c r="AG219" s="23">
        <v>93.6</v>
      </c>
      <c r="AH219" s="24">
        <f t="shared" ref="AH219" si="299">AG219/AF219*100</f>
        <v>100</v>
      </c>
      <c r="AI219" s="23">
        <v>53.3</v>
      </c>
      <c r="AJ219" s="23"/>
      <c r="AK219" s="24">
        <f t="shared" ref="AK219" si="300">AJ219/AI219*100</f>
        <v>0</v>
      </c>
      <c r="AL219" s="23">
        <v>100</v>
      </c>
      <c r="AM219" s="23"/>
      <c r="AN219" s="24">
        <f t="shared" ref="AN219" si="301">AM219/AL219*100</f>
        <v>0</v>
      </c>
      <c r="AO219" s="23"/>
      <c r="AP219" s="23"/>
      <c r="AQ219" s="21" t="e">
        <f t="shared" si="297"/>
        <v>#DIV/0!</v>
      </c>
      <c r="AR219" s="86" t="s">
        <v>194</v>
      </c>
      <c r="AS219" s="86"/>
    </row>
    <row r="220" spans="1:45" ht="21.75" customHeight="1">
      <c r="A220" s="89"/>
      <c r="B220" s="90"/>
      <c r="C220" s="90"/>
      <c r="D220" s="35" t="s">
        <v>24</v>
      </c>
      <c r="E220" s="23">
        <f t="shared" si="295"/>
        <v>0</v>
      </c>
      <c r="F220" s="23">
        <f t="shared" si="295"/>
        <v>0</v>
      </c>
      <c r="G220" s="24"/>
      <c r="H220" s="23"/>
      <c r="I220" s="23"/>
      <c r="J220" s="24"/>
      <c r="K220" s="23"/>
      <c r="L220" s="23"/>
      <c r="M220" s="24"/>
      <c r="N220" s="23"/>
      <c r="O220" s="23"/>
      <c r="P220" s="24"/>
      <c r="Q220" s="23"/>
      <c r="R220" s="23"/>
      <c r="S220" s="24"/>
      <c r="T220" s="23"/>
      <c r="U220" s="23"/>
      <c r="V220" s="24"/>
      <c r="W220" s="23"/>
      <c r="X220" s="23"/>
      <c r="Y220" s="24"/>
      <c r="Z220" s="23"/>
      <c r="AA220" s="23"/>
      <c r="AB220" s="24"/>
      <c r="AC220" s="23"/>
      <c r="AD220" s="23"/>
      <c r="AE220" s="24"/>
      <c r="AF220" s="23"/>
      <c r="AG220" s="23"/>
      <c r="AH220" s="24"/>
      <c r="AI220" s="23"/>
      <c r="AJ220" s="23"/>
      <c r="AK220" s="24"/>
      <c r="AL220" s="23"/>
      <c r="AM220" s="23"/>
      <c r="AN220" s="24"/>
      <c r="AO220" s="23"/>
      <c r="AP220" s="23"/>
      <c r="AQ220" s="24"/>
      <c r="AR220" s="33"/>
      <c r="AS220" s="33"/>
    </row>
    <row r="221" spans="1:45" ht="15.75" customHeight="1">
      <c r="A221" s="89" t="s">
        <v>115</v>
      </c>
      <c r="B221" s="90" t="s">
        <v>116</v>
      </c>
      <c r="C221" s="90" t="s">
        <v>7</v>
      </c>
      <c r="D221" s="35" t="s">
        <v>4</v>
      </c>
      <c r="E221" s="23">
        <f t="shared" si="295"/>
        <v>147.5</v>
      </c>
      <c r="F221" s="23">
        <f t="shared" si="295"/>
        <v>56</v>
      </c>
      <c r="G221" s="24">
        <f>F221/E221*100</f>
        <v>37.966101694915253</v>
      </c>
      <c r="H221" s="23">
        <f>H222+H223+H224+H225</f>
        <v>0</v>
      </c>
      <c r="I221" s="23"/>
      <c r="J221" s="21"/>
      <c r="K221" s="23">
        <f t="shared" ref="K221:AO221" si="302">K222+K223+K224+K225</f>
        <v>0</v>
      </c>
      <c r="L221" s="23"/>
      <c r="M221" s="21"/>
      <c r="N221" s="23">
        <f t="shared" si="302"/>
        <v>0</v>
      </c>
      <c r="O221" s="23"/>
      <c r="P221" s="21"/>
      <c r="Q221" s="23">
        <f t="shared" si="302"/>
        <v>0</v>
      </c>
      <c r="R221" s="23"/>
      <c r="S221" s="21"/>
      <c r="T221" s="23">
        <f t="shared" si="302"/>
        <v>0</v>
      </c>
      <c r="U221" s="23"/>
      <c r="V221" s="21"/>
      <c r="W221" s="23">
        <f t="shared" si="302"/>
        <v>0</v>
      </c>
      <c r="X221" s="23"/>
      <c r="Y221" s="21"/>
      <c r="Z221" s="23">
        <f t="shared" si="302"/>
        <v>0</v>
      </c>
      <c r="AA221" s="23"/>
      <c r="AB221" s="21"/>
      <c r="AC221" s="23">
        <f t="shared" si="302"/>
        <v>0</v>
      </c>
      <c r="AD221" s="23">
        <f t="shared" si="302"/>
        <v>0</v>
      </c>
      <c r="AE221" s="21"/>
      <c r="AF221" s="23">
        <f t="shared" si="302"/>
        <v>56</v>
      </c>
      <c r="AG221" s="23">
        <f t="shared" si="302"/>
        <v>56</v>
      </c>
      <c r="AH221" s="24">
        <f>AG221/AF221*100</f>
        <v>100</v>
      </c>
      <c r="AI221" s="23">
        <f t="shared" si="302"/>
        <v>60</v>
      </c>
      <c r="AJ221" s="23">
        <f t="shared" si="302"/>
        <v>0</v>
      </c>
      <c r="AK221" s="24">
        <f>AJ221/AI221*100</f>
        <v>0</v>
      </c>
      <c r="AL221" s="23">
        <f t="shared" si="302"/>
        <v>31.5</v>
      </c>
      <c r="AM221" s="23"/>
      <c r="AN221" s="21"/>
      <c r="AO221" s="23">
        <f t="shared" si="302"/>
        <v>0</v>
      </c>
      <c r="AP221" s="23"/>
      <c r="AQ221" s="21" t="e">
        <f t="shared" si="297"/>
        <v>#DIV/0!</v>
      </c>
      <c r="AR221" s="33"/>
      <c r="AS221" s="33"/>
    </row>
    <row r="222" spans="1:45">
      <c r="A222" s="89"/>
      <c r="B222" s="90"/>
      <c r="C222" s="90"/>
      <c r="D222" s="35" t="s">
        <v>23</v>
      </c>
      <c r="E222" s="23">
        <f t="shared" si="295"/>
        <v>0</v>
      </c>
      <c r="F222" s="23">
        <f t="shared" si="295"/>
        <v>0</v>
      </c>
      <c r="G222" s="24"/>
      <c r="H222" s="23"/>
      <c r="I222" s="23"/>
      <c r="J222" s="21"/>
      <c r="K222" s="23"/>
      <c r="L222" s="23"/>
      <c r="M222" s="21"/>
      <c r="N222" s="23"/>
      <c r="O222" s="23"/>
      <c r="P222" s="21"/>
      <c r="Q222" s="23"/>
      <c r="R222" s="23"/>
      <c r="S222" s="21"/>
      <c r="T222" s="23"/>
      <c r="U222" s="23"/>
      <c r="V222" s="21"/>
      <c r="W222" s="23"/>
      <c r="X222" s="23"/>
      <c r="Y222" s="21"/>
      <c r="Z222" s="23"/>
      <c r="AA222" s="23"/>
      <c r="AB222" s="21"/>
      <c r="AC222" s="23"/>
      <c r="AD222" s="23"/>
      <c r="AE222" s="21"/>
      <c r="AF222" s="23"/>
      <c r="AG222" s="23"/>
      <c r="AH222" s="24"/>
      <c r="AI222" s="23"/>
      <c r="AJ222" s="23"/>
      <c r="AK222" s="24"/>
      <c r="AL222" s="23"/>
      <c r="AM222" s="23"/>
      <c r="AN222" s="21"/>
      <c r="AO222" s="23"/>
      <c r="AP222" s="23"/>
      <c r="AQ222" s="21"/>
      <c r="AR222" s="33"/>
      <c r="AS222" s="33"/>
    </row>
    <row r="223" spans="1:45" ht="24">
      <c r="A223" s="89"/>
      <c r="B223" s="90"/>
      <c r="C223" s="90"/>
      <c r="D223" s="35" t="s">
        <v>5</v>
      </c>
      <c r="E223" s="23">
        <f t="shared" si="295"/>
        <v>0</v>
      </c>
      <c r="F223" s="23">
        <f t="shared" si="295"/>
        <v>0</v>
      </c>
      <c r="G223" s="24"/>
      <c r="H223" s="23"/>
      <c r="I223" s="23"/>
      <c r="J223" s="21"/>
      <c r="K223" s="23"/>
      <c r="L223" s="23"/>
      <c r="M223" s="21"/>
      <c r="N223" s="23"/>
      <c r="O223" s="23"/>
      <c r="P223" s="21"/>
      <c r="Q223" s="23"/>
      <c r="R223" s="23"/>
      <c r="S223" s="21"/>
      <c r="T223" s="23"/>
      <c r="U223" s="23"/>
      <c r="V223" s="21"/>
      <c r="W223" s="23"/>
      <c r="X223" s="23"/>
      <c r="Y223" s="21"/>
      <c r="Z223" s="23"/>
      <c r="AA223" s="23"/>
      <c r="AB223" s="21"/>
      <c r="AC223" s="23"/>
      <c r="AD223" s="23"/>
      <c r="AE223" s="21"/>
      <c r="AF223" s="23"/>
      <c r="AG223" s="23"/>
      <c r="AH223" s="24"/>
      <c r="AI223" s="23"/>
      <c r="AJ223" s="23"/>
      <c r="AK223" s="24"/>
      <c r="AL223" s="23"/>
      <c r="AM223" s="23"/>
      <c r="AN223" s="21"/>
      <c r="AO223" s="23"/>
      <c r="AP223" s="23"/>
      <c r="AQ223" s="21"/>
      <c r="AR223" s="33"/>
      <c r="AS223" s="33"/>
    </row>
    <row r="224" spans="1:45" ht="36.75">
      <c r="A224" s="89"/>
      <c r="B224" s="90"/>
      <c r="C224" s="90"/>
      <c r="D224" s="35" t="s">
        <v>49</v>
      </c>
      <c r="E224" s="23">
        <f t="shared" si="295"/>
        <v>147.5</v>
      </c>
      <c r="F224" s="23">
        <f t="shared" si="295"/>
        <v>56</v>
      </c>
      <c r="G224" s="24">
        <f t="shared" ref="G224" si="303">F224/E224*100</f>
        <v>37.966101694915253</v>
      </c>
      <c r="H224" s="23"/>
      <c r="I224" s="23"/>
      <c r="J224" s="21"/>
      <c r="K224" s="23"/>
      <c r="L224" s="23"/>
      <c r="M224" s="21"/>
      <c r="N224" s="23"/>
      <c r="O224" s="23"/>
      <c r="P224" s="21"/>
      <c r="Q224" s="23"/>
      <c r="R224" s="23"/>
      <c r="S224" s="21"/>
      <c r="T224" s="23"/>
      <c r="U224" s="23"/>
      <c r="V224" s="21"/>
      <c r="W224" s="23"/>
      <c r="X224" s="23"/>
      <c r="Y224" s="21"/>
      <c r="Z224" s="23"/>
      <c r="AA224" s="23"/>
      <c r="AB224" s="21"/>
      <c r="AC224" s="23"/>
      <c r="AD224" s="23"/>
      <c r="AE224" s="21"/>
      <c r="AF224" s="23">
        <f>87.5-31.5</f>
        <v>56</v>
      </c>
      <c r="AG224" s="23">
        <v>56</v>
      </c>
      <c r="AH224" s="24">
        <f t="shared" ref="AH224" si="304">AG224/AF224*100</f>
        <v>100</v>
      </c>
      <c r="AI224" s="23">
        <v>60</v>
      </c>
      <c r="AJ224" s="23"/>
      <c r="AK224" s="24">
        <f t="shared" ref="AK224" si="305">AJ224/AI224*100</f>
        <v>0</v>
      </c>
      <c r="AL224" s="23">
        <v>31.5</v>
      </c>
      <c r="AM224" s="23"/>
      <c r="AN224" s="21"/>
      <c r="AO224" s="23"/>
      <c r="AP224" s="23"/>
      <c r="AQ224" s="21" t="e">
        <f t="shared" si="297"/>
        <v>#DIV/0!</v>
      </c>
      <c r="AR224" s="40" t="s">
        <v>195</v>
      </c>
      <c r="AS224" s="33"/>
    </row>
    <row r="225" spans="1:45" ht="12" customHeight="1">
      <c r="A225" s="89"/>
      <c r="B225" s="90"/>
      <c r="C225" s="90"/>
      <c r="D225" s="35" t="s">
        <v>24</v>
      </c>
      <c r="E225" s="23">
        <f t="shared" si="295"/>
        <v>0</v>
      </c>
      <c r="F225" s="23">
        <f t="shared" si="295"/>
        <v>0</v>
      </c>
      <c r="G225" s="24"/>
      <c r="H225" s="23"/>
      <c r="I225" s="23"/>
      <c r="J225" s="24"/>
      <c r="K225" s="23"/>
      <c r="L225" s="23"/>
      <c r="M225" s="24"/>
      <c r="N225" s="23"/>
      <c r="O225" s="23"/>
      <c r="P225" s="24"/>
      <c r="Q225" s="23"/>
      <c r="R225" s="23"/>
      <c r="S225" s="24"/>
      <c r="T225" s="23"/>
      <c r="U225" s="23"/>
      <c r="V225" s="24"/>
      <c r="W225" s="23"/>
      <c r="X225" s="23"/>
      <c r="Y225" s="24"/>
      <c r="Z225" s="23"/>
      <c r="AA225" s="23"/>
      <c r="AB225" s="24"/>
      <c r="AC225" s="23"/>
      <c r="AD225" s="23"/>
      <c r="AE225" s="24"/>
      <c r="AF225" s="23"/>
      <c r="AG225" s="23"/>
      <c r="AH225" s="24"/>
      <c r="AI225" s="23"/>
      <c r="AJ225" s="23"/>
      <c r="AK225" s="24"/>
      <c r="AL225" s="23"/>
      <c r="AM225" s="23"/>
      <c r="AN225" s="24"/>
      <c r="AO225" s="23"/>
      <c r="AP225" s="23"/>
      <c r="AQ225" s="24"/>
      <c r="AR225" s="33"/>
      <c r="AS225" s="33"/>
    </row>
    <row r="226" spans="1:45" ht="15.75" customHeight="1">
      <c r="A226" s="104" t="s">
        <v>83</v>
      </c>
      <c r="B226" s="107" t="s">
        <v>117</v>
      </c>
      <c r="C226" s="107" t="s">
        <v>7</v>
      </c>
      <c r="D226" s="35" t="s">
        <v>4</v>
      </c>
      <c r="E226" s="23">
        <f>H226+K226+N226+Q226+T226+W226+Z226+AC226+AF226+AI226+AL226+AO226</f>
        <v>337.9</v>
      </c>
      <c r="F226" s="23">
        <f t="shared" si="295"/>
        <v>186</v>
      </c>
      <c r="G226" s="24">
        <f>F226/E226*100</f>
        <v>55.045871559633028</v>
      </c>
      <c r="H226" s="23">
        <f>H227+H228+H229+H230</f>
        <v>0</v>
      </c>
      <c r="I226" s="23"/>
      <c r="J226" s="21"/>
      <c r="K226" s="23">
        <f>K227+K228+K229+K230</f>
        <v>75</v>
      </c>
      <c r="L226" s="23">
        <f>L227+L228+L229+L230</f>
        <v>75</v>
      </c>
      <c r="M226" s="24">
        <f>L226/K226*100</f>
        <v>100</v>
      </c>
      <c r="N226" s="23">
        <f t="shared" ref="N226:AO226" si="306">N227+N228+N229+N230</f>
        <v>111</v>
      </c>
      <c r="O226" s="23">
        <f t="shared" si="306"/>
        <v>111</v>
      </c>
      <c r="P226" s="24">
        <f t="shared" ref="P226:P229" si="307">O226/N226*100</f>
        <v>100</v>
      </c>
      <c r="Q226" s="23">
        <f t="shared" si="306"/>
        <v>0</v>
      </c>
      <c r="R226" s="23"/>
      <c r="S226" s="21"/>
      <c r="T226" s="23">
        <f t="shared" si="306"/>
        <v>0</v>
      </c>
      <c r="U226" s="23">
        <f t="shared" si="306"/>
        <v>0</v>
      </c>
      <c r="V226" s="24"/>
      <c r="W226" s="23">
        <f t="shared" si="306"/>
        <v>0</v>
      </c>
      <c r="X226" s="23">
        <f t="shared" si="306"/>
        <v>0</v>
      </c>
      <c r="Y226" s="24"/>
      <c r="Z226" s="23">
        <f t="shared" si="306"/>
        <v>0</v>
      </c>
      <c r="AA226" s="23"/>
      <c r="AB226" s="21"/>
      <c r="AC226" s="23">
        <f t="shared" si="306"/>
        <v>0</v>
      </c>
      <c r="AD226" s="23">
        <f t="shared" si="306"/>
        <v>0</v>
      </c>
      <c r="AE226" s="21"/>
      <c r="AF226" s="23">
        <f t="shared" si="306"/>
        <v>0</v>
      </c>
      <c r="AG226" s="23">
        <f t="shared" si="306"/>
        <v>0</v>
      </c>
      <c r="AH226" s="21"/>
      <c r="AI226" s="23">
        <f t="shared" si="306"/>
        <v>0</v>
      </c>
      <c r="AJ226" s="23">
        <f t="shared" si="306"/>
        <v>0</v>
      </c>
      <c r="AK226" s="21"/>
      <c r="AL226" s="23">
        <f t="shared" si="306"/>
        <v>145.9</v>
      </c>
      <c r="AM226" s="23">
        <f t="shared" si="306"/>
        <v>0</v>
      </c>
      <c r="AN226" s="24">
        <f>AM226/AL226*100</f>
        <v>0</v>
      </c>
      <c r="AO226" s="23">
        <f t="shared" si="306"/>
        <v>6</v>
      </c>
      <c r="AP226" s="23"/>
      <c r="AQ226" s="21">
        <f t="shared" si="297"/>
        <v>0</v>
      </c>
      <c r="AR226" s="33"/>
      <c r="AS226" s="33"/>
    </row>
    <row r="227" spans="1:45">
      <c r="A227" s="105"/>
      <c r="B227" s="108"/>
      <c r="C227" s="108"/>
      <c r="D227" s="35" t="s">
        <v>23</v>
      </c>
      <c r="E227" s="23">
        <f t="shared" si="295"/>
        <v>0</v>
      </c>
      <c r="F227" s="23">
        <f>I227+L227+O227+R227+U227+X227+AA227+AD227+AG227+AJ227+AM227+AP227</f>
        <v>0</v>
      </c>
      <c r="G227" s="24"/>
      <c r="H227" s="23"/>
      <c r="I227" s="23"/>
      <c r="J227" s="21"/>
      <c r="K227" s="23"/>
      <c r="L227" s="23"/>
      <c r="M227" s="24"/>
      <c r="N227" s="23"/>
      <c r="O227" s="23"/>
      <c r="P227" s="24"/>
      <c r="Q227" s="23"/>
      <c r="R227" s="23"/>
      <c r="S227" s="21"/>
      <c r="T227" s="23"/>
      <c r="U227" s="23"/>
      <c r="V227" s="24"/>
      <c r="W227" s="23"/>
      <c r="X227" s="23"/>
      <c r="Y227" s="24"/>
      <c r="Z227" s="23"/>
      <c r="AA227" s="23"/>
      <c r="AB227" s="21"/>
      <c r="AC227" s="23"/>
      <c r="AD227" s="23"/>
      <c r="AE227" s="21"/>
      <c r="AF227" s="23"/>
      <c r="AG227" s="23"/>
      <c r="AH227" s="21"/>
      <c r="AI227" s="23"/>
      <c r="AJ227" s="23"/>
      <c r="AK227" s="21"/>
      <c r="AL227" s="23"/>
      <c r="AM227" s="23"/>
      <c r="AN227" s="24"/>
      <c r="AO227" s="23"/>
      <c r="AP227" s="23"/>
      <c r="AQ227" s="21"/>
      <c r="AR227" s="33"/>
      <c r="AS227" s="33"/>
    </row>
    <row r="228" spans="1:45" ht="14.25" customHeight="1">
      <c r="A228" s="105"/>
      <c r="B228" s="108"/>
      <c r="C228" s="108"/>
      <c r="D228" s="35" t="s">
        <v>5</v>
      </c>
      <c r="E228" s="23">
        <f t="shared" si="295"/>
        <v>0</v>
      </c>
      <c r="F228" s="23">
        <f t="shared" si="295"/>
        <v>0</v>
      </c>
      <c r="G228" s="24"/>
      <c r="H228" s="23"/>
      <c r="I228" s="23"/>
      <c r="J228" s="21"/>
      <c r="K228" s="23"/>
      <c r="L228" s="23"/>
      <c r="M228" s="24"/>
      <c r="N228" s="23"/>
      <c r="O228" s="23"/>
      <c r="P228" s="24"/>
      <c r="Q228" s="23"/>
      <c r="R228" s="23"/>
      <c r="S228" s="21"/>
      <c r="T228" s="23"/>
      <c r="U228" s="23"/>
      <c r="V228" s="24"/>
      <c r="W228" s="23"/>
      <c r="X228" s="23"/>
      <c r="Y228" s="24"/>
      <c r="Z228" s="23"/>
      <c r="AA228" s="23"/>
      <c r="AB228" s="21"/>
      <c r="AC228" s="23"/>
      <c r="AD228" s="23"/>
      <c r="AE228" s="21"/>
      <c r="AF228" s="23"/>
      <c r="AG228" s="23"/>
      <c r="AH228" s="21"/>
      <c r="AI228" s="23"/>
      <c r="AJ228" s="23"/>
      <c r="AK228" s="21"/>
      <c r="AL228" s="23"/>
      <c r="AM228" s="23"/>
      <c r="AN228" s="24"/>
      <c r="AO228" s="23"/>
      <c r="AP228" s="23"/>
      <c r="AQ228" s="21"/>
      <c r="AR228" s="33"/>
      <c r="AS228" s="33"/>
    </row>
    <row r="229" spans="1:45" ht="72">
      <c r="A229" s="105"/>
      <c r="B229" s="108"/>
      <c r="C229" s="108"/>
      <c r="D229" s="35" t="s">
        <v>49</v>
      </c>
      <c r="E229" s="23">
        <f t="shared" si="295"/>
        <v>337.9</v>
      </c>
      <c r="F229" s="23">
        <f t="shared" si="295"/>
        <v>186</v>
      </c>
      <c r="G229" s="24">
        <f t="shared" ref="G229" si="308">F229/E229*100</f>
        <v>55.045871559633028</v>
      </c>
      <c r="H229" s="23"/>
      <c r="I229" s="23"/>
      <c r="J229" s="21"/>
      <c r="K229" s="23">
        <v>75</v>
      </c>
      <c r="L229" s="23">
        <v>75</v>
      </c>
      <c r="M229" s="24">
        <f t="shared" ref="M229" si="309">L229/K229*100</f>
        <v>100</v>
      </c>
      <c r="N229" s="23">
        <f>6+105</f>
        <v>111</v>
      </c>
      <c r="O229" s="23">
        <v>111</v>
      </c>
      <c r="P229" s="24">
        <f t="shared" si="307"/>
        <v>100</v>
      </c>
      <c r="Q229" s="23">
        <f>39.6-39.6</f>
        <v>0</v>
      </c>
      <c r="R229" s="23"/>
      <c r="S229" s="21"/>
      <c r="T229" s="23"/>
      <c r="U229" s="23"/>
      <c r="V229" s="24"/>
      <c r="W229" s="23">
        <f>61.2-61.2</f>
        <v>0</v>
      </c>
      <c r="X229" s="23"/>
      <c r="Y229" s="24"/>
      <c r="Z229" s="23">
        <f>39.1-39.1</f>
        <v>0</v>
      </c>
      <c r="AA229" s="23"/>
      <c r="AB229" s="21"/>
      <c r="AC229" s="23"/>
      <c r="AD229" s="23"/>
      <c r="AE229" s="21"/>
      <c r="AF229" s="23">
        <f>6+139.9-145.9</f>
        <v>0</v>
      </c>
      <c r="AG229" s="23"/>
      <c r="AH229" s="21"/>
      <c r="AI229" s="23"/>
      <c r="AJ229" s="23"/>
      <c r="AK229" s="21"/>
      <c r="AL229" s="23">
        <v>145.9</v>
      </c>
      <c r="AM229" s="23"/>
      <c r="AN229" s="24">
        <f t="shared" ref="AN229" si="310">AM229/AL229*100</f>
        <v>0</v>
      </c>
      <c r="AO229" s="23">
        <v>6</v>
      </c>
      <c r="AP229" s="23"/>
      <c r="AQ229" s="21">
        <f t="shared" si="297"/>
        <v>0</v>
      </c>
      <c r="AR229" s="83" t="s">
        <v>144</v>
      </c>
      <c r="AS229" s="33"/>
    </row>
    <row r="230" spans="1:45" ht="15.75" customHeight="1">
      <c r="A230" s="105"/>
      <c r="B230" s="108"/>
      <c r="C230" s="108"/>
      <c r="D230" s="35" t="s">
        <v>24</v>
      </c>
      <c r="E230" s="23">
        <f t="shared" si="295"/>
        <v>0</v>
      </c>
      <c r="F230" s="23">
        <f t="shared" si="295"/>
        <v>0</v>
      </c>
      <c r="G230" s="24"/>
      <c r="H230" s="23"/>
      <c r="I230" s="23"/>
      <c r="J230" s="24"/>
      <c r="K230" s="23"/>
      <c r="L230" s="23"/>
      <c r="M230" s="24"/>
      <c r="N230" s="23"/>
      <c r="O230" s="23"/>
      <c r="P230" s="24"/>
      <c r="Q230" s="23"/>
      <c r="R230" s="23"/>
      <c r="S230" s="24"/>
      <c r="T230" s="23"/>
      <c r="U230" s="23"/>
      <c r="V230" s="24"/>
      <c r="W230" s="23"/>
      <c r="X230" s="23"/>
      <c r="Y230" s="24"/>
      <c r="Z230" s="23"/>
      <c r="AA230" s="23"/>
      <c r="AB230" s="24"/>
      <c r="AC230" s="23"/>
      <c r="AD230" s="23"/>
      <c r="AE230" s="24"/>
      <c r="AF230" s="23"/>
      <c r="AG230" s="23"/>
      <c r="AH230" s="24"/>
      <c r="AI230" s="23"/>
      <c r="AJ230" s="23"/>
      <c r="AK230" s="24"/>
      <c r="AL230" s="23"/>
      <c r="AM230" s="23"/>
      <c r="AN230" s="24"/>
      <c r="AO230" s="23"/>
      <c r="AP230" s="23"/>
      <c r="AQ230" s="24"/>
      <c r="AR230" s="33"/>
      <c r="AS230" s="33"/>
    </row>
    <row r="231" spans="1:45">
      <c r="A231" s="106"/>
      <c r="B231" s="109"/>
      <c r="C231" s="109"/>
      <c r="D231" s="36" t="s">
        <v>137</v>
      </c>
      <c r="E231" s="23"/>
      <c r="F231" s="23">
        <f t="shared" si="295"/>
        <v>40</v>
      </c>
      <c r="G231" s="24"/>
      <c r="H231" s="23"/>
      <c r="I231" s="23"/>
      <c r="J231" s="24"/>
      <c r="K231" s="23"/>
      <c r="L231" s="23"/>
      <c r="M231" s="24"/>
      <c r="N231" s="23"/>
      <c r="O231" s="23">
        <v>40</v>
      </c>
      <c r="P231" s="24"/>
      <c r="Q231" s="23"/>
      <c r="R231" s="23"/>
      <c r="S231" s="24"/>
      <c r="T231" s="23"/>
      <c r="U231" s="23"/>
      <c r="V231" s="24"/>
      <c r="W231" s="23"/>
      <c r="X231" s="23"/>
      <c r="Y231" s="24"/>
      <c r="Z231" s="23"/>
      <c r="AA231" s="23"/>
      <c r="AB231" s="24"/>
      <c r="AC231" s="23"/>
      <c r="AD231" s="23"/>
      <c r="AE231" s="24"/>
      <c r="AF231" s="23"/>
      <c r="AG231" s="23"/>
      <c r="AH231" s="24"/>
      <c r="AI231" s="23"/>
      <c r="AJ231" s="23"/>
      <c r="AK231" s="24"/>
      <c r="AL231" s="23"/>
      <c r="AM231" s="23"/>
      <c r="AN231" s="24"/>
      <c r="AO231" s="23"/>
      <c r="AP231" s="23"/>
      <c r="AQ231" s="24"/>
      <c r="AR231" s="85" t="s">
        <v>143</v>
      </c>
      <c r="AS231" s="33"/>
    </row>
    <row r="232" spans="1:45" ht="15.75" customHeight="1">
      <c r="A232" s="92" t="s">
        <v>18</v>
      </c>
      <c r="B232" s="93"/>
      <c r="C232" s="94"/>
      <c r="D232" s="36" t="s">
        <v>4</v>
      </c>
      <c r="E232" s="37">
        <f>H232+K232+N232+Q232+T232+W232+Z232+AC232+AF232+AI232+AL232+AO232</f>
        <v>732.3</v>
      </c>
      <c r="F232" s="37">
        <f>I232+L232+O232+R232+U232+X232+AA232+AD232+AG232+AJ232+AM232+AP232</f>
        <v>335.6</v>
      </c>
      <c r="G232" s="25">
        <f>F232/E232*100</f>
        <v>45.828212481223545</v>
      </c>
      <c r="H232" s="37">
        <f>H233+H234+H235+H236</f>
        <v>0</v>
      </c>
      <c r="I232" s="37"/>
      <c r="J232" s="22"/>
      <c r="K232" s="37">
        <f t="shared" ref="K232:AO232" si="311">K234+K235</f>
        <v>75</v>
      </c>
      <c r="L232" s="37">
        <f t="shared" si="311"/>
        <v>75</v>
      </c>
      <c r="M232" s="25">
        <f t="shared" ref="M232:M235" si="312">L232/K232*100</f>
        <v>100</v>
      </c>
      <c r="N232" s="37">
        <f t="shared" si="311"/>
        <v>111</v>
      </c>
      <c r="O232" s="37">
        <f t="shared" si="311"/>
        <v>111</v>
      </c>
      <c r="P232" s="25">
        <f t="shared" ref="P232:P235" si="313">O232/N232*100</f>
        <v>100</v>
      </c>
      <c r="Q232" s="37">
        <f t="shared" si="311"/>
        <v>0</v>
      </c>
      <c r="R232" s="37">
        <f t="shared" si="311"/>
        <v>0</v>
      </c>
      <c r="S232" s="22"/>
      <c r="T232" s="37">
        <f t="shared" si="311"/>
        <v>0</v>
      </c>
      <c r="U232" s="37">
        <f t="shared" si="311"/>
        <v>0</v>
      </c>
      <c r="V232" s="25"/>
      <c r="W232" s="37">
        <f t="shared" si="311"/>
        <v>0</v>
      </c>
      <c r="X232" s="37">
        <f t="shared" si="311"/>
        <v>0</v>
      </c>
      <c r="Y232" s="25"/>
      <c r="Z232" s="37">
        <f t="shared" si="311"/>
        <v>0</v>
      </c>
      <c r="AA232" s="37">
        <f t="shared" si="311"/>
        <v>0</v>
      </c>
      <c r="AB232" s="25"/>
      <c r="AC232" s="37">
        <f t="shared" si="311"/>
        <v>0</v>
      </c>
      <c r="AD232" s="37">
        <f t="shared" si="311"/>
        <v>0</v>
      </c>
      <c r="AE232" s="22"/>
      <c r="AF232" s="37">
        <f>AF234+AF235</f>
        <v>149.6</v>
      </c>
      <c r="AG232" s="37">
        <f>AG234+AG235</f>
        <v>149.6</v>
      </c>
      <c r="AH232" s="25">
        <f>AG232/AF232*100</f>
        <v>100</v>
      </c>
      <c r="AI232" s="37">
        <f t="shared" si="311"/>
        <v>113.3</v>
      </c>
      <c r="AJ232" s="37">
        <f t="shared" si="311"/>
        <v>0</v>
      </c>
      <c r="AK232" s="25">
        <f>AJ232/AI232*100</f>
        <v>0</v>
      </c>
      <c r="AL232" s="37">
        <f t="shared" si="311"/>
        <v>277.39999999999998</v>
      </c>
      <c r="AM232" s="37">
        <f t="shared" si="311"/>
        <v>0</v>
      </c>
      <c r="AN232" s="25">
        <f>AM232/AL232*100</f>
        <v>0</v>
      </c>
      <c r="AO232" s="37">
        <f t="shared" si="311"/>
        <v>6</v>
      </c>
      <c r="AP232" s="37"/>
      <c r="AQ232" s="22">
        <f t="shared" si="297"/>
        <v>0</v>
      </c>
      <c r="AR232" s="33"/>
      <c r="AS232" s="33"/>
    </row>
    <row r="233" spans="1:45">
      <c r="A233" s="95"/>
      <c r="B233" s="96"/>
      <c r="C233" s="97"/>
      <c r="D233" s="36" t="s">
        <v>23</v>
      </c>
      <c r="E233" s="37">
        <f t="shared" si="295"/>
        <v>0</v>
      </c>
      <c r="F233" s="37">
        <f t="shared" si="295"/>
        <v>0</v>
      </c>
      <c r="G233" s="25"/>
      <c r="H233" s="23">
        <f>H217+H222+H227</f>
        <v>0</v>
      </c>
      <c r="I233" s="23"/>
      <c r="J233" s="22"/>
      <c r="K233" s="23">
        <f t="shared" ref="K233:AO236" si="314">K217+K222+K227</f>
        <v>0</v>
      </c>
      <c r="L233" s="23">
        <f>L217+L222+L227</f>
        <v>0</v>
      </c>
      <c r="M233" s="25"/>
      <c r="N233" s="23">
        <f t="shared" si="314"/>
        <v>0</v>
      </c>
      <c r="O233" s="23">
        <f t="shared" si="314"/>
        <v>0</v>
      </c>
      <c r="P233" s="25"/>
      <c r="Q233" s="23">
        <f t="shared" si="314"/>
        <v>0</v>
      </c>
      <c r="R233" s="23">
        <f t="shared" si="314"/>
        <v>0</v>
      </c>
      <c r="S233" s="22"/>
      <c r="T233" s="23">
        <f t="shared" si="314"/>
        <v>0</v>
      </c>
      <c r="U233" s="23">
        <f t="shared" si="314"/>
        <v>0</v>
      </c>
      <c r="V233" s="25"/>
      <c r="W233" s="23">
        <f t="shared" si="314"/>
        <v>0</v>
      </c>
      <c r="X233" s="23">
        <f t="shared" si="314"/>
        <v>0</v>
      </c>
      <c r="Y233" s="25"/>
      <c r="Z233" s="37">
        <f t="shared" si="314"/>
        <v>0</v>
      </c>
      <c r="AA233" s="37">
        <f t="shared" si="314"/>
        <v>0</v>
      </c>
      <c r="AB233" s="25"/>
      <c r="AC233" s="23">
        <f t="shared" si="314"/>
        <v>0</v>
      </c>
      <c r="AD233" s="23">
        <f t="shared" si="314"/>
        <v>0</v>
      </c>
      <c r="AE233" s="22"/>
      <c r="AF233" s="23">
        <f t="shared" si="314"/>
        <v>0</v>
      </c>
      <c r="AG233" s="23">
        <f t="shared" si="314"/>
        <v>0</v>
      </c>
      <c r="AH233" s="25"/>
      <c r="AI233" s="37">
        <f t="shared" si="314"/>
        <v>0</v>
      </c>
      <c r="AJ233" s="37">
        <f t="shared" si="314"/>
        <v>0</v>
      </c>
      <c r="AK233" s="25"/>
      <c r="AL233" s="37">
        <f t="shared" si="314"/>
        <v>0</v>
      </c>
      <c r="AM233" s="37">
        <f t="shared" si="314"/>
        <v>0</v>
      </c>
      <c r="AN233" s="25"/>
      <c r="AO233" s="37">
        <f t="shared" si="314"/>
        <v>0</v>
      </c>
      <c r="AP233" s="23"/>
      <c r="AQ233" s="22"/>
      <c r="AR233" s="33"/>
      <c r="AS233" s="33"/>
    </row>
    <row r="234" spans="1:45" ht="16.5" customHeight="1">
      <c r="A234" s="95"/>
      <c r="B234" s="96"/>
      <c r="C234" s="97"/>
      <c r="D234" s="36" t="s">
        <v>5</v>
      </c>
      <c r="E234" s="37">
        <f t="shared" si="295"/>
        <v>0</v>
      </c>
      <c r="F234" s="37">
        <f t="shared" si="295"/>
        <v>0</v>
      </c>
      <c r="G234" s="25"/>
      <c r="H234" s="23">
        <f>H218+H223+H228</f>
        <v>0</v>
      </c>
      <c r="I234" s="23"/>
      <c r="J234" s="22"/>
      <c r="K234" s="23">
        <f t="shared" si="314"/>
        <v>0</v>
      </c>
      <c r="L234" s="23">
        <f t="shared" si="314"/>
        <v>0</v>
      </c>
      <c r="M234" s="25"/>
      <c r="N234" s="23">
        <f t="shared" si="314"/>
        <v>0</v>
      </c>
      <c r="O234" s="23">
        <f t="shared" si="314"/>
        <v>0</v>
      </c>
      <c r="P234" s="25"/>
      <c r="Q234" s="23">
        <f t="shared" si="314"/>
        <v>0</v>
      </c>
      <c r="R234" s="23">
        <f t="shared" si="314"/>
        <v>0</v>
      </c>
      <c r="S234" s="22"/>
      <c r="T234" s="23">
        <f t="shared" si="314"/>
        <v>0</v>
      </c>
      <c r="U234" s="23">
        <f t="shared" si="314"/>
        <v>0</v>
      </c>
      <c r="V234" s="25"/>
      <c r="W234" s="23">
        <f t="shared" si="314"/>
        <v>0</v>
      </c>
      <c r="X234" s="23">
        <f t="shared" si="314"/>
        <v>0</v>
      </c>
      <c r="Y234" s="25"/>
      <c r="Z234" s="37">
        <f t="shared" si="314"/>
        <v>0</v>
      </c>
      <c r="AA234" s="37">
        <f t="shared" si="314"/>
        <v>0</v>
      </c>
      <c r="AB234" s="25"/>
      <c r="AC234" s="23">
        <f t="shared" si="314"/>
        <v>0</v>
      </c>
      <c r="AD234" s="23">
        <f t="shared" si="314"/>
        <v>0</v>
      </c>
      <c r="AE234" s="22"/>
      <c r="AF234" s="23">
        <f t="shared" si="314"/>
        <v>0</v>
      </c>
      <c r="AG234" s="23">
        <f t="shared" si="314"/>
        <v>0</v>
      </c>
      <c r="AH234" s="25"/>
      <c r="AI234" s="37">
        <f t="shared" si="314"/>
        <v>0</v>
      </c>
      <c r="AJ234" s="37">
        <f t="shared" si="314"/>
        <v>0</v>
      </c>
      <c r="AK234" s="25"/>
      <c r="AL234" s="37">
        <f t="shared" si="314"/>
        <v>0</v>
      </c>
      <c r="AM234" s="37">
        <f t="shared" si="314"/>
        <v>0</v>
      </c>
      <c r="AN234" s="25"/>
      <c r="AO234" s="37">
        <f t="shared" si="314"/>
        <v>0</v>
      </c>
      <c r="AP234" s="23"/>
      <c r="AQ234" s="22"/>
      <c r="AR234" s="33"/>
      <c r="AS234" s="33"/>
    </row>
    <row r="235" spans="1:45" ht="16.5" customHeight="1">
      <c r="A235" s="95"/>
      <c r="B235" s="96"/>
      <c r="C235" s="97"/>
      <c r="D235" s="36" t="s">
        <v>49</v>
      </c>
      <c r="E235" s="37">
        <f t="shared" si="295"/>
        <v>732.3</v>
      </c>
      <c r="F235" s="37">
        <f t="shared" si="295"/>
        <v>335.6</v>
      </c>
      <c r="G235" s="25">
        <f t="shared" ref="G235" si="315">F235/E235*100</f>
        <v>45.828212481223545</v>
      </c>
      <c r="H235" s="23">
        <f>H219+H224+H229</f>
        <v>0</v>
      </c>
      <c r="I235" s="23"/>
      <c r="J235" s="22"/>
      <c r="K235" s="23">
        <f t="shared" si="314"/>
        <v>75</v>
      </c>
      <c r="L235" s="23">
        <f t="shared" si="314"/>
        <v>75</v>
      </c>
      <c r="M235" s="25">
        <f t="shared" si="312"/>
        <v>100</v>
      </c>
      <c r="N235" s="23">
        <f t="shared" si="314"/>
        <v>111</v>
      </c>
      <c r="O235" s="23">
        <f t="shared" si="314"/>
        <v>111</v>
      </c>
      <c r="P235" s="25">
        <f t="shared" si="313"/>
        <v>100</v>
      </c>
      <c r="Q235" s="23">
        <f t="shared" si="314"/>
        <v>0</v>
      </c>
      <c r="R235" s="23">
        <f t="shared" si="314"/>
        <v>0</v>
      </c>
      <c r="S235" s="22"/>
      <c r="T235" s="23">
        <f t="shared" si="314"/>
        <v>0</v>
      </c>
      <c r="U235" s="23">
        <f t="shared" si="314"/>
        <v>0</v>
      </c>
      <c r="V235" s="25"/>
      <c r="W235" s="23">
        <f t="shared" si="314"/>
        <v>0</v>
      </c>
      <c r="X235" s="23">
        <f t="shared" si="314"/>
        <v>0</v>
      </c>
      <c r="Y235" s="25"/>
      <c r="Z235" s="37">
        <f t="shared" si="314"/>
        <v>0</v>
      </c>
      <c r="AA235" s="37">
        <f t="shared" si="314"/>
        <v>0</v>
      </c>
      <c r="AB235" s="25"/>
      <c r="AC235" s="23">
        <f t="shared" si="314"/>
        <v>0</v>
      </c>
      <c r="AD235" s="23">
        <f t="shared" si="314"/>
        <v>0</v>
      </c>
      <c r="AE235" s="22"/>
      <c r="AF235" s="23">
        <f t="shared" si="314"/>
        <v>149.6</v>
      </c>
      <c r="AG235" s="23">
        <f t="shared" si="314"/>
        <v>149.6</v>
      </c>
      <c r="AH235" s="25">
        <f t="shared" ref="AH235" si="316">AG235/AF235*100</f>
        <v>100</v>
      </c>
      <c r="AI235" s="37">
        <f t="shared" si="314"/>
        <v>113.3</v>
      </c>
      <c r="AJ235" s="37">
        <f t="shared" si="314"/>
        <v>0</v>
      </c>
      <c r="AK235" s="25">
        <f t="shared" ref="AK235" si="317">AJ235/AI235*100</f>
        <v>0</v>
      </c>
      <c r="AL235" s="37">
        <f t="shared" si="314"/>
        <v>277.39999999999998</v>
      </c>
      <c r="AM235" s="37">
        <f t="shared" si="314"/>
        <v>0</v>
      </c>
      <c r="AN235" s="25">
        <f t="shared" ref="AN235" si="318">AM235/AL235*100</f>
        <v>0</v>
      </c>
      <c r="AO235" s="37">
        <f t="shared" si="314"/>
        <v>6</v>
      </c>
      <c r="AP235" s="23"/>
      <c r="AQ235" s="22">
        <f t="shared" si="297"/>
        <v>0</v>
      </c>
      <c r="AR235" s="33"/>
      <c r="AS235" s="33"/>
    </row>
    <row r="236" spans="1:45" ht="14.25" customHeight="1">
      <c r="A236" s="95"/>
      <c r="B236" s="96"/>
      <c r="C236" s="97"/>
      <c r="D236" s="36" t="s">
        <v>24</v>
      </c>
      <c r="E236" s="44">
        <f t="shared" si="295"/>
        <v>0</v>
      </c>
      <c r="F236" s="44">
        <f t="shared" si="295"/>
        <v>0</v>
      </c>
      <c r="G236" s="24"/>
      <c r="H236" s="38">
        <f>H220+H225+H230</f>
        <v>0</v>
      </c>
      <c r="I236" s="38"/>
      <c r="J236" s="54"/>
      <c r="K236" s="38">
        <f t="shared" si="314"/>
        <v>0</v>
      </c>
      <c r="L236" s="38">
        <f t="shared" si="314"/>
        <v>0</v>
      </c>
      <c r="M236" s="25"/>
      <c r="N236" s="38">
        <f t="shared" si="314"/>
        <v>0</v>
      </c>
      <c r="O236" s="38">
        <f t="shared" si="314"/>
        <v>0</v>
      </c>
      <c r="P236" s="54"/>
      <c r="Q236" s="38">
        <f t="shared" si="314"/>
        <v>0</v>
      </c>
      <c r="R236" s="38">
        <f t="shared" si="314"/>
        <v>0</v>
      </c>
      <c r="S236" s="54"/>
      <c r="T236" s="38">
        <f t="shared" si="314"/>
        <v>0</v>
      </c>
      <c r="U236" s="38">
        <f t="shared" si="314"/>
        <v>0</v>
      </c>
      <c r="V236" s="24"/>
      <c r="W236" s="38">
        <f t="shared" si="314"/>
        <v>0</v>
      </c>
      <c r="X236" s="38">
        <f t="shared" si="314"/>
        <v>0</v>
      </c>
      <c r="Y236" s="24"/>
      <c r="Z236" s="44">
        <f t="shared" si="314"/>
        <v>0</v>
      </c>
      <c r="AA236" s="44">
        <f t="shared" si="314"/>
        <v>0</v>
      </c>
      <c r="AB236" s="54"/>
      <c r="AC236" s="38">
        <f t="shared" si="314"/>
        <v>0</v>
      </c>
      <c r="AD236" s="38">
        <f t="shared" si="314"/>
        <v>0</v>
      </c>
      <c r="AE236" s="54"/>
      <c r="AF236" s="38">
        <f t="shared" si="314"/>
        <v>0</v>
      </c>
      <c r="AG236" s="38">
        <f t="shared" si="314"/>
        <v>0</v>
      </c>
      <c r="AH236" s="54"/>
      <c r="AI236" s="38">
        <f t="shared" si="314"/>
        <v>0</v>
      </c>
      <c r="AJ236" s="38"/>
      <c r="AK236" s="54"/>
      <c r="AL236" s="38">
        <f t="shared" si="314"/>
        <v>0</v>
      </c>
      <c r="AM236" s="38">
        <f t="shared" si="314"/>
        <v>0</v>
      </c>
      <c r="AN236" s="54"/>
      <c r="AO236" s="38">
        <f t="shared" si="314"/>
        <v>0</v>
      </c>
      <c r="AP236" s="38"/>
      <c r="AQ236" s="54"/>
      <c r="AR236" s="33"/>
      <c r="AS236" s="33"/>
    </row>
    <row r="237" spans="1:45" ht="12" customHeight="1">
      <c r="A237" s="98"/>
      <c r="B237" s="99"/>
      <c r="C237" s="100"/>
      <c r="D237" s="36" t="s">
        <v>137</v>
      </c>
      <c r="E237" s="44"/>
      <c r="F237" s="44"/>
      <c r="G237" s="24"/>
      <c r="H237" s="38"/>
      <c r="I237" s="38"/>
      <c r="J237" s="54"/>
      <c r="K237" s="38"/>
      <c r="L237" s="38"/>
      <c r="M237" s="25"/>
      <c r="N237" s="38"/>
      <c r="O237" s="38">
        <f>O231</f>
        <v>40</v>
      </c>
      <c r="P237" s="54"/>
      <c r="Q237" s="38"/>
      <c r="R237" s="38"/>
      <c r="S237" s="54"/>
      <c r="T237" s="38"/>
      <c r="U237" s="38"/>
      <c r="V237" s="24"/>
      <c r="W237" s="38"/>
      <c r="X237" s="38"/>
      <c r="Y237" s="24"/>
      <c r="Z237" s="44"/>
      <c r="AA237" s="44"/>
      <c r="AB237" s="54"/>
      <c r="AC237" s="38"/>
      <c r="AD237" s="38"/>
      <c r="AE237" s="54"/>
      <c r="AF237" s="38"/>
      <c r="AG237" s="38"/>
      <c r="AH237" s="54"/>
      <c r="AI237" s="38"/>
      <c r="AJ237" s="38"/>
      <c r="AK237" s="54"/>
      <c r="AL237" s="38"/>
      <c r="AM237" s="38"/>
      <c r="AN237" s="54"/>
      <c r="AO237" s="38"/>
      <c r="AP237" s="38"/>
      <c r="AQ237" s="54"/>
      <c r="AR237" s="33"/>
      <c r="AS237" s="33"/>
    </row>
    <row r="238" spans="1:45" ht="18.600000000000001" customHeight="1">
      <c r="A238" s="45" t="s">
        <v>84</v>
      </c>
      <c r="B238" s="34" t="s">
        <v>19</v>
      </c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33"/>
      <c r="AS238" s="33"/>
    </row>
    <row r="239" spans="1:45" ht="15" customHeight="1">
      <c r="A239" s="89" t="s">
        <v>85</v>
      </c>
      <c r="B239" s="90" t="s">
        <v>118</v>
      </c>
      <c r="C239" s="90" t="s">
        <v>132</v>
      </c>
      <c r="D239" s="35" t="s">
        <v>4</v>
      </c>
      <c r="E239" s="23">
        <f t="shared" ref="E239:F258" si="319">H239+K239+N239+Q239+T239+W239+Z239+AC239+AF239+AI239+AL239+AO239</f>
        <v>7140.6999999999989</v>
      </c>
      <c r="F239" s="23">
        <f t="shared" si="319"/>
        <v>2875.8999999999996</v>
      </c>
      <c r="G239" s="24">
        <f>F239/E239*100</f>
        <v>40.274762978419481</v>
      </c>
      <c r="H239" s="23">
        <f>H240+H241+H242+H243</f>
        <v>0</v>
      </c>
      <c r="I239" s="23"/>
      <c r="J239" s="21"/>
      <c r="K239" s="23">
        <f t="shared" ref="K239:AO239" si="320">K240+K241+K242+K243</f>
        <v>56.6</v>
      </c>
      <c r="L239" s="23">
        <f t="shared" si="320"/>
        <v>346</v>
      </c>
      <c r="M239" s="24">
        <f t="shared" ref="M239" si="321">L239/K239*100</f>
        <v>611.30742049469961</v>
      </c>
      <c r="N239" s="23">
        <f t="shared" si="320"/>
        <v>300.89999999999998</v>
      </c>
      <c r="O239" s="23">
        <f t="shared" si="320"/>
        <v>-330</v>
      </c>
      <c r="P239" s="24">
        <f t="shared" ref="P239" si="322">O239/N239*100</f>
        <v>-109.67098703888337</v>
      </c>
      <c r="Q239" s="23">
        <f t="shared" si="320"/>
        <v>0</v>
      </c>
      <c r="R239" s="23"/>
      <c r="S239" s="21"/>
      <c r="T239" s="23">
        <f t="shared" si="320"/>
        <v>2237.8999999999996</v>
      </c>
      <c r="U239" s="23">
        <f t="shared" si="320"/>
        <v>0</v>
      </c>
      <c r="V239" s="24">
        <f>U239/T239*100</f>
        <v>0</v>
      </c>
      <c r="W239" s="23">
        <f t="shared" si="320"/>
        <v>0</v>
      </c>
      <c r="X239" s="23">
        <f t="shared" si="320"/>
        <v>-16</v>
      </c>
      <c r="Y239" s="24"/>
      <c r="Z239" s="23">
        <f t="shared" si="320"/>
        <v>197.59999999999974</v>
      </c>
      <c r="AA239" s="23">
        <f t="shared" si="320"/>
        <v>0</v>
      </c>
      <c r="AB239" s="24">
        <f>AA239/Z239*100</f>
        <v>0</v>
      </c>
      <c r="AC239" s="23">
        <f t="shared" si="320"/>
        <v>1510.9</v>
      </c>
      <c r="AD239" s="23">
        <f t="shared" si="320"/>
        <v>2875.8999999999996</v>
      </c>
      <c r="AE239" s="24">
        <f>AD239/AC239*100</f>
        <v>190.34350387186441</v>
      </c>
      <c r="AF239" s="23">
        <f t="shared" si="320"/>
        <v>0</v>
      </c>
      <c r="AG239" s="23">
        <f t="shared" si="320"/>
        <v>0</v>
      </c>
      <c r="AH239" s="24"/>
      <c r="AI239" s="23">
        <f t="shared" si="320"/>
        <v>0</v>
      </c>
      <c r="AJ239" s="23">
        <f t="shared" si="320"/>
        <v>0</v>
      </c>
      <c r="AK239" s="21"/>
      <c r="AL239" s="23">
        <f t="shared" si="320"/>
        <v>1047.1999999999998</v>
      </c>
      <c r="AM239" s="23">
        <f t="shared" si="320"/>
        <v>0</v>
      </c>
      <c r="AN239" s="24">
        <f>AM239/AL239*100</f>
        <v>0</v>
      </c>
      <c r="AO239" s="23">
        <f t="shared" si="320"/>
        <v>1789.6</v>
      </c>
      <c r="AP239" s="23"/>
      <c r="AQ239" s="21">
        <f t="shared" ref="AQ239:AQ247" si="323">AP239/AO239</f>
        <v>0</v>
      </c>
      <c r="AR239" s="33"/>
      <c r="AS239" s="33"/>
    </row>
    <row r="240" spans="1:45" ht="13.5" customHeight="1">
      <c r="A240" s="89"/>
      <c r="B240" s="90"/>
      <c r="C240" s="90"/>
      <c r="D240" s="35" t="s">
        <v>23</v>
      </c>
      <c r="E240" s="23">
        <f t="shared" si="319"/>
        <v>0</v>
      </c>
      <c r="F240" s="23">
        <f t="shared" si="319"/>
        <v>0</v>
      </c>
      <c r="G240" s="24"/>
      <c r="H240" s="23"/>
      <c r="I240" s="23"/>
      <c r="J240" s="21"/>
      <c r="K240" s="23"/>
      <c r="L240" s="23"/>
      <c r="M240" s="21"/>
      <c r="N240" s="23"/>
      <c r="O240" s="23"/>
      <c r="P240" s="21"/>
      <c r="Q240" s="23"/>
      <c r="R240" s="23"/>
      <c r="S240" s="21"/>
      <c r="T240" s="23"/>
      <c r="U240" s="23"/>
      <c r="V240" s="24"/>
      <c r="W240" s="23"/>
      <c r="X240" s="23"/>
      <c r="Y240" s="24"/>
      <c r="Z240" s="23"/>
      <c r="AA240" s="23"/>
      <c r="AB240" s="24"/>
      <c r="AC240" s="23"/>
      <c r="AD240" s="23"/>
      <c r="AE240" s="24"/>
      <c r="AF240" s="23"/>
      <c r="AG240" s="23"/>
      <c r="AH240" s="24"/>
      <c r="AI240" s="23"/>
      <c r="AJ240" s="23"/>
      <c r="AK240" s="21"/>
      <c r="AL240" s="23"/>
      <c r="AM240" s="23"/>
      <c r="AN240" s="24"/>
      <c r="AO240" s="23"/>
      <c r="AP240" s="23"/>
      <c r="AQ240" s="21"/>
      <c r="AR240" s="33"/>
      <c r="AS240" s="33"/>
    </row>
    <row r="241" spans="1:45" ht="36.75" customHeight="1">
      <c r="A241" s="89"/>
      <c r="B241" s="90"/>
      <c r="C241" s="90"/>
      <c r="D241" s="35" t="s">
        <v>5</v>
      </c>
      <c r="E241" s="23">
        <f t="shared" si="319"/>
        <v>1847.7999999999995</v>
      </c>
      <c r="F241" s="23">
        <f t="shared" si="319"/>
        <v>1132.0999999999999</v>
      </c>
      <c r="G241" s="24">
        <f t="shared" ref="G241:G242" si="324">F241/E241*100</f>
        <v>61.267453187574425</v>
      </c>
      <c r="H241" s="23"/>
      <c r="I241" s="23"/>
      <c r="J241" s="21"/>
      <c r="K241" s="23">
        <f>635-635</f>
        <v>0</v>
      </c>
      <c r="L241" s="23"/>
      <c r="M241" s="24"/>
      <c r="N241" s="23">
        <f>169.9-169.9</f>
        <v>0</v>
      </c>
      <c r="O241" s="23">
        <v>0</v>
      </c>
      <c r="P241" s="24"/>
      <c r="Q241" s="23"/>
      <c r="R241" s="23"/>
      <c r="S241" s="21"/>
      <c r="T241" s="23">
        <f>1954-120.7-357.7-531.2-454.8</f>
        <v>489.59999999999985</v>
      </c>
      <c r="U241" s="23"/>
      <c r="V241" s="24"/>
      <c r="W241" s="23"/>
      <c r="X241" s="23"/>
      <c r="Y241" s="24"/>
      <c r="Z241" s="23">
        <f>3900.2+120.7-3909.6+86.3</f>
        <v>197.59999999999974</v>
      </c>
      <c r="AA241" s="23">
        <v>0</v>
      </c>
      <c r="AB241" s="24">
        <f t="shared" ref="AB241" si="325">AA241/Z241*100</f>
        <v>0</v>
      </c>
      <c r="AC241" s="23">
        <f>531.2-86.3</f>
        <v>444.90000000000003</v>
      </c>
      <c r="AD241" s="23">
        <v>1132.0999999999999</v>
      </c>
      <c r="AE241" s="24">
        <f t="shared" ref="AE241:AE242" si="326">AD241/AC241*100</f>
        <v>254.46167678129913</v>
      </c>
      <c r="AF241" s="23"/>
      <c r="AG241" s="23"/>
      <c r="AH241" s="24"/>
      <c r="AI241" s="23"/>
      <c r="AJ241" s="23"/>
      <c r="AK241" s="21"/>
      <c r="AL241" s="23">
        <f>545.5+116.3+635-634.7</f>
        <v>662.09999999999991</v>
      </c>
      <c r="AM241" s="23"/>
      <c r="AN241" s="24">
        <f t="shared" ref="AN241:AN242" si="327">AM241/AL241*100</f>
        <v>0</v>
      </c>
      <c r="AO241" s="23">
        <v>53.6</v>
      </c>
      <c r="AP241" s="23"/>
      <c r="AQ241" s="21">
        <f t="shared" si="323"/>
        <v>0</v>
      </c>
      <c r="AR241" s="107" t="s">
        <v>196</v>
      </c>
      <c r="AS241" s="107" t="s">
        <v>197</v>
      </c>
    </row>
    <row r="242" spans="1:45" ht="36.75" customHeight="1">
      <c r="A242" s="89"/>
      <c r="B242" s="90"/>
      <c r="C242" s="90"/>
      <c r="D242" s="35" t="s">
        <v>49</v>
      </c>
      <c r="E242" s="23">
        <f t="shared" si="319"/>
        <v>5292.9</v>
      </c>
      <c r="F242" s="23">
        <f t="shared" si="319"/>
        <v>1743.8</v>
      </c>
      <c r="G242" s="24">
        <f t="shared" si="324"/>
        <v>32.946022029511234</v>
      </c>
      <c r="H242" s="23"/>
      <c r="I242" s="23"/>
      <c r="J242" s="21"/>
      <c r="K242" s="23">
        <v>56.6</v>
      </c>
      <c r="L242" s="23">
        <v>346</v>
      </c>
      <c r="M242" s="24">
        <f t="shared" ref="M242" si="328">L242/K242*100</f>
        <v>611.30742049469961</v>
      </c>
      <c r="N242" s="23">
        <v>300.89999999999998</v>
      </c>
      <c r="O242" s="23">
        <v>-330</v>
      </c>
      <c r="P242" s="24">
        <f t="shared" ref="P242" si="329">O242/N242*100</f>
        <v>-109.67098703888337</v>
      </c>
      <c r="Q242" s="23"/>
      <c r="R242" s="23"/>
      <c r="S242" s="21"/>
      <c r="T242" s="23">
        <f>4099.9-197.7-2153.9</f>
        <v>1748.2999999999997</v>
      </c>
      <c r="U242" s="23"/>
      <c r="V242" s="24">
        <f t="shared" ref="V242" si="330">U242/T242*100</f>
        <v>0</v>
      </c>
      <c r="W242" s="23"/>
      <c r="X242" s="23">
        <v>-16</v>
      </c>
      <c r="Y242" s="24"/>
      <c r="Z242" s="23">
        <f>963.6+197.6-1161.2</f>
        <v>0</v>
      </c>
      <c r="AA242" s="23">
        <v>0</v>
      </c>
      <c r="AB242" s="24"/>
      <c r="AC242" s="23">
        <f>1414.1-348.1</f>
        <v>1066</v>
      </c>
      <c r="AD242" s="23">
        <v>1743.8</v>
      </c>
      <c r="AE242" s="24">
        <f t="shared" si="326"/>
        <v>163.58348968105065</v>
      </c>
      <c r="AF242" s="23"/>
      <c r="AG242" s="23"/>
      <c r="AH242" s="24"/>
      <c r="AI242" s="23"/>
      <c r="AJ242" s="23"/>
      <c r="AK242" s="21"/>
      <c r="AL242" s="23">
        <f>819.6+139.3+835.1-1408.9</f>
        <v>385.09999999999991</v>
      </c>
      <c r="AM242" s="23"/>
      <c r="AN242" s="24">
        <f t="shared" si="327"/>
        <v>0</v>
      </c>
      <c r="AO242" s="23">
        <f>103.5+106.5+0.6+1525.4</f>
        <v>1736</v>
      </c>
      <c r="AP242" s="23"/>
      <c r="AQ242" s="21">
        <f t="shared" si="323"/>
        <v>0</v>
      </c>
      <c r="AR242" s="109"/>
      <c r="AS242" s="109"/>
    </row>
    <row r="243" spans="1:45" ht="20.25" customHeight="1">
      <c r="A243" s="89"/>
      <c r="B243" s="90"/>
      <c r="C243" s="90"/>
      <c r="D243" s="35" t="s">
        <v>24</v>
      </c>
      <c r="E243" s="23">
        <f t="shared" si="319"/>
        <v>0</v>
      </c>
      <c r="F243" s="23">
        <f t="shared" si="319"/>
        <v>0</v>
      </c>
      <c r="G243" s="24"/>
      <c r="H243" s="23"/>
      <c r="I243" s="23"/>
      <c r="J243" s="24"/>
      <c r="K243" s="23"/>
      <c r="L243" s="23"/>
      <c r="M243" s="24"/>
      <c r="N243" s="23"/>
      <c r="O243" s="23"/>
      <c r="P243" s="24"/>
      <c r="Q243" s="23"/>
      <c r="R243" s="23"/>
      <c r="S243" s="24"/>
      <c r="T243" s="23"/>
      <c r="U243" s="23"/>
      <c r="V243" s="24"/>
      <c r="W243" s="23"/>
      <c r="X243" s="23"/>
      <c r="Y243" s="24"/>
      <c r="Z243" s="23"/>
      <c r="AA243" s="23"/>
      <c r="AB243" s="24"/>
      <c r="AC243" s="23"/>
      <c r="AD243" s="23"/>
      <c r="AE243" s="24"/>
      <c r="AF243" s="23"/>
      <c r="AG243" s="23"/>
      <c r="AH243" s="24"/>
      <c r="AI243" s="23"/>
      <c r="AJ243" s="23"/>
      <c r="AK243" s="24"/>
      <c r="AL243" s="23"/>
      <c r="AM243" s="23"/>
      <c r="AN243" s="24"/>
      <c r="AO243" s="23"/>
      <c r="AP243" s="23"/>
      <c r="AQ243" s="24"/>
      <c r="AR243" s="33"/>
      <c r="AS243" s="33"/>
    </row>
    <row r="244" spans="1:45" ht="15" customHeight="1">
      <c r="A244" s="89" t="s">
        <v>86</v>
      </c>
      <c r="B244" s="90" t="s">
        <v>119</v>
      </c>
      <c r="C244" s="90" t="s">
        <v>7</v>
      </c>
      <c r="D244" s="35" t="s">
        <v>4</v>
      </c>
      <c r="E244" s="23">
        <f t="shared" si="319"/>
        <v>622.69999999999993</v>
      </c>
      <c r="F244" s="23">
        <f t="shared" si="319"/>
        <v>92.2000000000005</v>
      </c>
      <c r="G244" s="24">
        <f>F244/E244*100</f>
        <v>14.806487875381485</v>
      </c>
      <c r="H244" s="23">
        <f>H245+H246+H247+H248</f>
        <v>0</v>
      </c>
      <c r="I244" s="23"/>
      <c r="J244" s="21"/>
      <c r="K244" s="23">
        <f t="shared" ref="K244:AO244" si="331">K245+K246+K247+K248</f>
        <v>0</v>
      </c>
      <c r="L244" s="23"/>
      <c r="M244" s="21"/>
      <c r="N244" s="23">
        <f t="shared" si="331"/>
        <v>0</v>
      </c>
      <c r="O244" s="23"/>
      <c r="P244" s="21"/>
      <c r="Q244" s="23">
        <f t="shared" si="331"/>
        <v>0</v>
      </c>
      <c r="R244" s="23">
        <f t="shared" si="331"/>
        <v>0</v>
      </c>
      <c r="S244" s="24"/>
      <c r="T244" s="23">
        <f t="shared" si="331"/>
        <v>105</v>
      </c>
      <c r="U244" s="23">
        <f t="shared" si="331"/>
        <v>1248</v>
      </c>
      <c r="V244" s="24"/>
      <c r="W244" s="23">
        <f t="shared" si="331"/>
        <v>0</v>
      </c>
      <c r="X244" s="23">
        <f t="shared" si="331"/>
        <v>530.00000000000045</v>
      </c>
      <c r="Y244" s="24"/>
      <c r="Z244" s="23">
        <f t="shared" si="331"/>
        <v>0</v>
      </c>
      <c r="AA244" s="23">
        <f t="shared" si="331"/>
        <v>-1685.8</v>
      </c>
      <c r="AB244" s="24"/>
      <c r="AC244" s="23">
        <f t="shared" si="331"/>
        <v>0</v>
      </c>
      <c r="AD244" s="23">
        <f t="shared" si="331"/>
        <v>0</v>
      </c>
      <c r="AE244" s="24"/>
      <c r="AF244" s="23">
        <f t="shared" si="331"/>
        <v>12.799999999999999</v>
      </c>
      <c r="AG244" s="23">
        <f t="shared" si="331"/>
        <v>0</v>
      </c>
      <c r="AH244" s="24">
        <f>AG244/AF244*100</f>
        <v>0</v>
      </c>
      <c r="AI244" s="23">
        <f t="shared" si="331"/>
        <v>0</v>
      </c>
      <c r="AJ244" s="23">
        <f t="shared" si="331"/>
        <v>0</v>
      </c>
      <c r="AK244" s="21"/>
      <c r="AL244" s="23">
        <f t="shared" si="331"/>
        <v>0</v>
      </c>
      <c r="AM244" s="23">
        <f t="shared" si="331"/>
        <v>0</v>
      </c>
      <c r="AN244" s="24" t="e">
        <f>AM244/AL244*100</f>
        <v>#DIV/0!</v>
      </c>
      <c r="AO244" s="23">
        <f t="shared" si="331"/>
        <v>504.9</v>
      </c>
      <c r="AP244" s="23"/>
      <c r="AQ244" s="21">
        <f t="shared" si="323"/>
        <v>0</v>
      </c>
      <c r="AR244" s="33"/>
      <c r="AS244" s="33"/>
    </row>
    <row r="245" spans="1:45" ht="15" customHeight="1">
      <c r="A245" s="89"/>
      <c r="B245" s="90"/>
      <c r="C245" s="90"/>
      <c r="D245" s="35" t="s">
        <v>23</v>
      </c>
      <c r="E245" s="23">
        <f t="shared" si="319"/>
        <v>0</v>
      </c>
      <c r="F245" s="23">
        <f t="shared" si="319"/>
        <v>0</v>
      </c>
      <c r="G245" s="24"/>
      <c r="H245" s="23"/>
      <c r="I245" s="23"/>
      <c r="J245" s="21"/>
      <c r="K245" s="23"/>
      <c r="L245" s="23"/>
      <c r="M245" s="21"/>
      <c r="N245" s="23"/>
      <c r="O245" s="23"/>
      <c r="P245" s="21"/>
      <c r="Q245" s="23"/>
      <c r="R245" s="23"/>
      <c r="S245" s="24"/>
      <c r="T245" s="23"/>
      <c r="U245" s="23"/>
      <c r="V245" s="21"/>
      <c r="W245" s="23"/>
      <c r="X245" s="23"/>
      <c r="Y245" s="24"/>
      <c r="Z245" s="23"/>
      <c r="AA245" s="23"/>
      <c r="AB245" s="24"/>
      <c r="AC245" s="23"/>
      <c r="AD245" s="23"/>
      <c r="AE245" s="24"/>
      <c r="AF245" s="23"/>
      <c r="AG245" s="23"/>
      <c r="AH245" s="24"/>
      <c r="AI245" s="23"/>
      <c r="AJ245" s="23"/>
      <c r="AK245" s="21"/>
      <c r="AL245" s="23"/>
      <c r="AM245" s="23"/>
      <c r="AN245" s="24"/>
      <c r="AO245" s="23"/>
      <c r="AP245" s="23"/>
      <c r="AQ245" s="21"/>
      <c r="AR245" s="33"/>
      <c r="AS245" s="33"/>
    </row>
    <row r="246" spans="1:45" ht="28.5" customHeight="1">
      <c r="A246" s="89"/>
      <c r="B246" s="90"/>
      <c r="C246" s="90"/>
      <c r="D246" s="35" t="s">
        <v>5</v>
      </c>
      <c r="E246" s="23">
        <f t="shared" si="319"/>
        <v>322.7</v>
      </c>
      <c r="F246" s="23">
        <f t="shared" si="319"/>
        <v>4.5474735088646412E-13</v>
      </c>
      <c r="G246" s="24">
        <f t="shared" ref="G246:G247" si="332">F246/E246*100</f>
        <v>1.4091953854554204E-13</v>
      </c>
      <c r="H246" s="23"/>
      <c r="I246" s="23"/>
      <c r="J246" s="21"/>
      <c r="K246" s="23"/>
      <c r="L246" s="23"/>
      <c r="M246" s="21"/>
      <c r="N246" s="23"/>
      <c r="O246" s="23"/>
      <c r="P246" s="21"/>
      <c r="Q246" s="23"/>
      <c r="R246" s="23"/>
      <c r="S246" s="24"/>
      <c r="T246" s="23">
        <f>1143-1143</f>
        <v>0</v>
      </c>
      <c r="U246" s="23">
        <v>1143</v>
      </c>
      <c r="V246" s="24"/>
      <c r="W246" s="23">
        <f>4201.1-3671.1-530</f>
        <v>0</v>
      </c>
      <c r="X246" s="23">
        <f>4201.1-3671.1</f>
        <v>530.00000000000045</v>
      </c>
      <c r="Y246" s="24"/>
      <c r="Z246" s="23">
        <f>1600+3671.1-5271.1</f>
        <v>0</v>
      </c>
      <c r="AA246" s="23">
        <v>-1673</v>
      </c>
      <c r="AB246" s="24"/>
      <c r="AC246" s="23">
        <f>1400-1400</f>
        <v>0</v>
      </c>
      <c r="AD246" s="23">
        <v>0</v>
      </c>
      <c r="AE246" s="24"/>
      <c r="AF246" s="23">
        <f>749.9-749.9</f>
        <v>0</v>
      </c>
      <c r="AG246" s="23"/>
      <c r="AH246" s="24"/>
      <c r="AI246" s="23"/>
      <c r="AJ246" s="23"/>
      <c r="AK246" s="21"/>
      <c r="AL246" s="23"/>
      <c r="AM246" s="23"/>
      <c r="AN246" s="24"/>
      <c r="AO246" s="23">
        <v>322.7</v>
      </c>
      <c r="AP246" s="23"/>
      <c r="AQ246" s="21">
        <f t="shared" si="323"/>
        <v>0</v>
      </c>
      <c r="AR246" s="86"/>
      <c r="AS246" s="107" t="s">
        <v>198</v>
      </c>
    </row>
    <row r="247" spans="1:45" ht="63.75" customHeight="1">
      <c r="A247" s="89"/>
      <c r="B247" s="90"/>
      <c r="C247" s="90"/>
      <c r="D247" s="35" t="s">
        <v>49</v>
      </c>
      <c r="E247" s="23">
        <f t="shared" si="319"/>
        <v>300</v>
      </c>
      <c r="F247" s="23">
        <f t="shared" si="319"/>
        <v>92.2</v>
      </c>
      <c r="G247" s="24">
        <f t="shared" si="332"/>
        <v>30.733333333333334</v>
      </c>
      <c r="H247" s="23"/>
      <c r="I247" s="23"/>
      <c r="J247" s="21"/>
      <c r="K247" s="23"/>
      <c r="L247" s="23"/>
      <c r="M247" s="21"/>
      <c r="N247" s="23"/>
      <c r="O247" s="23"/>
      <c r="P247" s="21"/>
      <c r="Q247" s="23"/>
      <c r="R247" s="23"/>
      <c r="S247" s="24"/>
      <c r="T247" s="23">
        <v>105</v>
      </c>
      <c r="U247" s="23">
        <v>105</v>
      </c>
      <c r="V247" s="24">
        <f t="shared" ref="V247" si="333">U247/T247*100</f>
        <v>100</v>
      </c>
      <c r="W247" s="23">
        <f>67.2-67.2</f>
        <v>0</v>
      </c>
      <c r="X247" s="23"/>
      <c r="Y247" s="24"/>
      <c r="Z247" s="23">
        <f>42-42</f>
        <v>0</v>
      </c>
      <c r="AA247" s="23">
        <v>-12.8</v>
      </c>
      <c r="AB247" s="24"/>
      <c r="AC247" s="23">
        <f>51+67.2-118.2</f>
        <v>0</v>
      </c>
      <c r="AD247" s="23">
        <v>0</v>
      </c>
      <c r="AE247" s="24"/>
      <c r="AF247" s="23">
        <f>22.4-9.6</f>
        <v>12.799999999999999</v>
      </c>
      <c r="AG247" s="23"/>
      <c r="AH247" s="24">
        <f t="shared" ref="AH247" si="334">AG247/AF247*100</f>
        <v>0</v>
      </c>
      <c r="AI247" s="23"/>
      <c r="AJ247" s="23"/>
      <c r="AK247" s="21"/>
      <c r="AL247" s="23"/>
      <c r="AM247" s="23"/>
      <c r="AN247" s="24" t="e">
        <f t="shared" ref="AN247" si="335">AM247/AL247*100</f>
        <v>#DIV/0!</v>
      </c>
      <c r="AO247" s="23">
        <v>182.2</v>
      </c>
      <c r="AP247" s="23"/>
      <c r="AQ247" s="21">
        <f t="shared" si="323"/>
        <v>0</v>
      </c>
      <c r="AR247" s="84" t="s">
        <v>161</v>
      </c>
      <c r="AS247" s="109"/>
    </row>
    <row r="248" spans="1:45" ht="15.75" customHeight="1">
      <c r="A248" s="89"/>
      <c r="B248" s="90"/>
      <c r="C248" s="90"/>
      <c r="D248" s="35" t="s">
        <v>24</v>
      </c>
      <c r="E248" s="23">
        <f t="shared" si="319"/>
        <v>0</v>
      </c>
      <c r="F248" s="23">
        <f t="shared" si="319"/>
        <v>0</v>
      </c>
      <c r="G248" s="24"/>
      <c r="H248" s="23"/>
      <c r="I248" s="23"/>
      <c r="J248" s="24"/>
      <c r="K248" s="23"/>
      <c r="L248" s="23"/>
      <c r="M248" s="24"/>
      <c r="N248" s="23"/>
      <c r="O248" s="23"/>
      <c r="P248" s="24"/>
      <c r="Q248" s="23"/>
      <c r="R248" s="23"/>
      <c r="S248" s="24"/>
      <c r="T248" s="23"/>
      <c r="U248" s="23"/>
      <c r="V248" s="24"/>
      <c r="W248" s="23"/>
      <c r="X248" s="23"/>
      <c r="Y248" s="24"/>
      <c r="Z248" s="23"/>
      <c r="AA248" s="23"/>
      <c r="AB248" s="24"/>
      <c r="AC248" s="23"/>
      <c r="AD248" s="23"/>
      <c r="AE248" s="24"/>
      <c r="AF248" s="23"/>
      <c r="AG248" s="23"/>
      <c r="AH248" s="24"/>
      <c r="AI248" s="23"/>
      <c r="AJ248" s="23"/>
      <c r="AK248" s="24"/>
      <c r="AL248" s="23"/>
      <c r="AM248" s="23"/>
      <c r="AN248" s="24"/>
      <c r="AO248" s="23"/>
      <c r="AP248" s="23"/>
      <c r="AQ248" s="24"/>
      <c r="AR248" s="33"/>
      <c r="AS248" s="33"/>
    </row>
    <row r="249" spans="1:45" ht="12" customHeight="1">
      <c r="A249" s="89" t="s">
        <v>87</v>
      </c>
      <c r="B249" s="90" t="s">
        <v>120</v>
      </c>
      <c r="C249" s="90" t="s">
        <v>7</v>
      </c>
      <c r="D249" s="35" t="s">
        <v>4</v>
      </c>
      <c r="E249" s="23">
        <f t="shared" si="319"/>
        <v>0</v>
      </c>
      <c r="F249" s="23">
        <f t="shared" si="319"/>
        <v>0</v>
      </c>
      <c r="G249" s="24"/>
      <c r="H249" s="23">
        <f>H250+H251+H252+H253</f>
        <v>0</v>
      </c>
      <c r="I249" s="23"/>
      <c r="J249" s="24"/>
      <c r="K249" s="23">
        <f t="shared" ref="K249:AO249" si="336">K250+K251+K252+K253</f>
        <v>0</v>
      </c>
      <c r="L249" s="23"/>
      <c r="M249" s="24"/>
      <c r="N249" s="23">
        <f t="shared" si="336"/>
        <v>0</v>
      </c>
      <c r="O249" s="23"/>
      <c r="P249" s="24"/>
      <c r="Q249" s="23">
        <f t="shared" si="336"/>
        <v>0</v>
      </c>
      <c r="R249" s="23"/>
      <c r="S249" s="24"/>
      <c r="T249" s="23">
        <f t="shared" si="336"/>
        <v>0</v>
      </c>
      <c r="U249" s="23"/>
      <c r="V249" s="24"/>
      <c r="W249" s="23">
        <f t="shared" si="336"/>
        <v>0</v>
      </c>
      <c r="X249" s="23"/>
      <c r="Y249" s="24"/>
      <c r="Z249" s="23">
        <f t="shared" si="336"/>
        <v>0</v>
      </c>
      <c r="AA249" s="23"/>
      <c r="AB249" s="24"/>
      <c r="AC249" s="23">
        <f t="shared" si="336"/>
        <v>0</v>
      </c>
      <c r="AD249" s="23"/>
      <c r="AE249" s="24"/>
      <c r="AF249" s="23">
        <f t="shared" si="336"/>
        <v>0</v>
      </c>
      <c r="AG249" s="23"/>
      <c r="AH249" s="24"/>
      <c r="AI249" s="23">
        <f t="shared" si="336"/>
        <v>0</v>
      </c>
      <c r="AJ249" s="23"/>
      <c r="AK249" s="24"/>
      <c r="AL249" s="23">
        <f t="shared" si="336"/>
        <v>0</v>
      </c>
      <c r="AM249" s="23"/>
      <c r="AN249" s="24"/>
      <c r="AO249" s="23">
        <f t="shared" si="336"/>
        <v>0</v>
      </c>
      <c r="AP249" s="23"/>
      <c r="AQ249" s="24"/>
      <c r="AR249" s="33"/>
      <c r="AS249" s="33"/>
    </row>
    <row r="250" spans="1:45">
      <c r="A250" s="89"/>
      <c r="B250" s="90"/>
      <c r="C250" s="90"/>
      <c r="D250" s="35" t="s">
        <v>23</v>
      </c>
      <c r="E250" s="23">
        <f t="shared" si="319"/>
        <v>0</v>
      </c>
      <c r="F250" s="23">
        <f t="shared" si="319"/>
        <v>0</v>
      </c>
      <c r="G250" s="24"/>
      <c r="H250" s="23"/>
      <c r="I250" s="23"/>
      <c r="J250" s="24"/>
      <c r="K250" s="23"/>
      <c r="L250" s="23"/>
      <c r="M250" s="24"/>
      <c r="N250" s="23"/>
      <c r="O250" s="23"/>
      <c r="P250" s="24"/>
      <c r="Q250" s="23"/>
      <c r="R250" s="23"/>
      <c r="S250" s="24"/>
      <c r="T250" s="23"/>
      <c r="U250" s="23"/>
      <c r="V250" s="24"/>
      <c r="W250" s="23"/>
      <c r="X250" s="23"/>
      <c r="Y250" s="24"/>
      <c r="Z250" s="23"/>
      <c r="AA250" s="23"/>
      <c r="AB250" s="24"/>
      <c r="AC250" s="23"/>
      <c r="AD250" s="23"/>
      <c r="AE250" s="24"/>
      <c r="AF250" s="23"/>
      <c r="AG250" s="23"/>
      <c r="AH250" s="24"/>
      <c r="AI250" s="23"/>
      <c r="AJ250" s="23"/>
      <c r="AK250" s="24"/>
      <c r="AL250" s="23"/>
      <c r="AM250" s="23"/>
      <c r="AN250" s="24"/>
      <c r="AO250" s="23"/>
      <c r="AP250" s="23"/>
      <c r="AQ250" s="24"/>
      <c r="AR250" s="33"/>
      <c r="AS250" s="33"/>
    </row>
    <row r="251" spans="1:45" ht="24">
      <c r="A251" s="89"/>
      <c r="B251" s="90"/>
      <c r="C251" s="90"/>
      <c r="D251" s="35" t="s">
        <v>5</v>
      </c>
      <c r="E251" s="23">
        <f t="shared" si="319"/>
        <v>0</v>
      </c>
      <c r="F251" s="23">
        <f t="shared" si="319"/>
        <v>0</v>
      </c>
      <c r="G251" s="24"/>
      <c r="H251" s="23"/>
      <c r="I251" s="23"/>
      <c r="J251" s="24"/>
      <c r="K251" s="23"/>
      <c r="L251" s="23"/>
      <c r="M251" s="24"/>
      <c r="N251" s="23"/>
      <c r="O251" s="23"/>
      <c r="P251" s="24"/>
      <c r="Q251" s="23"/>
      <c r="R251" s="23"/>
      <c r="S251" s="24"/>
      <c r="T251" s="23"/>
      <c r="U251" s="23"/>
      <c r="V251" s="24"/>
      <c r="W251" s="23"/>
      <c r="X251" s="23"/>
      <c r="Y251" s="24"/>
      <c r="Z251" s="23"/>
      <c r="AA251" s="23"/>
      <c r="AB251" s="24"/>
      <c r="AC251" s="23"/>
      <c r="AD251" s="23"/>
      <c r="AE251" s="24"/>
      <c r="AF251" s="23"/>
      <c r="AG251" s="23"/>
      <c r="AH251" s="24"/>
      <c r="AI251" s="23"/>
      <c r="AJ251" s="23"/>
      <c r="AK251" s="24"/>
      <c r="AL251" s="23"/>
      <c r="AM251" s="23"/>
      <c r="AN251" s="24"/>
      <c r="AO251" s="23"/>
      <c r="AP251" s="23"/>
      <c r="AQ251" s="24"/>
      <c r="AR251" s="33"/>
      <c r="AS251" s="33"/>
    </row>
    <row r="252" spans="1:45" ht="15.75" customHeight="1">
      <c r="A252" s="89"/>
      <c r="B252" s="90"/>
      <c r="C252" s="90"/>
      <c r="D252" s="35" t="s">
        <v>49</v>
      </c>
      <c r="E252" s="23">
        <f t="shared" si="319"/>
        <v>0</v>
      </c>
      <c r="F252" s="23">
        <f t="shared" si="319"/>
        <v>0</v>
      </c>
      <c r="G252" s="24"/>
      <c r="H252" s="23"/>
      <c r="I252" s="23"/>
      <c r="J252" s="24"/>
      <c r="K252" s="23"/>
      <c r="L252" s="23"/>
      <c r="M252" s="24"/>
      <c r="N252" s="23"/>
      <c r="O252" s="23"/>
      <c r="P252" s="24"/>
      <c r="Q252" s="23"/>
      <c r="R252" s="23"/>
      <c r="S252" s="24"/>
      <c r="T252" s="23"/>
      <c r="U252" s="23"/>
      <c r="V252" s="24"/>
      <c r="W252" s="23"/>
      <c r="X252" s="23"/>
      <c r="Y252" s="24"/>
      <c r="Z252" s="23"/>
      <c r="AA252" s="23"/>
      <c r="AB252" s="24"/>
      <c r="AC252" s="23"/>
      <c r="AD252" s="23"/>
      <c r="AE252" s="24"/>
      <c r="AF252" s="23"/>
      <c r="AG252" s="23"/>
      <c r="AH252" s="24"/>
      <c r="AI252" s="23"/>
      <c r="AJ252" s="23"/>
      <c r="AK252" s="24"/>
      <c r="AL252" s="23"/>
      <c r="AM252" s="23"/>
      <c r="AN252" s="24"/>
      <c r="AO252" s="23"/>
      <c r="AP252" s="23"/>
      <c r="AQ252" s="24"/>
      <c r="AR252" s="33"/>
      <c r="AS252" s="33"/>
    </row>
    <row r="253" spans="1:45" ht="15.75" customHeight="1">
      <c r="A253" s="89"/>
      <c r="B253" s="90"/>
      <c r="C253" s="90"/>
      <c r="D253" s="35" t="s">
        <v>24</v>
      </c>
      <c r="E253" s="23">
        <f t="shared" si="319"/>
        <v>0</v>
      </c>
      <c r="F253" s="23">
        <f t="shared" si="319"/>
        <v>0</v>
      </c>
      <c r="G253" s="24"/>
      <c r="H253" s="23"/>
      <c r="I253" s="23"/>
      <c r="J253" s="24"/>
      <c r="K253" s="23"/>
      <c r="L253" s="23"/>
      <c r="M253" s="24"/>
      <c r="N253" s="23"/>
      <c r="O253" s="23"/>
      <c r="P253" s="24"/>
      <c r="Q253" s="23"/>
      <c r="R253" s="23"/>
      <c r="S253" s="24"/>
      <c r="T253" s="23"/>
      <c r="U253" s="23"/>
      <c r="V253" s="24"/>
      <c r="W253" s="23"/>
      <c r="X253" s="23"/>
      <c r="Y253" s="24"/>
      <c r="Z253" s="23"/>
      <c r="AA253" s="23"/>
      <c r="AB253" s="24"/>
      <c r="AC253" s="23"/>
      <c r="AD253" s="23"/>
      <c r="AE253" s="24"/>
      <c r="AF253" s="23"/>
      <c r="AG253" s="23"/>
      <c r="AH253" s="24"/>
      <c r="AI253" s="23"/>
      <c r="AJ253" s="23"/>
      <c r="AK253" s="24"/>
      <c r="AL253" s="23"/>
      <c r="AM253" s="23"/>
      <c r="AN253" s="24"/>
      <c r="AO253" s="23"/>
      <c r="AP253" s="23"/>
      <c r="AQ253" s="24"/>
      <c r="AR253" s="33"/>
      <c r="AS253" s="33"/>
    </row>
    <row r="254" spans="1:45" ht="12.75" customHeight="1">
      <c r="A254" s="91" t="s">
        <v>20</v>
      </c>
      <c r="B254" s="91"/>
      <c r="C254" s="91"/>
      <c r="D254" s="36" t="s">
        <v>4</v>
      </c>
      <c r="E254" s="37">
        <f t="shared" si="319"/>
        <v>7763.4</v>
      </c>
      <c r="F254" s="37">
        <f t="shared" si="319"/>
        <v>2968.1000000000004</v>
      </c>
      <c r="G254" s="25">
        <f>F254/E254*100</f>
        <v>38.23196022361337</v>
      </c>
      <c r="H254" s="47">
        <f>H255+H256+H257+H258</f>
        <v>0</v>
      </c>
      <c r="I254" s="47">
        <f>I255+I256+I257+I258</f>
        <v>0</v>
      </c>
      <c r="J254" s="22"/>
      <c r="K254" s="47">
        <f t="shared" ref="K254:AO254" si="337">K255+K256+K257+K258</f>
        <v>56.6</v>
      </c>
      <c r="L254" s="47">
        <f t="shared" si="337"/>
        <v>346</v>
      </c>
      <c r="M254" s="25">
        <f>L254/K254*100</f>
        <v>611.30742049469961</v>
      </c>
      <c r="N254" s="47">
        <f t="shared" si="337"/>
        <v>300.89999999999998</v>
      </c>
      <c r="O254" s="47">
        <f t="shared" si="337"/>
        <v>-330</v>
      </c>
      <c r="P254" s="25">
        <f>O254/N254*100</f>
        <v>-109.67098703888337</v>
      </c>
      <c r="Q254" s="47">
        <f t="shared" si="337"/>
        <v>0</v>
      </c>
      <c r="R254" s="47">
        <f t="shared" si="337"/>
        <v>0</v>
      </c>
      <c r="S254" s="25"/>
      <c r="T254" s="47">
        <f t="shared" si="337"/>
        <v>2342.8999999999996</v>
      </c>
      <c r="U254" s="47">
        <f t="shared" si="337"/>
        <v>1248</v>
      </c>
      <c r="V254" s="25">
        <f>U254/T254*100</f>
        <v>53.267318280763163</v>
      </c>
      <c r="W254" s="47">
        <f t="shared" si="337"/>
        <v>0</v>
      </c>
      <c r="X254" s="47">
        <f t="shared" si="337"/>
        <v>514.00000000000045</v>
      </c>
      <c r="Y254" s="25" t="e">
        <f>X254/W254*100</f>
        <v>#DIV/0!</v>
      </c>
      <c r="Z254" s="47">
        <f t="shared" si="337"/>
        <v>197.59999999999974</v>
      </c>
      <c r="AA254" s="47">
        <f t="shared" si="337"/>
        <v>-1685.8</v>
      </c>
      <c r="AB254" s="25">
        <f>AA254/Z254*100</f>
        <v>-853.13765182186341</v>
      </c>
      <c r="AC254" s="47">
        <f t="shared" si="337"/>
        <v>1510.9</v>
      </c>
      <c r="AD254" s="47">
        <f t="shared" si="337"/>
        <v>2875.8999999999996</v>
      </c>
      <c r="AE254" s="25">
        <f>AD254/AC254*100</f>
        <v>190.34350387186441</v>
      </c>
      <c r="AF254" s="47">
        <f t="shared" si="337"/>
        <v>12.799999999999999</v>
      </c>
      <c r="AG254" s="47">
        <f t="shared" si="337"/>
        <v>0</v>
      </c>
      <c r="AH254" s="25">
        <f>AG254/AF254*100</f>
        <v>0</v>
      </c>
      <c r="AI254" s="47">
        <f t="shared" si="337"/>
        <v>0</v>
      </c>
      <c r="AJ254" s="47">
        <f t="shared" si="337"/>
        <v>0</v>
      </c>
      <c r="AK254" s="25" t="e">
        <f>AJ254/AI254*100</f>
        <v>#DIV/0!</v>
      </c>
      <c r="AL254" s="47">
        <f t="shared" si="337"/>
        <v>1047.1999999999998</v>
      </c>
      <c r="AM254" s="47">
        <f t="shared" si="337"/>
        <v>0</v>
      </c>
      <c r="AN254" s="25">
        <f>AM254/AL254*100</f>
        <v>0</v>
      </c>
      <c r="AO254" s="47">
        <f t="shared" si="337"/>
        <v>2294.5</v>
      </c>
      <c r="AP254" s="47"/>
      <c r="AQ254" s="22">
        <f t="shared" ref="AQ254:AQ257" si="338">AP254/AO254</f>
        <v>0</v>
      </c>
      <c r="AR254" s="33"/>
      <c r="AS254" s="33"/>
    </row>
    <row r="255" spans="1:45" ht="13.5" customHeight="1">
      <c r="A255" s="91"/>
      <c r="B255" s="91"/>
      <c r="C255" s="91"/>
      <c r="D255" s="36" t="s">
        <v>23</v>
      </c>
      <c r="E255" s="37">
        <f t="shared" si="319"/>
        <v>0</v>
      </c>
      <c r="F255" s="37">
        <f t="shared" si="319"/>
        <v>0</v>
      </c>
      <c r="G255" s="25"/>
      <c r="H255" s="47">
        <f t="shared" ref="H255:I258" si="339">H240+H245+H250</f>
        <v>0</v>
      </c>
      <c r="I255" s="47">
        <f t="shared" si="339"/>
        <v>0</v>
      </c>
      <c r="J255" s="22"/>
      <c r="K255" s="47">
        <f t="shared" ref="K255:AO258" si="340">K240+K245+K250</f>
        <v>0</v>
      </c>
      <c r="L255" s="47">
        <f t="shared" si="340"/>
        <v>0</v>
      </c>
      <c r="M255" s="25"/>
      <c r="N255" s="47">
        <f t="shared" si="340"/>
        <v>0</v>
      </c>
      <c r="O255" s="47">
        <f t="shared" si="340"/>
        <v>0</v>
      </c>
      <c r="P255" s="25"/>
      <c r="Q255" s="47">
        <f t="shared" si="340"/>
        <v>0</v>
      </c>
      <c r="R255" s="47">
        <f t="shared" si="340"/>
        <v>0</v>
      </c>
      <c r="S255" s="25"/>
      <c r="T255" s="47">
        <f t="shared" si="340"/>
        <v>0</v>
      </c>
      <c r="U255" s="47">
        <f t="shared" si="340"/>
        <v>0</v>
      </c>
      <c r="V255" s="25"/>
      <c r="W255" s="47">
        <f t="shared" si="340"/>
        <v>0</v>
      </c>
      <c r="X255" s="47">
        <f t="shared" si="340"/>
        <v>0</v>
      </c>
      <c r="Y255" s="25"/>
      <c r="Z255" s="47">
        <f t="shared" si="340"/>
        <v>0</v>
      </c>
      <c r="AA255" s="47">
        <f t="shared" si="340"/>
        <v>0</v>
      </c>
      <c r="AB255" s="25"/>
      <c r="AC255" s="47">
        <f t="shared" si="340"/>
        <v>0</v>
      </c>
      <c r="AD255" s="47">
        <f t="shared" si="340"/>
        <v>0</v>
      </c>
      <c r="AE255" s="25"/>
      <c r="AF255" s="47">
        <f t="shared" si="340"/>
        <v>0</v>
      </c>
      <c r="AG255" s="47">
        <f t="shared" si="340"/>
        <v>0</v>
      </c>
      <c r="AH255" s="25"/>
      <c r="AI255" s="47">
        <f t="shared" si="340"/>
        <v>0</v>
      </c>
      <c r="AJ255" s="47">
        <f t="shared" si="340"/>
        <v>0</v>
      </c>
      <c r="AK255" s="25"/>
      <c r="AL255" s="47">
        <f t="shared" si="340"/>
        <v>0</v>
      </c>
      <c r="AM255" s="47">
        <f t="shared" si="340"/>
        <v>0</v>
      </c>
      <c r="AN255" s="25"/>
      <c r="AO255" s="47">
        <f t="shared" si="340"/>
        <v>0</v>
      </c>
      <c r="AP255" s="42"/>
      <c r="AQ255" s="22"/>
      <c r="AR255" s="33"/>
      <c r="AS255" s="33"/>
    </row>
    <row r="256" spans="1:45" ht="25.5" customHeight="1">
      <c r="A256" s="91"/>
      <c r="B256" s="91"/>
      <c r="C256" s="91"/>
      <c r="D256" s="36" t="s">
        <v>5</v>
      </c>
      <c r="E256" s="37">
        <f t="shared" si="319"/>
        <v>2170.4999999999995</v>
      </c>
      <c r="F256" s="37">
        <f t="shared" si="319"/>
        <v>1132.1000000000004</v>
      </c>
      <c r="G256" s="25">
        <f t="shared" ref="G256:G257" si="341">F256/E256*100</f>
        <v>52.158488827459138</v>
      </c>
      <c r="H256" s="47">
        <f t="shared" si="339"/>
        <v>0</v>
      </c>
      <c r="I256" s="47">
        <f t="shared" si="339"/>
        <v>0</v>
      </c>
      <c r="J256" s="22"/>
      <c r="K256" s="47">
        <f t="shared" si="340"/>
        <v>0</v>
      </c>
      <c r="L256" s="47">
        <f t="shared" si="340"/>
        <v>0</v>
      </c>
      <c r="M256" s="25"/>
      <c r="N256" s="47">
        <f t="shared" si="340"/>
        <v>0</v>
      </c>
      <c r="O256" s="47">
        <f t="shared" si="340"/>
        <v>0</v>
      </c>
      <c r="P256" s="25" t="e">
        <f t="shared" ref="P256:P257" si="342">O256/N256*100</f>
        <v>#DIV/0!</v>
      </c>
      <c r="Q256" s="47">
        <f t="shared" si="340"/>
        <v>0</v>
      </c>
      <c r="R256" s="47">
        <f t="shared" si="340"/>
        <v>0</v>
      </c>
      <c r="S256" s="25"/>
      <c r="T256" s="47">
        <f t="shared" si="340"/>
        <v>489.59999999999985</v>
      </c>
      <c r="U256" s="47">
        <f t="shared" si="340"/>
        <v>1143</v>
      </c>
      <c r="V256" s="25">
        <f t="shared" ref="V256:V257" si="343">U256/T256*100</f>
        <v>233.45588235294125</v>
      </c>
      <c r="W256" s="47">
        <f t="shared" si="340"/>
        <v>0</v>
      </c>
      <c r="X256" s="47">
        <f t="shared" si="340"/>
        <v>530.00000000000045</v>
      </c>
      <c r="Y256" s="25" t="e">
        <f t="shared" ref="Y256:Y257" si="344">X256/W256*100</f>
        <v>#DIV/0!</v>
      </c>
      <c r="Z256" s="47">
        <f t="shared" si="340"/>
        <v>197.59999999999974</v>
      </c>
      <c r="AA256" s="47">
        <f t="shared" si="340"/>
        <v>-1673</v>
      </c>
      <c r="AB256" s="25">
        <f t="shared" ref="AB256:AB257" si="345">AA256/Z256*100</f>
        <v>-846.65991902834128</v>
      </c>
      <c r="AC256" s="47">
        <f t="shared" si="340"/>
        <v>444.90000000000003</v>
      </c>
      <c r="AD256" s="47">
        <f t="shared" si="340"/>
        <v>1132.0999999999999</v>
      </c>
      <c r="AE256" s="25">
        <f t="shared" ref="AE256:AE257" si="346">AD256/AC256*100</f>
        <v>254.46167678129913</v>
      </c>
      <c r="AF256" s="47">
        <f t="shared" si="340"/>
        <v>0</v>
      </c>
      <c r="AG256" s="47">
        <f t="shared" si="340"/>
        <v>0</v>
      </c>
      <c r="AH256" s="25"/>
      <c r="AI256" s="47">
        <f t="shared" si="340"/>
        <v>0</v>
      </c>
      <c r="AJ256" s="47">
        <f t="shared" si="340"/>
        <v>0</v>
      </c>
      <c r="AK256" s="25"/>
      <c r="AL256" s="47">
        <f t="shared" si="340"/>
        <v>662.09999999999991</v>
      </c>
      <c r="AM256" s="47">
        <f t="shared" si="340"/>
        <v>0</v>
      </c>
      <c r="AN256" s="25">
        <f t="shared" ref="AN256:AN257" si="347">AM256/AL256*100</f>
        <v>0</v>
      </c>
      <c r="AO256" s="47">
        <f t="shared" si="340"/>
        <v>376.3</v>
      </c>
      <c r="AP256" s="42"/>
      <c r="AQ256" s="22">
        <f t="shared" si="338"/>
        <v>0</v>
      </c>
      <c r="AR256" s="33"/>
      <c r="AS256" s="33"/>
    </row>
    <row r="257" spans="1:45" ht="14.25" customHeight="1">
      <c r="A257" s="91"/>
      <c r="B257" s="91"/>
      <c r="C257" s="91"/>
      <c r="D257" s="36" t="s">
        <v>49</v>
      </c>
      <c r="E257" s="37">
        <f t="shared" si="319"/>
        <v>5592.9</v>
      </c>
      <c r="F257" s="37">
        <f t="shared" si="319"/>
        <v>1836</v>
      </c>
      <c r="G257" s="25">
        <f t="shared" si="341"/>
        <v>32.827334656439419</v>
      </c>
      <c r="H257" s="47">
        <f t="shared" si="339"/>
        <v>0</v>
      </c>
      <c r="I257" s="47">
        <f t="shared" si="339"/>
        <v>0</v>
      </c>
      <c r="J257" s="22"/>
      <c r="K257" s="47">
        <f t="shared" si="340"/>
        <v>56.6</v>
      </c>
      <c r="L257" s="47">
        <f t="shared" si="340"/>
        <v>346</v>
      </c>
      <c r="M257" s="25">
        <f t="shared" ref="M257" si="348">L257/K257*100</f>
        <v>611.30742049469961</v>
      </c>
      <c r="N257" s="47">
        <f t="shared" si="340"/>
        <v>300.89999999999998</v>
      </c>
      <c r="O257" s="47">
        <f t="shared" si="340"/>
        <v>-330</v>
      </c>
      <c r="P257" s="25">
        <f t="shared" si="342"/>
        <v>-109.67098703888337</v>
      </c>
      <c r="Q257" s="47">
        <f t="shared" si="340"/>
        <v>0</v>
      </c>
      <c r="R257" s="47">
        <f t="shared" si="340"/>
        <v>0</v>
      </c>
      <c r="S257" s="25"/>
      <c r="T257" s="47">
        <f t="shared" si="340"/>
        <v>1853.2999999999997</v>
      </c>
      <c r="U257" s="47">
        <f t="shared" si="340"/>
        <v>105</v>
      </c>
      <c r="V257" s="25">
        <f t="shared" si="343"/>
        <v>5.6655695246317386</v>
      </c>
      <c r="W257" s="47">
        <f t="shared" si="340"/>
        <v>0</v>
      </c>
      <c r="X257" s="47">
        <f t="shared" si="340"/>
        <v>-16</v>
      </c>
      <c r="Y257" s="25" t="e">
        <f t="shared" si="344"/>
        <v>#DIV/0!</v>
      </c>
      <c r="Z257" s="47">
        <f t="shared" si="340"/>
        <v>0</v>
      </c>
      <c r="AA257" s="47">
        <f t="shared" si="340"/>
        <v>-12.8</v>
      </c>
      <c r="AB257" s="25" t="e">
        <f t="shared" si="345"/>
        <v>#DIV/0!</v>
      </c>
      <c r="AC257" s="47">
        <f t="shared" si="340"/>
        <v>1066</v>
      </c>
      <c r="AD257" s="47">
        <f t="shared" si="340"/>
        <v>1743.8</v>
      </c>
      <c r="AE257" s="25">
        <f t="shared" si="346"/>
        <v>163.58348968105065</v>
      </c>
      <c r="AF257" s="47">
        <f t="shared" si="340"/>
        <v>12.799999999999999</v>
      </c>
      <c r="AG257" s="47">
        <f t="shared" si="340"/>
        <v>0</v>
      </c>
      <c r="AH257" s="25">
        <f t="shared" ref="AH257" si="349">AG257/AF257*100</f>
        <v>0</v>
      </c>
      <c r="AI257" s="47">
        <f t="shared" si="340"/>
        <v>0</v>
      </c>
      <c r="AJ257" s="47">
        <f t="shared" si="340"/>
        <v>0</v>
      </c>
      <c r="AK257" s="25" t="e">
        <f t="shared" ref="AK257" si="350">AJ257/AI257*100</f>
        <v>#DIV/0!</v>
      </c>
      <c r="AL257" s="47">
        <f t="shared" si="340"/>
        <v>385.09999999999991</v>
      </c>
      <c r="AM257" s="47">
        <f t="shared" si="340"/>
        <v>0</v>
      </c>
      <c r="AN257" s="25">
        <f t="shared" si="347"/>
        <v>0</v>
      </c>
      <c r="AO257" s="47">
        <f t="shared" si="340"/>
        <v>1918.2</v>
      </c>
      <c r="AP257" s="42"/>
      <c r="AQ257" s="22">
        <f t="shared" si="338"/>
        <v>0</v>
      </c>
      <c r="AR257" s="33"/>
      <c r="AS257" s="33"/>
    </row>
    <row r="258" spans="1:45" ht="15" customHeight="1">
      <c r="A258" s="91"/>
      <c r="B258" s="91"/>
      <c r="C258" s="91"/>
      <c r="D258" s="36" t="s">
        <v>24</v>
      </c>
      <c r="E258" s="37">
        <f t="shared" si="319"/>
        <v>0</v>
      </c>
      <c r="F258" s="37">
        <f t="shared" si="319"/>
        <v>0</v>
      </c>
      <c r="G258" s="25"/>
      <c r="H258" s="47">
        <f t="shared" si="339"/>
        <v>0</v>
      </c>
      <c r="I258" s="47">
        <f t="shared" si="339"/>
        <v>0</v>
      </c>
      <c r="J258" s="25"/>
      <c r="K258" s="47">
        <f t="shared" si="340"/>
        <v>0</v>
      </c>
      <c r="L258" s="47">
        <f t="shared" si="340"/>
        <v>0</v>
      </c>
      <c r="M258" s="25"/>
      <c r="N258" s="47">
        <f t="shared" si="340"/>
        <v>0</v>
      </c>
      <c r="O258" s="47">
        <f t="shared" si="340"/>
        <v>0</v>
      </c>
      <c r="P258" s="25"/>
      <c r="Q258" s="47">
        <f t="shared" si="340"/>
        <v>0</v>
      </c>
      <c r="R258" s="47">
        <f t="shared" si="340"/>
        <v>0</v>
      </c>
      <c r="S258" s="25"/>
      <c r="T258" s="47">
        <f t="shared" si="340"/>
        <v>0</v>
      </c>
      <c r="U258" s="47">
        <f t="shared" si="340"/>
        <v>0</v>
      </c>
      <c r="V258" s="25"/>
      <c r="W258" s="47">
        <f t="shared" si="340"/>
        <v>0</v>
      </c>
      <c r="X258" s="47">
        <f t="shared" si="340"/>
        <v>0</v>
      </c>
      <c r="Y258" s="25"/>
      <c r="Z258" s="47">
        <f t="shared" si="340"/>
        <v>0</v>
      </c>
      <c r="AA258" s="47">
        <f t="shared" si="340"/>
        <v>0</v>
      </c>
      <c r="AB258" s="25"/>
      <c r="AC258" s="47">
        <f t="shared" si="340"/>
        <v>0</v>
      </c>
      <c r="AD258" s="47">
        <f t="shared" si="340"/>
        <v>0</v>
      </c>
      <c r="AE258" s="25"/>
      <c r="AF258" s="47">
        <f t="shared" si="340"/>
        <v>0</v>
      </c>
      <c r="AG258" s="47">
        <f t="shared" si="340"/>
        <v>0</v>
      </c>
      <c r="AH258" s="25"/>
      <c r="AI258" s="47">
        <f t="shared" si="340"/>
        <v>0</v>
      </c>
      <c r="AJ258" s="47">
        <f t="shared" si="340"/>
        <v>0</v>
      </c>
      <c r="AK258" s="25"/>
      <c r="AL258" s="47">
        <f t="shared" si="340"/>
        <v>0</v>
      </c>
      <c r="AM258" s="47">
        <f t="shared" si="340"/>
        <v>0</v>
      </c>
      <c r="AN258" s="25"/>
      <c r="AO258" s="47">
        <f t="shared" si="340"/>
        <v>0</v>
      </c>
      <c r="AP258" s="42"/>
      <c r="AQ258" s="25"/>
      <c r="AR258" s="33"/>
      <c r="AS258" s="33"/>
    </row>
    <row r="259" spans="1:45" ht="15" customHeight="1">
      <c r="A259" s="92" t="s">
        <v>21</v>
      </c>
      <c r="B259" s="93"/>
      <c r="C259" s="94"/>
      <c r="D259" s="36" t="s">
        <v>4</v>
      </c>
      <c r="E259" s="37">
        <f t="shared" ref="E259:F276" si="351">H259+K259+N259+Q259+T259+W259+Z259+AC259+AF259+AI259+AL259+AO259</f>
        <v>1769376.4</v>
      </c>
      <c r="F259" s="37">
        <f t="shared" si="351"/>
        <v>1099304.1132</v>
      </c>
      <c r="G259" s="25">
        <f>F259/E259*100</f>
        <v>62.129466245847972</v>
      </c>
      <c r="H259" s="47">
        <f>H260+H261+H262+H263</f>
        <v>36476.300000000003</v>
      </c>
      <c r="I259" s="47">
        <f>I260+I261+I262+I263</f>
        <v>36114.9</v>
      </c>
      <c r="J259" s="25">
        <f>I259/H259*100</f>
        <v>99.009219685110608</v>
      </c>
      <c r="K259" s="47">
        <f>K260+K261+K262+K263</f>
        <v>131830.20000000001</v>
      </c>
      <c r="L259" s="47">
        <f>L260+L261+L262+L263</f>
        <v>130330.20000000001</v>
      </c>
      <c r="M259" s="25">
        <f>L259/K259*100</f>
        <v>98.862172703978302</v>
      </c>
      <c r="N259" s="47">
        <f>N260+N261+N262+N263</f>
        <v>125796.6</v>
      </c>
      <c r="O259" s="47">
        <f>O260+O261+O262+O263</f>
        <v>124939.99960000001</v>
      </c>
      <c r="P259" s="25">
        <f>O259/N259*100</f>
        <v>99.31905917965986</v>
      </c>
      <c r="Q259" s="47">
        <f t="shared" ref="Q259:AH259" si="352">Q260+Q261+Q262+Q263</f>
        <v>143294.6</v>
      </c>
      <c r="R259" s="47">
        <f t="shared" si="352"/>
        <v>145161</v>
      </c>
      <c r="S259" s="47">
        <f t="shared" si="352"/>
        <v>206.43611885910099</v>
      </c>
      <c r="T259" s="47">
        <f t="shared" si="352"/>
        <v>175268.7</v>
      </c>
      <c r="U259" s="47">
        <f t="shared" si="352"/>
        <v>195851.71360000002</v>
      </c>
      <c r="V259" s="47">
        <f t="shared" si="352"/>
        <v>205.44503558741926</v>
      </c>
      <c r="W259" s="47">
        <f t="shared" si="352"/>
        <v>210022.6</v>
      </c>
      <c r="X259" s="47">
        <f t="shared" si="352"/>
        <v>186896.2</v>
      </c>
      <c r="Y259" s="47">
        <f t="shared" si="352"/>
        <v>178.86505579053792</v>
      </c>
      <c r="Z259" s="47">
        <f t="shared" si="352"/>
        <v>124553.40000000001</v>
      </c>
      <c r="AA259" s="47">
        <f t="shared" si="352"/>
        <v>112303.1</v>
      </c>
      <c r="AB259" s="47">
        <f t="shared" si="352"/>
        <v>177.48420101041017</v>
      </c>
      <c r="AC259" s="47">
        <f t="shared" si="352"/>
        <v>114262.9</v>
      </c>
      <c r="AD259" s="47">
        <f t="shared" si="352"/>
        <v>71862.3</v>
      </c>
      <c r="AE259" s="25">
        <f>AD259/AC259*100</f>
        <v>62.892067328940549</v>
      </c>
      <c r="AF259" s="47">
        <f t="shared" si="352"/>
        <v>100244.6</v>
      </c>
      <c r="AG259" s="47">
        <f t="shared" si="352"/>
        <v>95844.700000000012</v>
      </c>
      <c r="AH259" s="47">
        <f t="shared" si="352"/>
        <v>184.90508455431979</v>
      </c>
      <c r="AI259" s="47">
        <f>AI260+AI261+AI262+AI263</f>
        <v>182599.40000000002</v>
      </c>
      <c r="AJ259" s="47">
        <f t="shared" ref="AJ259:AO259" si="353">AJ260+AJ261+AJ262+AJ263</f>
        <v>0</v>
      </c>
      <c r="AK259" s="47">
        <f t="shared" si="353"/>
        <v>0</v>
      </c>
      <c r="AL259" s="47">
        <f t="shared" si="353"/>
        <v>141746.80000000002</v>
      </c>
      <c r="AM259" s="47">
        <f t="shared" si="353"/>
        <v>0</v>
      </c>
      <c r="AN259" s="47">
        <f t="shared" si="353"/>
        <v>0</v>
      </c>
      <c r="AO259" s="47">
        <f t="shared" si="353"/>
        <v>283280.30000000005</v>
      </c>
      <c r="AP259" s="42"/>
      <c r="AQ259" s="22">
        <f t="shared" ref="AQ259:AQ262" si="354">AP259/AO259</f>
        <v>0</v>
      </c>
      <c r="AR259" s="33"/>
      <c r="AS259" s="33"/>
    </row>
    <row r="260" spans="1:45">
      <c r="A260" s="95"/>
      <c r="B260" s="96"/>
      <c r="C260" s="97"/>
      <c r="D260" s="36" t="s">
        <v>23</v>
      </c>
      <c r="E260" s="37">
        <f t="shared" si="351"/>
        <v>15792.599999999999</v>
      </c>
      <c r="F260" s="37">
        <f t="shared" si="351"/>
        <v>3210.8999999999996</v>
      </c>
      <c r="G260" s="25">
        <f>F260/E260*100</f>
        <v>20.331674328482961</v>
      </c>
      <c r="H260" s="47">
        <f>H30+H77+H144+H180+H211+H233+H255</f>
        <v>0</v>
      </c>
      <c r="I260" s="47"/>
      <c r="J260" s="25"/>
      <c r="K260" s="47">
        <f t="shared" ref="K260:L263" si="355">K30+K77+K144+K180+K211+K233+K255</f>
        <v>0</v>
      </c>
      <c r="L260" s="47">
        <f t="shared" si="355"/>
        <v>0</v>
      </c>
      <c r="M260" s="25"/>
      <c r="N260" s="47">
        <f t="shared" ref="N260:O263" si="356">N30+N77+N144+N180+N211+N233+N255</f>
        <v>0</v>
      </c>
      <c r="O260" s="47">
        <f t="shared" si="356"/>
        <v>0</v>
      </c>
      <c r="P260" s="25"/>
      <c r="Q260" s="47">
        <f t="shared" ref="Q260:R263" si="357">Q30+Q77+Q144+Q180+Q211+Q233+Q255</f>
        <v>0</v>
      </c>
      <c r="R260" s="47">
        <f t="shared" si="357"/>
        <v>0</v>
      </c>
      <c r="S260" s="25"/>
      <c r="T260" s="47">
        <f t="shared" ref="T260:U263" si="358">T30+T77+T144+T180+T211+T233+T255</f>
        <v>0</v>
      </c>
      <c r="U260" s="47">
        <f t="shared" si="358"/>
        <v>0</v>
      </c>
      <c r="V260" s="25"/>
      <c r="W260" s="47">
        <f t="shared" ref="W260:X263" si="359">W30+W77+W144+W180+W211+W233+W255</f>
        <v>0</v>
      </c>
      <c r="X260" s="47">
        <f t="shared" si="359"/>
        <v>0</v>
      </c>
      <c r="Y260" s="25"/>
      <c r="Z260" s="47">
        <f t="shared" ref="Z260:AA263" si="360">Z30+Z77+Z144+Z180+Z211+Z233+Z255</f>
        <v>0</v>
      </c>
      <c r="AA260" s="47">
        <f t="shared" si="360"/>
        <v>0</v>
      </c>
      <c r="AB260" s="25"/>
      <c r="AC260" s="47">
        <f t="shared" ref="AC260:AD263" si="361">AC30+AC77+AC144+AC180+AC211+AC233+AC255</f>
        <v>0</v>
      </c>
      <c r="AD260" s="47">
        <f t="shared" si="361"/>
        <v>0</v>
      </c>
      <c r="AE260" s="25"/>
      <c r="AF260" s="47">
        <f t="shared" ref="AF260:AG263" si="362">AF30+AF77+AF144+AF180+AF211+AF233+AF255</f>
        <v>3210.8999999999996</v>
      </c>
      <c r="AG260" s="47">
        <f t="shared" si="362"/>
        <v>3210.8999999999996</v>
      </c>
      <c r="AH260" s="25"/>
      <c r="AI260" s="47">
        <f t="shared" ref="AI260:AJ263" si="363">AI30+AI77+AI144+AI180+AI211+AI233+AI255</f>
        <v>5458.2</v>
      </c>
      <c r="AJ260" s="47">
        <f t="shared" si="363"/>
        <v>0</v>
      </c>
      <c r="AK260" s="25"/>
      <c r="AL260" s="47">
        <f t="shared" ref="AL260:AM263" si="364">AL30+AL77+AL144+AL180+AL211+AL233+AL255</f>
        <v>3362</v>
      </c>
      <c r="AM260" s="47">
        <f t="shared" si="364"/>
        <v>0</v>
      </c>
      <c r="AN260" s="25"/>
      <c r="AO260" s="47">
        <f>AO30+AO77+AO144+AO180+AO211+AO233+AO255</f>
        <v>3761.5</v>
      </c>
      <c r="AP260" s="42"/>
      <c r="AQ260" s="22"/>
      <c r="AR260" s="33"/>
      <c r="AS260" s="33"/>
    </row>
    <row r="261" spans="1:45" ht="24.75" customHeight="1">
      <c r="A261" s="95"/>
      <c r="B261" s="96"/>
      <c r="C261" s="97"/>
      <c r="D261" s="36" t="s">
        <v>5</v>
      </c>
      <c r="E261" s="37">
        <f t="shared" si="351"/>
        <v>1341394.4000000001</v>
      </c>
      <c r="F261" s="37">
        <f t="shared" si="351"/>
        <v>882357.2132</v>
      </c>
      <c r="G261" s="25">
        <f>F261/E261*100</f>
        <v>65.779103684941575</v>
      </c>
      <c r="H261" s="47">
        <f>H31+H78+H145+H181+H212+H234+H256</f>
        <v>29104</v>
      </c>
      <c r="I261" s="47">
        <f>I31+I78+I145+I181+I212+I234+I256</f>
        <v>29076.1</v>
      </c>
      <c r="J261" s="25">
        <f>I261/H261*100</f>
        <v>99.904136888400217</v>
      </c>
      <c r="K261" s="47">
        <f t="shared" si="355"/>
        <v>97726</v>
      </c>
      <c r="L261" s="47">
        <f t="shared" si="355"/>
        <v>96358.000000000015</v>
      </c>
      <c r="M261" s="25">
        <f>L261/K261*100</f>
        <v>98.60016781613902</v>
      </c>
      <c r="N261" s="47">
        <f t="shared" si="356"/>
        <v>97204.5</v>
      </c>
      <c r="O261" s="47">
        <f t="shared" si="356"/>
        <v>96767.699600000007</v>
      </c>
      <c r="P261" s="25">
        <f>O261/N261*100</f>
        <v>99.550637676239276</v>
      </c>
      <c r="Q261" s="47">
        <f t="shared" si="357"/>
        <v>110448.70000000001</v>
      </c>
      <c r="R261" s="47">
        <f t="shared" si="357"/>
        <v>110096.29999999999</v>
      </c>
      <c r="S261" s="25">
        <f>R261/Q261*100</f>
        <v>99.680937847163406</v>
      </c>
      <c r="T261" s="47">
        <f t="shared" si="358"/>
        <v>146494.20000000001</v>
      </c>
      <c r="U261" s="47">
        <f t="shared" si="358"/>
        <v>170158.61360000001</v>
      </c>
      <c r="V261" s="25">
        <f>U261/T261*100</f>
        <v>116.15382288172501</v>
      </c>
      <c r="W261" s="47">
        <f t="shared" si="359"/>
        <v>193364</v>
      </c>
      <c r="X261" s="47">
        <f t="shared" si="359"/>
        <v>171910.1</v>
      </c>
      <c r="Y261" s="25">
        <f>X261/W261*100</f>
        <v>88.904915082435195</v>
      </c>
      <c r="Z261" s="47">
        <f t="shared" si="360"/>
        <v>99947.900000000009</v>
      </c>
      <c r="AA261" s="47">
        <f t="shared" si="360"/>
        <v>91046.3</v>
      </c>
      <c r="AB261" s="25">
        <f>AA261/Z261*100</f>
        <v>91.093759848881263</v>
      </c>
      <c r="AC261" s="47">
        <f t="shared" si="361"/>
        <v>51350.9</v>
      </c>
      <c r="AD261" s="47">
        <f t="shared" si="361"/>
        <v>54042.2</v>
      </c>
      <c r="AE261" s="25">
        <f>AD261/AC261*100</f>
        <v>105.24099869719907</v>
      </c>
      <c r="AF261" s="47">
        <f t="shared" si="362"/>
        <v>59419.600000000006</v>
      </c>
      <c r="AG261" s="47">
        <f t="shared" si="362"/>
        <v>62901.900000000016</v>
      </c>
      <c r="AH261" s="25">
        <f>AG261/AF261*100</f>
        <v>105.86052413681682</v>
      </c>
      <c r="AI261" s="47">
        <f t="shared" si="363"/>
        <v>129851.1</v>
      </c>
      <c r="AJ261" s="47">
        <f t="shared" si="363"/>
        <v>0</v>
      </c>
      <c r="AK261" s="25">
        <f>AJ261/AI261*100</f>
        <v>0</v>
      </c>
      <c r="AL261" s="47">
        <f t="shared" si="364"/>
        <v>101051.70000000001</v>
      </c>
      <c r="AM261" s="47">
        <f t="shared" si="364"/>
        <v>0</v>
      </c>
      <c r="AN261" s="25">
        <f>AM261/AL261*100</f>
        <v>0</v>
      </c>
      <c r="AO261" s="47">
        <f>AO31+AO78+AO145+AO181+AO212+AO234+AO256</f>
        <v>225431.80000000002</v>
      </c>
      <c r="AP261" s="42"/>
      <c r="AQ261" s="22">
        <f t="shared" si="354"/>
        <v>0</v>
      </c>
      <c r="AR261" s="33"/>
      <c r="AS261" s="33"/>
    </row>
    <row r="262" spans="1:45" ht="15.75" customHeight="1">
      <c r="A262" s="95"/>
      <c r="B262" s="96"/>
      <c r="C262" s="97"/>
      <c r="D262" s="36" t="s">
        <v>49</v>
      </c>
      <c r="E262" s="37">
        <f t="shared" si="351"/>
        <v>412189.4</v>
      </c>
      <c r="F262" s="37">
        <f t="shared" si="351"/>
        <v>213735.99999999997</v>
      </c>
      <c r="G262" s="25">
        <f t="shared" ref="G262" si="365">F262/E262*100</f>
        <v>51.853832243138697</v>
      </c>
      <c r="H262" s="47">
        <f>H32+H79+H146+H182+H213+H235+H257</f>
        <v>7372.3</v>
      </c>
      <c r="I262" s="47">
        <f>I32+I79+I146+I182+I213+I235+I257</f>
        <v>7038.8</v>
      </c>
      <c r="J262" s="25">
        <f t="shared" ref="J262" si="366">I262/H262*100</f>
        <v>95.476309971108066</v>
      </c>
      <c r="K262" s="47">
        <f t="shared" si="355"/>
        <v>34104.199999999997</v>
      </c>
      <c r="L262" s="47">
        <f t="shared" si="355"/>
        <v>33972.199999999997</v>
      </c>
      <c r="M262" s="25">
        <f t="shared" ref="M262" si="367">L262/K262*100</f>
        <v>99.612950897543413</v>
      </c>
      <c r="N262" s="47">
        <f t="shared" si="356"/>
        <v>28592.100000000002</v>
      </c>
      <c r="O262" s="47">
        <f t="shared" si="356"/>
        <v>28172.299999999996</v>
      </c>
      <c r="P262" s="25">
        <f t="shared" ref="P262" si="368">O262/N262*100</f>
        <v>98.531762269997643</v>
      </c>
      <c r="Q262" s="47">
        <f t="shared" si="357"/>
        <v>32845.9</v>
      </c>
      <c r="R262" s="47">
        <f t="shared" si="357"/>
        <v>35064.700000000004</v>
      </c>
      <c r="S262" s="25">
        <f t="shared" ref="S262" si="369">R262/Q262*100</f>
        <v>106.75518101193757</v>
      </c>
      <c r="T262" s="47">
        <f t="shared" si="358"/>
        <v>28774.5</v>
      </c>
      <c r="U262" s="47">
        <f t="shared" si="358"/>
        <v>25693.099999999995</v>
      </c>
      <c r="V262" s="25">
        <f t="shared" ref="V262" si="370">U262/T262*100</f>
        <v>89.29121270569425</v>
      </c>
      <c r="W262" s="47">
        <f t="shared" si="359"/>
        <v>16658.599999999999</v>
      </c>
      <c r="X262" s="47">
        <f t="shared" si="359"/>
        <v>14986.099999999999</v>
      </c>
      <c r="Y262" s="25">
        <f t="shared" ref="Y262" si="371">X262/W262*100</f>
        <v>89.960140708102728</v>
      </c>
      <c r="Z262" s="47">
        <f t="shared" si="360"/>
        <v>24605.5</v>
      </c>
      <c r="AA262" s="47">
        <f t="shared" si="360"/>
        <v>21256.799999999999</v>
      </c>
      <c r="AB262" s="25">
        <f t="shared" ref="AB262" si="372">AA262/Z262*100</f>
        <v>86.390441161528912</v>
      </c>
      <c r="AC262" s="47">
        <f t="shared" si="361"/>
        <v>62912</v>
      </c>
      <c r="AD262" s="47">
        <f t="shared" si="361"/>
        <v>17820.100000000002</v>
      </c>
      <c r="AE262" s="25">
        <f t="shared" ref="AE262" si="373">AD262/AC262*100</f>
        <v>28.325438708036625</v>
      </c>
      <c r="AF262" s="47">
        <f t="shared" si="362"/>
        <v>37614.100000000006</v>
      </c>
      <c r="AG262" s="47">
        <f t="shared" si="362"/>
        <v>29731.899999999994</v>
      </c>
      <c r="AH262" s="25">
        <f t="shared" ref="AH262" si="374">AG262/AF262*100</f>
        <v>79.044560417502979</v>
      </c>
      <c r="AI262" s="47">
        <f t="shared" si="363"/>
        <v>47290.100000000013</v>
      </c>
      <c r="AJ262" s="47">
        <f t="shared" si="363"/>
        <v>0</v>
      </c>
      <c r="AK262" s="25">
        <f t="shared" ref="AK262" si="375">AJ262/AI262*100</f>
        <v>0</v>
      </c>
      <c r="AL262" s="47">
        <f t="shared" si="364"/>
        <v>37333.1</v>
      </c>
      <c r="AM262" s="47">
        <f t="shared" si="364"/>
        <v>0</v>
      </c>
      <c r="AN262" s="25">
        <f t="shared" ref="AN262" si="376">AM262/AL262*100</f>
        <v>0</v>
      </c>
      <c r="AO262" s="47">
        <f>AO32+AO79+AO146+AO182+AO213+AO235+AO257</f>
        <v>54087</v>
      </c>
      <c r="AP262" s="42"/>
      <c r="AQ262" s="22">
        <f t="shared" si="354"/>
        <v>0</v>
      </c>
      <c r="AR262" s="33"/>
      <c r="AS262" s="33"/>
    </row>
    <row r="263" spans="1:45" ht="14.25" customHeight="1">
      <c r="A263" s="95"/>
      <c r="B263" s="96"/>
      <c r="C263" s="97"/>
      <c r="D263" s="36" t="s">
        <v>24</v>
      </c>
      <c r="E263" s="37">
        <f t="shared" si="351"/>
        <v>0</v>
      </c>
      <c r="F263" s="37">
        <f t="shared" si="351"/>
        <v>0</v>
      </c>
      <c r="G263" s="25"/>
      <c r="H263" s="47">
        <f>H33+H80+H147+H183+H214+H236+H258</f>
        <v>0</v>
      </c>
      <c r="I263" s="47"/>
      <c r="J263" s="25"/>
      <c r="K263" s="47">
        <f t="shared" si="355"/>
        <v>0</v>
      </c>
      <c r="L263" s="47">
        <f t="shared" si="355"/>
        <v>0</v>
      </c>
      <c r="M263" s="25"/>
      <c r="N263" s="47">
        <f t="shared" si="356"/>
        <v>0</v>
      </c>
      <c r="O263" s="47">
        <f t="shared" si="356"/>
        <v>0</v>
      </c>
      <c r="P263" s="25"/>
      <c r="Q263" s="47">
        <f t="shared" si="357"/>
        <v>0</v>
      </c>
      <c r="R263" s="47">
        <f t="shared" si="357"/>
        <v>0</v>
      </c>
      <c r="S263" s="25"/>
      <c r="T263" s="47">
        <f t="shared" si="358"/>
        <v>0</v>
      </c>
      <c r="U263" s="47">
        <f t="shared" si="358"/>
        <v>0</v>
      </c>
      <c r="V263" s="25"/>
      <c r="W263" s="47">
        <f t="shared" si="359"/>
        <v>0</v>
      </c>
      <c r="X263" s="47">
        <f t="shared" si="359"/>
        <v>0</v>
      </c>
      <c r="Y263" s="25"/>
      <c r="Z263" s="47">
        <f t="shared" si="360"/>
        <v>0</v>
      </c>
      <c r="AA263" s="47">
        <f t="shared" si="360"/>
        <v>0</v>
      </c>
      <c r="AB263" s="25"/>
      <c r="AC263" s="47">
        <f t="shared" si="361"/>
        <v>0</v>
      </c>
      <c r="AD263" s="47">
        <f t="shared" si="361"/>
        <v>0</v>
      </c>
      <c r="AE263" s="25"/>
      <c r="AF263" s="47">
        <f t="shared" si="362"/>
        <v>0</v>
      </c>
      <c r="AG263" s="47">
        <f t="shared" si="362"/>
        <v>0</v>
      </c>
      <c r="AH263" s="25"/>
      <c r="AI263" s="47">
        <f t="shared" si="363"/>
        <v>0</v>
      </c>
      <c r="AJ263" s="47">
        <f t="shared" si="363"/>
        <v>0</v>
      </c>
      <c r="AK263" s="25"/>
      <c r="AL263" s="47">
        <f t="shared" si="364"/>
        <v>0</v>
      </c>
      <c r="AM263" s="47">
        <f t="shared" si="364"/>
        <v>0</v>
      </c>
      <c r="AN263" s="25"/>
      <c r="AO263" s="47">
        <f>AO33+AO80+AO147+AO183+AO214+AO236+AO258</f>
        <v>0</v>
      </c>
      <c r="AP263" s="42"/>
      <c r="AQ263" s="25"/>
      <c r="AR263" s="33"/>
      <c r="AS263" s="33"/>
    </row>
    <row r="264" spans="1:45" ht="14.25" customHeight="1">
      <c r="A264" s="98"/>
      <c r="B264" s="99"/>
      <c r="C264" s="100"/>
      <c r="D264" s="36" t="s">
        <v>137</v>
      </c>
      <c r="E264" s="37"/>
      <c r="F264" s="37">
        <f t="shared" si="351"/>
        <v>4463.2</v>
      </c>
      <c r="G264" s="25"/>
      <c r="H264" s="47"/>
      <c r="I264" s="47"/>
      <c r="J264" s="25"/>
      <c r="K264" s="47"/>
      <c r="L264" s="47"/>
      <c r="M264" s="25"/>
      <c r="N264" s="47"/>
      <c r="O264" s="47">
        <f>O45+O231</f>
        <v>4439.2</v>
      </c>
      <c r="P264" s="25"/>
      <c r="Q264" s="47"/>
      <c r="R264" s="47">
        <f>R45+R231</f>
        <v>24</v>
      </c>
      <c r="S264" s="25"/>
      <c r="T264" s="47"/>
      <c r="U264" s="47"/>
      <c r="V264" s="25"/>
      <c r="W264" s="47"/>
      <c r="X264" s="47"/>
      <c r="Y264" s="25"/>
      <c r="Z264" s="47"/>
      <c r="AA264" s="47"/>
      <c r="AB264" s="25"/>
      <c r="AC264" s="47"/>
      <c r="AD264" s="47"/>
      <c r="AE264" s="25"/>
      <c r="AF264" s="47"/>
      <c r="AG264" s="47"/>
      <c r="AH264" s="25"/>
      <c r="AI264" s="47"/>
      <c r="AJ264" s="47"/>
      <c r="AK264" s="25"/>
      <c r="AL264" s="47"/>
      <c r="AM264" s="47"/>
      <c r="AN264" s="25"/>
      <c r="AO264" s="47"/>
      <c r="AP264" s="42"/>
      <c r="AQ264" s="25"/>
      <c r="AR264" s="33"/>
      <c r="AS264" s="33"/>
    </row>
    <row r="265" spans="1:45" ht="14.25" customHeight="1">
      <c r="A265" s="92" t="s">
        <v>125</v>
      </c>
      <c r="B265" s="93"/>
      <c r="C265" s="94"/>
      <c r="D265" s="36" t="s">
        <v>4</v>
      </c>
      <c r="E265" s="37">
        <f>H265+K265+N265+Q265+T265+W265+Z265+AC265+AF265+AI265+AL265+AO265</f>
        <v>74187.199999999997</v>
      </c>
      <c r="F265" s="37">
        <f t="shared" si="351"/>
        <v>16536.399999999998</v>
      </c>
      <c r="G265" s="25">
        <f>F265/E265*100</f>
        <v>22.29009856147691</v>
      </c>
      <c r="H265" s="47">
        <f>H266+H267+H268+H269</f>
        <v>0</v>
      </c>
      <c r="I265" s="47">
        <f>I266+I267+I268+I269</f>
        <v>0</v>
      </c>
      <c r="J265" s="25"/>
      <c r="K265" s="47">
        <f>K266+K267+K268+K269</f>
        <v>0</v>
      </c>
      <c r="L265" s="47">
        <f>L266+L267+L268+L269</f>
        <v>0</v>
      </c>
      <c r="M265" s="25"/>
      <c r="N265" s="47">
        <f>N266+N267+N268+N269</f>
        <v>46.3</v>
      </c>
      <c r="O265" s="47">
        <f>O266+O267+O268+O269</f>
        <v>0</v>
      </c>
      <c r="P265" s="25"/>
      <c r="Q265" s="47">
        <f>Q266+Q267+Q268+Q269</f>
        <v>0</v>
      </c>
      <c r="R265" s="47">
        <f>R266+R267+R268+R269</f>
        <v>46.3</v>
      </c>
      <c r="S265" s="25"/>
      <c r="T265" s="47">
        <f>T266+T267+T268+T269</f>
        <v>0</v>
      </c>
      <c r="U265" s="47">
        <f>U266+U267+U268+U269</f>
        <v>0</v>
      </c>
      <c r="V265" s="25"/>
      <c r="W265" s="47">
        <f>W266+W267+W268+W269</f>
        <v>0</v>
      </c>
      <c r="X265" s="47">
        <f>X266+X267+X268+X269</f>
        <v>0</v>
      </c>
      <c r="Y265" s="25"/>
      <c r="Z265" s="47">
        <f>Z266+Z267+Z268+Z269</f>
        <v>0</v>
      </c>
      <c r="AA265" s="47">
        <f>AA266+AA267+AA268+AA269</f>
        <v>0</v>
      </c>
      <c r="AB265" s="25"/>
      <c r="AC265" s="47">
        <f>AC266+AC267+AC268+AC269</f>
        <v>41796.300000000003</v>
      </c>
      <c r="AD265" s="47">
        <f>AD266+AD267+AD268+AD269</f>
        <v>0</v>
      </c>
      <c r="AE265" s="25">
        <f>AD265/AC265*100</f>
        <v>0</v>
      </c>
      <c r="AF265" s="47">
        <f>AF266+AF267+AF268+AF269</f>
        <v>28708.9</v>
      </c>
      <c r="AG265" s="47">
        <f>AG266+AG267+AG268+AG269</f>
        <v>16490.099999999999</v>
      </c>
      <c r="AH265" s="25"/>
      <c r="AI265" s="47">
        <f>AI266+AI267+AI268+AI269</f>
        <v>3635.7000000000003</v>
      </c>
      <c r="AJ265" s="47">
        <f>AJ266+AJ267+AJ268+AJ269</f>
        <v>0</v>
      </c>
      <c r="AK265" s="25"/>
      <c r="AL265" s="47">
        <f>AL266+AL267+AL268+AL269</f>
        <v>0</v>
      </c>
      <c r="AM265" s="47">
        <f>AM266+AM267+AM268+AM269</f>
        <v>0</v>
      </c>
      <c r="AN265" s="25"/>
      <c r="AO265" s="47">
        <f>AO266+AO267+AO268+AO269</f>
        <v>0</v>
      </c>
      <c r="AP265" s="47">
        <f>AP266+AP267+AP268+AP269</f>
        <v>0</v>
      </c>
      <c r="AQ265" s="22" t="e">
        <f t="shared" ref="AQ265" si="377">AP265/AO265</f>
        <v>#DIV/0!</v>
      </c>
      <c r="AR265" s="33"/>
      <c r="AS265" s="33"/>
    </row>
    <row r="266" spans="1:45" ht="14.25" customHeight="1">
      <c r="A266" s="95"/>
      <c r="B266" s="96"/>
      <c r="C266" s="97"/>
      <c r="D266" s="36" t="s">
        <v>23</v>
      </c>
      <c r="E266" s="37">
        <f t="shared" ref="E266:E269" si="378">H266+K266+N266+Q266+T266+W266+Z266+AC266+AF266+AI266+AL266+AO266</f>
        <v>0</v>
      </c>
      <c r="F266" s="37">
        <f t="shared" si="351"/>
        <v>0</v>
      </c>
      <c r="G266" s="25"/>
      <c r="H266" s="47">
        <f t="shared" ref="H266:I269" si="379">H41+H47</f>
        <v>0</v>
      </c>
      <c r="I266" s="47">
        <f t="shared" si="379"/>
        <v>0</v>
      </c>
      <c r="J266" s="25"/>
      <c r="K266" s="47">
        <f t="shared" ref="K266:L269" si="380">K41+K47</f>
        <v>0</v>
      </c>
      <c r="L266" s="47">
        <f t="shared" si="380"/>
        <v>0</v>
      </c>
      <c r="M266" s="25"/>
      <c r="N266" s="47">
        <f t="shared" ref="N266:O269" si="381">N41+N47</f>
        <v>0</v>
      </c>
      <c r="O266" s="47">
        <f t="shared" si="381"/>
        <v>0</v>
      </c>
      <c r="P266" s="25"/>
      <c r="Q266" s="47">
        <f t="shared" ref="Q266:R269" si="382">Q41+Q47</f>
        <v>0</v>
      </c>
      <c r="R266" s="47">
        <f t="shared" si="382"/>
        <v>0</v>
      </c>
      <c r="S266" s="25"/>
      <c r="T266" s="47">
        <f t="shared" ref="T266:U269" si="383">T41+T47</f>
        <v>0</v>
      </c>
      <c r="U266" s="47">
        <f t="shared" si="383"/>
        <v>0</v>
      </c>
      <c r="V266" s="25"/>
      <c r="W266" s="47">
        <f t="shared" ref="W266:X269" si="384">W41+W47</f>
        <v>0</v>
      </c>
      <c r="X266" s="47">
        <f t="shared" si="384"/>
        <v>0</v>
      </c>
      <c r="Y266" s="25"/>
      <c r="Z266" s="47">
        <f t="shared" ref="Z266:AA269" si="385">Z41+Z47</f>
        <v>0</v>
      </c>
      <c r="AA266" s="47">
        <f t="shared" si="385"/>
        <v>0</v>
      </c>
      <c r="AB266" s="25"/>
      <c r="AC266" s="47">
        <f t="shared" ref="AC266:AD269" si="386">AC41+AC47</f>
        <v>0</v>
      </c>
      <c r="AD266" s="47">
        <f t="shared" si="386"/>
        <v>0</v>
      </c>
      <c r="AE266" s="25"/>
      <c r="AF266" s="47">
        <f t="shared" ref="AF266:AG269" si="387">AF41+AF47</f>
        <v>0</v>
      </c>
      <c r="AG266" s="47">
        <f t="shared" si="387"/>
        <v>0</v>
      </c>
      <c r="AH266" s="25"/>
      <c r="AI266" s="47">
        <f t="shared" ref="AI266:AJ269" si="388">AI41+AI47</f>
        <v>0</v>
      </c>
      <c r="AJ266" s="47">
        <f t="shared" si="388"/>
        <v>0</v>
      </c>
      <c r="AK266" s="25"/>
      <c r="AL266" s="47">
        <f t="shared" ref="AL266:AM269" si="389">AL41+AL47</f>
        <v>0</v>
      </c>
      <c r="AM266" s="47">
        <f t="shared" si="389"/>
        <v>0</v>
      </c>
      <c r="AN266" s="25"/>
      <c r="AO266" s="47">
        <f t="shared" ref="AO266:AP269" si="390">AO41+AO47</f>
        <v>0</v>
      </c>
      <c r="AP266" s="47">
        <f t="shared" si="390"/>
        <v>0</v>
      </c>
      <c r="AQ266" s="22"/>
      <c r="AR266" s="33"/>
      <c r="AS266" s="33"/>
    </row>
    <row r="267" spans="1:45" ht="24" customHeight="1">
      <c r="A267" s="95"/>
      <c r="B267" s="96"/>
      <c r="C267" s="97"/>
      <c r="D267" s="36" t="s">
        <v>5</v>
      </c>
      <c r="E267" s="37">
        <f t="shared" si="378"/>
        <v>0</v>
      </c>
      <c r="F267" s="37">
        <f t="shared" si="351"/>
        <v>0</v>
      </c>
      <c r="G267" s="25"/>
      <c r="H267" s="47">
        <f t="shared" si="379"/>
        <v>0</v>
      </c>
      <c r="I267" s="47">
        <f t="shared" si="379"/>
        <v>0</v>
      </c>
      <c r="J267" s="25"/>
      <c r="K267" s="47">
        <f t="shared" si="380"/>
        <v>0</v>
      </c>
      <c r="L267" s="47">
        <f t="shared" si="380"/>
        <v>0</v>
      </c>
      <c r="M267" s="25"/>
      <c r="N267" s="47">
        <f t="shared" si="381"/>
        <v>0</v>
      </c>
      <c r="O267" s="47">
        <f t="shared" si="381"/>
        <v>0</v>
      </c>
      <c r="P267" s="25"/>
      <c r="Q267" s="47">
        <f t="shared" si="382"/>
        <v>0</v>
      </c>
      <c r="R267" s="47">
        <f t="shared" si="382"/>
        <v>0</v>
      </c>
      <c r="S267" s="25"/>
      <c r="T267" s="47">
        <f t="shared" si="383"/>
        <v>0</v>
      </c>
      <c r="U267" s="47">
        <f t="shared" si="383"/>
        <v>0</v>
      </c>
      <c r="V267" s="25"/>
      <c r="W267" s="47">
        <f t="shared" si="384"/>
        <v>0</v>
      </c>
      <c r="X267" s="47">
        <f t="shared" si="384"/>
        <v>0</v>
      </c>
      <c r="Y267" s="25"/>
      <c r="Z267" s="47">
        <f t="shared" si="385"/>
        <v>0</v>
      </c>
      <c r="AA267" s="47">
        <f t="shared" si="385"/>
        <v>0</v>
      </c>
      <c r="AB267" s="25"/>
      <c r="AC267" s="47">
        <f t="shared" si="386"/>
        <v>0</v>
      </c>
      <c r="AD267" s="47">
        <f t="shared" si="386"/>
        <v>0</v>
      </c>
      <c r="AE267" s="25"/>
      <c r="AF267" s="47">
        <f t="shared" si="387"/>
        <v>0</v>
      </c>
      <c r="AG267" s="47">
        <f t="shared" si="387"/>
        <v>0</v>
      </c>
      <c r="AH267" s="25"/>
      <c r="AI267" s="47">
        <f t="shared" si="388"/>
        <v>0</v>
      </c>
      <c r="AJ267" s="47">
        <f t="shared" si="388"/>
        <v>0</v>
      </c>
      <c r="AK267" s="25"/>
      <c r="AL267" s="47">
        <f t="shared" si="389"/>
        <v>0</v>
      </c>
      <c r="AM267" s="47">
        <f t="shared" si="389"/>
        <v>0</v>
      </c>
      <c r="AN267" s="25"/>
      <c r="AO267" s="47">
        <f t="shared" si="390"/>
        <v>0</v>
      </c>
      <c r="AP267" s="47">
        <f t="shared" si="390"/>
        <v>0</v>
      </c>
      <c r="AQ267" s="22" t="e">
        <f t="shared" ref="AQ267:AQ268" si="391">AP267/AO267</f>
        <v>#DIV/0!</v>
      </c>
      <c r="AR267" s="33"/>
      <c r="AS267" s="33"/>
    </row>
    <row r="268" spans="1:45" ht="13.5" customHeight="1">
      <c r="A268" s="95"/>
      <c r="B268" s="96"/>
      <c r="C268" s="97"/>
      <c r="D268" s="36" t="s">
        <v>49</v>
      </c>
      <c r="E268" s="37">
        <f t="shared" si="378"/>
        <v>74187.199999999997</v>
      </c>
      <c r="F268" s="37">
        <f t="shared" si="351"/>
        <v>16536.399999999998</v>
      </c>
      <c r="G268" s="25">
        <f t="shared" ref="G268" si="392">F268/E268*100</f>
        <v>22.29009856147691</v>
      </c>
      <c r="H268" s="47">
        <f t="shared" si="379"/>
        <v>0</v>
      </c>
      <c r="I268" s="47">
        <f t="shared" si="379"/>
        <v>0</v>
      </c>
      <c r="J268" s="25"/>
      <c r="K268" s="47">
        <f t="shared" si="380"/>
        <v>0</v>
      </c>
      <c r="L268" s="47">
        <f t="shared" si="380"/>
        <v>0</v>
      </c>
      <c r="M268" s="25"/>
      <c r="N268" s="47">
        <f t="shared" si="381"/>
        <v>46.3</v>
      </c>
      <c r="O268" s="47">
        <f t="shared" si="381"/>
        <v>0</v>
      </c>
      <c r="P268" s="25"/>
      <c r="Q268" s="47">
        <f t="shared" si="382"/>
        <v>0</v>
      </c>
      <c r="R268" s="47">
        <f t="shared" si="382"/>
        <v>46.3</v>
      </c>
      <c r="S268" s="25"/>
      <c r="T268" s="47">
        <f t="shared" si="383"/>
        <v>0</v>
      </c>
      <c r="U268" s="47">
        <f t="shared" si="383"/>
        <v>0</v>
      </c>
      <c r="V268" s="25"/>
      <c r="W268" s="47">
        <f t="shared" si="384"/>
        <v>0</v>
      </c>
      <c r="X268" s="47">
        <f t="shared" si="384"/>
        <v>0</v>
      </c>
      <c r="Y268" s="25"/>
      <c r="Z268" s="47">
        <f t="shared" si="385"/>
        <v>0</v>
      </c>
      <c r="AA268" s="47">
        <f t="shared" si="385"/>
        <v>0</v>
      </c>
      <c r="AB268" s="25"/>
      <c r="AC268" s="47">
        <f t="shared" si="386"/>
        <v>41796.300000000003</v>
      </c>
      <c r="AD268" s="47">
        <f t="shared" si="386"/>
        <v>0</v>
      </c>
      <c r="AE268" s="25">
        <f t="shared" ref="AE268" si="393">AD268/AC268*100</f>
        <v>0</v>
      </c>
      <c r="AF268" s="47">
        <f t="shared" si="387"/>
        <v>28708.9</v>
      </c>
      <c r="AG268" s="47">
        <f t="shared" si="387"/>
        <v>16490.099999999999</v>
      </c>
      <c r="AH268" s="25"/>
      <c r="AI268" s="47">
        <f t="shared" si="388"/>
        <v>3635.7000000000003</v>
      </c>
      <c r="AJ268" s="47">
        <f t="shared" si="388"/>
        <v>0</v>
      </c>
      <c r="AK268" s="25"/>
      <c r="AL268" s="47">
        <f t="shared" si="389"/>
        <v>0</v>
      </c>
      <c r="AM268" s="47">
        <f t="shared" si="389"/>
        <v>0</v>
      </c>
      <c r="AN268" s="25"/>
      <c r="AO268" s="47">
        <f t="shared" si="390"/>
        <v>0</v>
      </c>
      <c r="AP268" s="47">
        <f t="shared" si="390"/>
        <v>0</v>
      </c>
      <c r="AQ268" s="22" t="e">
        <f t="shared" si="391"/>
        <v>#DIV/0!</v>
      </c>
      <c r="AR268" s="33"/>
      <c r="AS268" s="33"/>
    </row>
    <row r="269" spans="1:45">
      <c r="A269" s="95"/>
      <c r="B269" s="96"/>
      <c r="C269" s="97"/>
      <c r="D269" s="36" t="s">
        <v>24</v>
      </c>
      <c r="E269" s="37">
        <f t="shared" si="378"/>
        <v>0</v>
      </c>
      <c r="F269" s="37">
        <f t="shared" si="351"/>
        <v>0</v>
      </c>
      <c r="G269" s="25"/>
      <c r="H269" s="47">
        <f t="shared" si="379"/>
        <v>0</v>
      </c>
      <c r="I269" s="47">
        <f t="shared" si="379"/>
        <v>0</v>
      </c>
      <c r="J269" s="25"/>
      <c r="K269" s="47">
        <f t="shared" si="380"/>
        <v>0</v>
      </c>
      <c r="L269" s="47">
        <f t="shared" si="380"/>
        <v>0</v>
      </c>
      <c r="M269" s="25"/>
      <c r="N269" s="47">
        <f t="shared" si="381"/>
        <v>0</v>
      </c>
      <c r="O269" s="47">
        <f t="shared" si="381"/>
        <v>0</v>
      </c>
      <c r="P269" s="25"/>
      <c r="Q269" s="47">
        <f t="shared" si="382"/>
        <v>0</v>
      </c>
      <c r="R269" s="47">
        <f t="shared" si="382"/>
        <v>0</v>
      </c>
      <c r="S269" s="25"/>
      <c r="T269" s="47">
        <f t="shared" si="383"/>
        <v>0</v>
      </c>
      <c r="U269" s="47">
        <f t="shared" si="383"/>
        <v>0</v>
      </c>
      <c r="V269" s="25"/>
      <c r="W269" s="47">
        <f t="shared" si="384"/>
        <v>0</v>
      </c>
      <c r="X269" s="47">
        <f t="shared" si="384"/>
        <v>0</v>
      </c>
      <c r="Y269" s="25"/>
      <c r="Z269" s="47">
        <f t="shared" si="385"/>
        <v>0</v>
      </c>
      <c r="AA269" s="47">
        <f t="shared" si="385"/>
        <v>0</v>
      </c>
      <c r="AB269" s="25"/>
      <c r="AC269" s="47">
        <f t="shared" si="386"/>
        <v>0</v>
      </c>
      <c r="AD269" s="47">
        <f t="shared" si="386"/>
        <v>0</v>
      </c>
      <c r="AE269" s="25"/>
      <c r="AF269" s="47">
        <f t="shared" si="387"/>
        <v>0</v>
      </c>
      <c r="AG269" s="47">
        <f t="shared" si="387"/>
        <v>0</v>
      </c>
      <c r="AH269" s="25"/>
      <c r="AI269" s="47">
        <f t="shared" si="388"/>
        <v>0</v>
      </c>
      <c r="AJ269" s="47">
        <f t="shared" si="388"/>
        <v>0</v>
      </c>
      <c r="AK269" s="25"/>
      <c r="AL269" s="47">
        <f t="shared" si="389"/>
        <v>0</v>
      </c>
      <c r="AM269" s="47">
        <f t="shared" si="389"/>
        <v>0</v>
      </c>
      <c r="AN269" s="25"/>
      <c r="AO269" s="47">
        <f t="shared" si="390"/>
        <v>0</v>
      </c>
      <c r="AP269" s="47">
        <f t="shared" si="390"/>
        <v>0</v>
      </c>
      <c r="AQ269" s="25"/>
      <c r="AR269" s="33"/>
      <c r="AS269" s="33"/>
    </row>
    <row r="270" spans="1:45" ht="14.25" customHeight="1">
      <c r="A270" s="98"/>
      <c r="B270" s="99"/>
      <c r="C270" s="100"/>
      <c r="D270" s="36" t="s">
        <v>137</v>
      </c>
      <c r="E270" s="37"/>
      <c r="F270" s="37">
        <f t="shared" si="351"/>
        <v>6372.6</v>
      </c>
      <c r="G270" s="25"/>
      <c r="H270" s="47"/>
      <c r="I270" s="47"/>
      <c r="J270" s="25"/>
      <c r="K270" s="47"/>
      <c r="L270" s="47"/>
      <c r="M270" s="25"/>
      <c r="N270" s="47"/>
      <c r="O270" s="47">
        <f>O45</f>
        <v>4399.2</v>
      </c>
      <c r="P270" s="25"/>
      <c r="Q270" s="47"/>
      <c r="R270" s="47">
        <f>R45</f>
        <v>24</v>
      </c>
      <c r="S270" s="25"/>
      <c r="T270" s="47"/>
      <c r="U270" s="47"/>
      <c r="V270" s="25"/>
      <c r="W270" s="47"/>
      <c r="X270" s="47"/>
      <c r="Y270" s="25"/>
      <c r="Z270" s="47"/>
      <c r="AA270" s="47"/>
      <c r="AB270" s="25"/>
      <c r="AC270" s="47"/>
      <c r="AD270" s="47"/>
      <c r="AE270" s="25"/>
      <c r="AF270" s="47"/>
      <c r="AG270" s="47">
        <f>AG45</f>
        <v>1949.4</v>
      </c>
      <c r="AH270" s="25"/>
      <c r="AI270" s="47"/>
      <c r="AJ270" s="47"/>
      <c r="AK270" s="25"/>
      <c r="AL270" s="47"/>
      <c r="AM270" s="47"/>
      <c r="AN270" s="25"/>
      <c r="AO270" s="47"/>
      <c r="AP270" s="47"/>
      <c r="AQ270" s="25"/>
      <c r="AR270" s="33"/>
      <c r="AS270" s="33"/>
    </row>
    <row r="271" spans="1:45">
      <c r="A271" s="92" t="s">
        <v>126</v>
      </c>
      <c r="B271" s="93"/>
      <c r="C271" s="94"/>
      <c r="D271" s="36" t="s">
        <v>4</v>
      </c>
      <c r="E271" s="37">
        <f>H271+K271+N271+Q271+T271+W271+Z271+AC271+AF271+AI271+AL271+AO271</f>
        <v>1695189.2000000002</v>
      </c>
      <c r="F271" s="37">
        <f t="shared" si="351"/>
        <v>1082767.7132000001</v>
      </c>
      <c r="G271" s="25">
        <f>F271/E271*100</f>
        <v>63.872971418175631</v>
      </c>
      <c r="H271" s="47">
        <f>H272+H273+H274+H275</f>
        <v>36476.300000000003</v>
      </c>
      <c r="I271" s="47">
        <f>I272+I273+I274+I275</f>
        <v>36114.9</v>
      </c>
      <c r="J271" s="25">
        <f>I271/H271*100</f>
        <v>99.009219685110608</v>
      </c>
      <c r="K271" s="47">
        <f>K272+K273+K274+K275</f>
        <v>131830.20000000001</v>
      </c>
      <c r="L271" s="47">
        <f>L272+L273+L274+L275</f>
        <v>130330.20000000001</v>
      </c>
      <c r="M271" s="25">
        <f>L271/K271*100</f>
        <v>98.862172703978302</v>
      </c>
      <c r="N271" s="47">
        <f>N272+N273+N274+N275</f>
        <v>125750.3</v>
      </c>
      <c r="O271" s="47">
        <f>O272+O273+O274+O275</f>
        <v>124939.99960000001</v>
      </c>
      <c r="P271" s="25">
        <f>O271/N271*100</f>
        <v>99.355627461723756</v>
      </c>
      <c r="Q271" s="47">
        <f>Q272+Q273+Q274+Q275</f>
        <v>143294.6</v>
      </c>
      <c r="R271" s="47">
        <f>R272+R273+R274+R275</f>
        <v>145114.69999999998</v>
      </c>
      <c r="S271" s="25">
        <f>R271/Q271*100</f>
        <v>101.27018045341553</v>
      </c>
      <c r="T271" s="47">
        <f>T272+T273+T274+T275</f>
        <v>175268.7</v>
      </c>
      <c r="U271" s="47">
        <f>U272+U273+U274+U275</f>
        <v>195851.71360000002</v>
      </c>
      <c r="V271" s="25">
        <f>U271/T271*100</f>
        <v>111.74369045927767</v>
      </c>
      <c r="W271" s="47">
        <f>W272+W273+W274+W275</f>
        <v>210022.6</v>
      </c>
      <c r="X271" s="47">
        <f>X272+X273+X274+X275</f>
        <v>186896.2</v>
      </c>
      <c r="Y271" s="25">
        <f>X271/W271*100</f>
        <v>88.988613606345226</v>
      </c>
      <c r="Z271" s="47">
        <f>Z272+Z273+Z274+Z275</f>
        <v>124553.40000000001</v>
      </c>
      <c r="AA271" s="47">
        <f>AA272+AA273+AA274+AA275</f>
        <v>112303.1</v>
      </c>
      <c r="AB271" s="25">
        <f>AA271/Z271*100</f>
        <v>90.164620154889391</v>
      </c>
      <c r="AC271" s="47">
        <f>AC272+AC273+AC274+AC275</f>
        <v>72466.600000000006</v>
      </c>
      <c r="AD271" s="47">
        <f>AD272+AD273+AD274+AD275</f>
        <v>71862.3</v>
      </c>
      <c r="AE271" s="25">
        <f>AD271/AC271*100</f>
        <v>99.166098588867143</v>
      </c>
      <c r="AF271" s="47">
        <f>AF272+AF273+AF274+AF275</f>
        <v>71535.700000000012</v>
      </c>
      <c r="AG271" s="47">
        <f>AG272+AG273+AG274+AG275</f>
        <v>79354.600000000006</v>
      </c>
      <c r="AH271" s="25">
        <f>AG271/AF271*100</f>
        <v>110.93006708538533</v>
      </c>
      <c r="AI271" s="47">
        <f>AI272+AI273+AI274+AI275</f>
        <v>178963.70000000004</v>
      </c>
      <c r="AJ271" s="47">
        <f>AJ272+AJ273+AJ274+AJ275</f>
        <v>0</v>
      </c>
      <c r="AK271" s="25">
        <f>AJ271/AI271*100</f>
        <v>0</v>
      </c>
      <c r="AL271" s="47">
        <f>AL272+AL273+AL274+AL275</f>
        <v>141746.80000000002</v>
      </c>
      <c r="AM271" s="47">
        <f>AM272+AM273+AM274+AM275</f>
        <v>0</v>
      </c>
      <c r="AN271" s="25">
        <f>AM271/AL271*100</f>
        <v>0</v>
      </c>
      <c r="AO271" s="47">
        <f>AO272+AO273+AO274+AO275</f>
        <v>283280.30000000005</v>
      </c>
      <c r="AP271" s="42"/>
      <c r="AQ271" s="22">
        <f t="shared" ref="AQ271" si="394">AP271/AO271</f>
        <v>0</v>
      </c>
      <c r="AR271" s="33"/>
      <c r="AS271" s="33"/>
    </row>
    <row r="272" spans="1:45">
      <c r="A272" s="95"/>
      <c r="B272" s="96"/>
      <c r="C272" s="97"/>
      <c r="D272" s="36" t="s">
        <v>23</v>
      </c>
      <c r="E272" s="37">
        <f t="shared" ref="E272:E275" si="395">H272+K272+N272+Q272+T272+W272+Z272+AC272+AF272+AI272+AL272+AO272</f>
        <v>15792.599999999999</v>
      </c>
      <c r="F272" s="37">
        <f t="shared" si="351"/>
        <v>3210.8999999999996</v>
      </c>
      <c r="G272" s="25"/>
      <c r="H272" s="47">
        <f t="shared" ref="H272:I275" si="396">H260-H266</f>
        <v>0</v>
      </c>
      <c r="I272" s="47">
        <f t="shared" si="396"/>
        <v>0</v>
      </c>
      <c r="J272" s="25"/>
      <c r="K272" s="47">
        <f t="shared" ref="K272:L275" si="397">K260-K266</f>
        <v>0</v>
      </c>
      <c r="L272" s="47">
        <f t="shared" si="397"/>
        <v>0</v>
      </c>
      <c r="M272" s="25"/>
      <c r="N272" s="47">
        <f t="shared" ref="N272:O275" si="398">N260-N266</f>
        <v>0</v>
      </c>
      <c r="O272" s="47">
        <f t="shared" si="398"/>
        <v>0</v>
      </c>
      <c r="P272" s="25"/>
      <c r="Q272" s="47">
        <f t="shared" ref="Q272:R275" si="399">Q260-Q266</f>
        <v>0</v>
      </c>
      <c r="R272" s="47">
        <f t="shared" si="399"/>
        <v>0</v>
      </c>
      <c r="S272" s="25"/>
      <c r="T272" s="47">
        <f t="shared" ref="T272:U275" si="400">T260-T266</f>
        <v>0</v>
      </c>
      <c r="U272" s="47">
        <f t="shared" si="400"/>
        <v>0</v>
      </c>
      <c r="V272" s="25"/>
      <c r="W272" s="47">
        <f t="shared" ref="W272:X275" si="401">W260-W266</f>
        <v>0</v>
      </c>
      <c r="X272" s="47">
        <f t="shared" si="401"/>
        <v>0</v>
      </c>
      <c r="Y272" s="25"/>
      <c r="Z272" s="47">
        <f t="shared" ref="Z272:AA275" si="402">Z260-Z266</f>
        <v>0</v>
      </c>
      <c r="AA272" s="47">
        <f t="shared" si="402"/>
        <v>0</v>
      </c>
      <c r="AB272" s="25"/>
      <c r="AC272" s="47">
        <f t="shared" ref="AC272:AD275" si="403">AC260-AC266</f>
        <v>0</v>
      </c>
      <c r="AD272" s="47">
        <f t="shared" si="403"/>
        <v>0</v>
      </c>
      <c r="AE272" s="25"/>
      <c r="AF272" s="47">
        <f t="shared" ref="AF272:AG275" si="404">AF260-AF266</f>
        <v>3210.8999999999996</v>
      </c>
      <c r="AG272" s="47">
        <f t="shared" si="404"/>
        <v>3210.8999999999996</v>
      </c>
      <c r="AH272" s="25"/>
      <c r="AI272" s="47">
        <f t="shared" ref="AI272:AJ275" si="405">AI260-AI266</f>
        <v>5458.2</v>
      </c>
      <c r="AJ272" s="47">
        <f t="shared" si="405"/>
        <v>0</v>
      </c>
      <c r="AK272" s="25"/>
      <c r="AL272" s="47">
        <f t="shared" ref="AL272:AM275" si="406">AL260-AL266</f>
        <v>3362</v>
      </c>
      <c r="AM272" s="47">
        <f t="shared" si="406"/>
        <v>0</v>
      </c>
      <c r="AN272" s="25"/>
      <c r="AO272" s="47">
        <f t="shared" ref="AO272:AP275" si="407">AO260-AO266</f>
        <v>3761.5</v>
      </c>
      <c r="AP272" s="47">
        <f t="shared" si="407"/>
        <v>0</v>
      </c>
      <c r="AQ272" s="22"/>
      <c r="AR272" s="33"/>
      <c r="AS272" s="33"/>
    </row>
    <row r="273" spans="1:45" ht="25.5" customHeight="1">
      <c r="A273" s="95"/>
      <c r="B273" s="96"/>
      <c r="C273" s="97"/>
      <c r="D273" s="36" t="s">
        <v>5</v>
      </c>
      <c r="E273" s="37">
        <f t="shared" si="395"/>
        <v>1341394.4000000001</v>
      </c>
      <c r="F273" s="37">
        <f t="shared" si="351"/>
        <v>882357.2132</v>
      </c>
      <c r="G273" s="25">
        <f>F273/E273*100</f>
        <v>65.779103684941575</v>
      </c>
      <c r="H273" s="47">
        <f t="shared" si="396"/>
        <v>29104</v>
      </c>
      <c r="I273" s="47">
        <f t="shared" si="396"/>
        <v>29076.1</v>
      </c>
      <c r="J273" s="25">
        <f>I273/H273*100</f>
        <v>99.904136888400217</v>
      </c>
      <c r="K273" s="47">
        <f t="shared" si="397"/>
        <v>97726</v>
      </c>
      <c r="L273" s="47">
        <f t="shared" si="397"/>
        <v>96358.000000000015</v>
      </c>
      <c r="M273" s="25">
        <f>L273/K273*100</f>
        <v>98.60016781613902</v>
      </c>
      <c r="N273" s="47">
        <f t="shared" si="398"/>
        <v>97204.5</v>
      </c>
      <c r="O273" s="47">
        <f t="shared" si="398"/>
        <v>96767.699600000007</v>
      </c>
      <c r="P273" s="25">
        <f>O273/N273*100</f>
        <v>99.550637676239276</v>
      </c>
      <c r="Q273" s="47">
        <f t="shared" si="399"/>
        <v>110448.70000000001</v>
      </c>
      <c r="R273" s="47">
        <f t="shared" si="399"/>
        <v>110096.29999999999</v>
      </c>
      <c r="S273" s="25">
        <f>R273/Q273*100</f>
        <v>99.680937847163406</v>
      </c>
      <c r="T273" s="47">
        <f t="shared" si="400"/>
        <v>146494.20000000001</v>
      </c>
      <c r="U273" s="47">
        <f t="shared" si="400"/>
        <v>170158.61360000001</v>
      </c>
      <c r="V273" s="25">
        <f>U273/T273*100</f>
        <v>116.15382288172501</v>
      </c>
      <c r="W273" s="47">
        <f t="shared" si="401"/>
        <v>193364</v>
      </c>
      <c r="X273" s="47">
        <f t="shared" si="401"/>
        <v>171910.1</v>
      </c>
      <c r="Y273" s="25">
        <f>X273/W273*100</f>
        <v>88.904915082435195</v>
      </c>
      <c r="Z273" s="47">
        <f t="shared" si="402"/>
        <v>99947.900000000009</v>
      </c>
      <c r="AA273" s="47">
        <f t="shared" si="402"/>
        <v>91046.3</v>
      </c>
      <c r="AB273" s="25">
        <f>AA273/Z273*100</f>
        <v>91.093759848881263</v>
      </c>
      <c r="AC273" s="47">
        <f t="shared" si="403"/>
        <v>51350.9</v>
      </c>
      <c r="AD273" s="47">
        <f t="shared" si="403"/>
        <v>54042.2</v>
      </c>
      <c r="AE273" s="25">
        <f>AD273/AC273*100</f>
        <v>105.24099869719907</v>
      </c>
      <c r="AF273" s="47">
        <f t="shared" si="404"/>
        <v>59419.600000000006</v>
      </c>
      <c r="AG273" s="47">
        <f t="shared" si="404"/>
        <v>62901.900000000016</v>
      </c>
      <c r="AH273" s="25">
        <f>AG273/AF273*100</f>
        <v>105.86052413681682</v>
      </c>
      <c r="AI273" s="47">
        <f t="shared" si="405"/>
        <v>129851.1</v>
      </c>
      <c r="AJ273" s="47">
        <f t="shared" si="405"/>
        <v>0</v>
      </c>
      <c r="AK273" s="25">
        <f>AJ273/AI273*100</f>
        <v>0</v>
      </c>
      <c r="AL273" s="47">
        <f t="shared" si="406"/>
        <v>101051.70000000001</v>
      </c>
      <c r="AM273" s="47">
        <f t="shared" si="406"/>
        <v>0</v>
      </c>
      <c r="AN273" s="25">
        <f>AM273/AL273*100</f>
        <v>0</v>
      </c>
      <c r="AO273" s="47">
        <f t="shared" si="407"/>
        <v>225431.80000000002</v>
      </c>
      <c r="AP273" s="47">
        <f t="shared" si="407"/>
        <v>0</v>
      </c>
      <c r="AQ273" s="22">
        <f t="shared" ref="AQ273:AQ274" si="408">AP273/AO273</f>
        <v>0</v>
      </c>
      <c r="AR273" s="33"/>
      <c r="AS273" s="33"/>
    </row>
    <row r="274" spans="1:45" ht="12.75" customHeight="1">
      <c r="A274" s="95"/>
      <c r="B274" s="96"/>
      <c r="C274" s="97"/>
      <c r="D274" s="36" t="s">
        <v>49</v>
      </c>
      <c r="E274" s="37">
        <f t="shared" si="395"/>
        <v>338002.2</v>
      </c>
      <c r="F274" s="37">
        <f t="shared" si="351"/>
        <v>197199.59999999995</v>
      </c>
      <c r="G274" s="25">
        <f t="shared" ref="G274" si="409">F274/E274*100</f>
        <v>58.342697177710654</v>
      </c>
      <c r="H274" s="47">
        <f t="shared" si="396"/>
        <v>7372.3</v>
      </c>
      <c r="I274" s="47">
        <f t="shared" si="396"/>
        <v>7038.8</v>
      </c>
      <c r="J274" s="25">
        <f t="shared" ref="J274" si="410">I274/H274*100</f>
        <v>95.476309971108066</v>
      </c>
      <c r="K274" s="47">
        <f t="shared" si="397"/>
        <v>34104.199999999997</v>
      </c>
      <c r="L274" s="47">
        <f t="shared" si="397"/>
        <v>33972.199999999997</v>
      </c>
      <c r="M274" s="25">
        <f t="shared" ref="M274" si="411">L274/K274*100</f>
        <v>99.612950897543413</v>
      </c>
      <c r="N274" s="47">
        <f t="shared" si="398"/>
        <v>28545.800000000003</v>
      </c>
      <c r="O274" s="47">
        <f t="shared" si="398"/>
        <v>28172.299999999996</v>
      </c>
      <c r="P274" s="25">
        <f t="shared" ref="P274" si="412">O274/N274*100</f>
        <v>98.691576343980529</v>
      </c>
      <c r="Q274" s="47">
        <f t="shared" si="399"/>
        <v>32845.9</v>
      </c>
      <c r="R274" s="47">
        <f t="shared" si="399"/>
        <v>35018.400000000001</v>
      </c>
      <c r="S274" s="25">
        <f t="shared" ref="S274" si="413">R274/Q274*100</f>
        <v>106.61421973518766</v>
      </c>
      <c r="T274" s="47">
        <f t="shared" si="400"/>
        <v>28774.5</v>
      </c>
      <c r="U274" s="47">
        <f t="shared" si="400"/>
        <v>25693.099999999995</v>
      </c>
      <c r="V274" s="25">
        <f t="shared" ref="V274" si="414">U274/T274*100</f>
        <v>89.29121270569425</v>
      </c>
      <c r="W274" s="47">
        <f t="shared" si="401"/>
        <v>16658.599999999999</v>
      </c>
      <c r="X274" s="47">
        <f t="shared" si="401"/>
        <v>14986.099999999999</v>
      </c>
      <c r="Y274" s="25">
        <f t="shared" ref="Y274" si="415">X274/W274*100</f>
        <v>89.960140708102728</v>
      </c>
      <c r="Z274" s="47">
        <f t="shared" si="402"/>
        <v>24605.5</v>
      </c>
      <c r="AA274" s="47">
        <f t="shared" si="402"/>
        <v>21256.799999999999</v>
      </c>
      <c r="AB274" s="25">
        <f t="shared" ref="AB274" si="416">AA274/Z274*100</f>
        <v>86.390441161528912</v>
      </c>
      <c r="AC274" s="47">
        <f t="shared" si="403"/>
        <v>21115.699999999997</v>
      </c>
      <c r="AD274" s="47">
        <f t="shared" si="403"/>
        <v>17820.100000000002</v>
      </c>
      <c r="AE274" s="25">
        <f t="shared" ref="AE274" si="417">AD274/AC274*100</f>
        <v>84.392655701681704</v>
      </c>
      <c r="AF274" s="47">
        <f t="shared" si="404"/>
        <v>8905.2000000000044</v>
      </c>
      <c r="AG274" s="47">
        <f t="shared" si="404"/>
        <v>13241.799999999996</v>
      </c>
      <c r="AH274" s="25">
        <f t="shared" ref="AH274" si="418">AG274/AF274*100</f>
        <v>148.69739028881989</v>
      </c>
      <c r="AI274" s="47">
        <f t="shared" si="405"/>
        <v>43654.400000000016</v>
      </c>
      <c r="AJ274" s="47">
        <f t="shared" si="405"/>
        <v>0</v>
      </c>
      <c r="AK274" s="25">
        <f t="shared" ref="AK274" si="419">AJ274/AI274*100</f>
        <v>0</v>
      </c>
      <c r="AL274" s="47">
        <f t="shared" si="406"/>
        <v>37333.1</v>
      </c>
      <c r="AM274" s="47">
        <f t="shared" si="406"/>
        <v>0</v>
      </c>
      <c r="AN274" s="25">
        <f t="shared" ref="AN274" si="420">AM274/AL274*100</f>
        <v>0</v>
      </c>
      <c r="AO274" s="47">
        <f t="shared" si="407"/>
        <v>54087</v>
      </c>
      <c r="AP274" s="47">
        <f t="shared" si="407"/>
        <v>0</v>
      </c>
      <c r="AQ274" s="22">
        <f t="shared" si="408"/>
        <v>0</v>
      </c>
      <c r="AR274" s="33"/>
      <c r="AS274" s="33"/>
    </row>
    <row r="275" spans="1:45">
      <c r="A275" s="95"/>
      <c r="B275" s="96"/>
      <c r="C275" s="97"/>
      <c r="D275" s="36" t="s">
        <v>24</v>
      </c>
      <c r="E275" s="37">
        <f t="shared" si="395"/>
        <v>0</v>
      </c>
      <c r="F275" s="37">
        <f t="shared" si="351"/>
        <v>0</v>
      </c>
      <c r="G275" s="25"/>
      <c r="H275" s="47">
        <f t="shared" si="396"/>
        <v>0</v>
      </c>
      <c r="I275" s="47">
        <f t="shared" si="396"/>
        <v>0</v>
      </c>
      <c r="J275" s="25"/>
      <c r="K275" s="47">
        <f t="shared" si="397"/>
        <v>0</v>
      </c>
      <c r="L275" s="47">
        <f t="shared" si="397"/>
        <v>0</v>
      </c>
      <c r="M275" s="25"/>
      <c r="N275" s="47">
        <f t="shared" si="398"/>
        <v>0</v>
      </c>
      <c r="O275" s="47">
        <f t="shared" si="398"/>
        <v>0</v>
      </c>
      <c r="P275" s="25"/>
      <c r="Q275" s="47">
        <f t="shared" si="399"/>
        <v>0</v>
      </c>
      <c r="R275" s="47">
        <f t="shared" si="399"/>
        <v>0</v>
      </c>
      <c r="S275" s="25"/>
      <c r="T275" s="47">
        <f t="shared" si="400"/>
        <v>0</v>
      </c>
      <c r="U275" s="47">
        <f t="shared" si="400"/>
        <v>0</v>
      </c>
      <c r="V275" s="25"/>
      <c r="W275" s="47">
        <f t="shared" si="401"/>
        <v>0</v>
      </c>
      <c r="X275" s="47">
        <f t="shared" si="401"/>
        <v>0</v>
      </c>
      <c r="Y275" s="25"/>
      <c r="Z275" s="47">
        <f t="shared" si="402"/>
        <v>0</v>
      </c>
      <c r="AA275" s="47">
        <f t="shared" si="402"/>
        <v>0</v>
      </c>
      <c r="AB275" s="25"/>
      <c r="AC275" s="47">
        <f t="shared" si="403"/>
        <v>0</v>
      </c>
      <c r="AD275" s="47">
        <f t="shared" si="403"/>
        <v>0</v>
      </c>
      <c r="AE275" s="25"/>
      <c r="AF275" s="47">
        <f t="shared" si="404"/>
        <v>0</v>
      </c>
      <c r="AG275" s="47">
        <f t="shared" si="404"/>
        <v>0</v>
      </c>
      <c r="AH275" s="25"/>
      <c r="AI275" s="47">
        <f t="shared" si="405"/>
        <v>0</v>
      </c>
      <c r="AJ275" s="47">
        <f t="shared" si="405"/>
        <v>0</v>
      </c>
      <c r="AK275" s="25"/>
      <c r="AL275" s="47">
        <f t="shared" si="406"/>
        <v>0</v>
      </c>
      <c r="AM275" s="47">
        <f t="shared" si="406"/>
        <v>0</v>
      </c>
      <c r="AN275" s="25"/>
      <c r="AO275" s="47">
        <f t="shared" si="407"/>
        <v>0</v>
      </c>
      <c r="AP275" s="47">
        <f t="shared" si="407"/>
        <v>0</v>
      </c>
      <c r="AQ275" s="25"/>
      <c r="AR275" s="33"/>
      <c r="AS275" s="33"/>
    </row>
    <row r="276" spans="1:45" ht="15.75" customHeight="1">
      <c r="A276" s="98"/>
      <c r="B276" s="99"/>
      <c r="C276" s="100"/>
      <c r="D276" s="36" t="s">
        <v>137</v>
      </c>
      <c r="E276" s="37"/>
      <c r="F276" s="37">
        <f t="shared" si="351"/>
        <v>40</v>
      </c>
      <c r="G276" s="25"/>
      <c r="H276" s="47"/>
      <c r="I276" s="47"/>
      <c r="J276" s="25"/>
      <c r="K276" s="47"/>
      <c r="L276" s="47"/>
      <c r="M276" s="25"/>
      <c r="N276" s="47"/>
      <c r="O276" s="47">
        <f>O231</f>
        <v>40</v>
      </c>
      <c r="P276" s="25"/>
      <c r="Q276" s="47"/>
      <c r="R276" s="47"/>
      <c r="S276" s="25"/>
      <c r="T276" s="47"/>
      <c r="U276" s="47"/>
      <c r="V276" s="25"/>
      <c r="W276" s="47"/>
      <c r="X276" s="47"/>
      <c r="Y276" s="25"/>
      <c r="Z276" s="47"/>
      <c r="AA276" s="47"/>
      <c r="AB276" s="25"/>
      <c r="AC276" s="47"/>
      <c r="AD276" s="47"/>
      <c r="AE276" s="25"/>
      <c r="AF276" s="47"/>
      <c r="AG276" s="47"/>
      <c r="AH276" s="25"/>
      <c r="AI276" s="47"/>
      <c r="AJ276" s="47"/>
      <c r="AK276" s="25"/>
      <c r="AL276" s="47"/>
      <c r="AM276" s="47"/>
      <c r="AN276" s="25"/>
      <c r="AO276" s="47"/>
      <c r="AP276" s="47"/>
      <c r="AQ276" s="25"/>
      <c r="AR276" s="33"/>
      <c r="AS276" s="33"/>
    </row>
    <row r="277" spans="1:45" ht="15.75" customHeight="1">
      <c r="A277" s="101" t="s">
        <v>127</v>
      </c>
      <c r="B277" s="102"/>
      <c r="C277" s="103"/>
      <c r="D277" s="36"/>
      <c r="E277" s="37"/>
      <c r="F277" s="37"/>
      <c r="G277" s="25"/>
      <c r="H277" s="47"/>
      <c r="I277" s="47"/>
      <c r="J277" s="25"/>
      <c r="K277" s="47"/>
      <c r="L277" s="47"/>
      <c r="M277" s="25"/>
      <c r="N277" s="47"/>
      <c r="O277" s="47"/>
      <c r="P277" s="25"/>
      <c r="Q277" s="47"/>
      <c r="R277" s="47"/>
      <c r="S277" s="25"/>
      <c r="T277" s="47"/>
      <c r="U277" s="47"/>
      <c r="V277" s="25"/>
      <c r="W277" s="47"/>
      <c r="X277" s="47"/>
      <c r="Y277" s="25"/>
      <c r="Z277" s="47"/>
      <c r="AA277" s="47"/>
      <c r="AB277" s="25"/>
      <c r="AC277" s="47"/>
      <c r="AD277" s="47"/>
      <c r="AE277" s="25"/>
      <c r="AF277" s="47"/>
      <c r="AG277" s="47"/>
      <c r="AH277" s="25"/>
      <c r="AI277" s="47"/>
      <c r="AJ277" s="47"/>
      <c r="AK277" s="25"/>
      <c r="AL277" s="47"/>
      <c r="AM277" s="47"/>
      <c r="AN277" s="25"/>
      <c r="AO277" s="47"/>
      <c r="AP277" s="42"/>
      <c r="AQ277" s="25"/>
      <c r="AR277" s="33"/>
      <c r="AS277" s="33"/>
    </row>
    <row r="278" spans="1:45">
      <c r="A278" s="92" t="s">
        <v>129</v>
      </c>
      <c r="B278" s="93"/>
      <c r="C278" s="94"/>
      <c r="D278" s="36" t="s">
        <v>4</v>
      </c>
      <c r="E278" s="37">
        <f>H278+K278+N278+Q278+T278+W278+Z278+AC278+AF278+AI278+AL278+AO278</f>
        <v>1691888</v>
      </c>
      <c r="F278" s="37">
        <f t="shared" ref="F278:F294" si="421">I278+L278+O278+R278+U278+X278+AA278+AD278+AG278+AJ278+AM278+AP278</f>
        <v>1081310.9132000001</v>
      </c>
      <c r="G278" s="25">
        <f>F278/E278*100</f>
        <v>63.911494921649656</v>
      </c>
      <c r="H278" s="47">
        <f>H279+H280+H281+H282</f>
        <v>36476.300000000003</v>
      </c>
      <c r="I278" s="47">
        <f>I279+I280+I281+I282</f>
        <v>36114.9</v>
      </c>
      <c r="J278" s="25">
        <f>I278/H278*100</f>
        <v>99.009219685110608</v>
      </c>
      <c r="K278" s="47">
        <f>K279+K280+K281+K282</f>
        <v>131773.6</v>
      </c>
      <c r="L278" s="47">
        <f>L279+L280+L281+L282</f>
        <v>130330.20000000001</v>
      </c>
      <c r="M278" s="25">
        <f>L278/K278*100</f>
        <v>98.904636437040509</v>
      </c>
      <c r="N278" s="47">
        <f>N279+N280+N281+N282</f>
        <v>125449.4</v>
      </c>
      <c r="O278" s="47">
        <f>O279+O280+O281+O282</f>
        <v>124939.99960000001</v>
      </c>
      <c r="P278" s="25">
        <f>O278/N278*100</f>
        <v>99.593939548535118</v>
      </c>
      <c r="Q278" s="47">
        <f>Q279+Q280+Q281+Q282</f>
        <v>143294.6</v>
      </c>
      <c r="R278" s="47">
        <f>R279+R280+R281+R282</f>
        <v>145114.69999999998</v>
      </c>
      <c r="S278" s="25">
        <f>R278/Q278*100</f>
        <v>101.27018045341553</v>
      </c>
      <c r="T278" s="47">
        <f>T279+T280+T281+T282</f>
        <v>173030.80000000002</v>
      </c>
      <c r="U278" s="47">
        <f>U279+U280+U281+U282</f>
        <v>195851.71360000002</v>
      </c>
      <c r="V278" s="25">
        <f>U278/T278*100</f>
        <v>113.18893145035452</v>
      </c>
      <c r="W278" s="47">
        <f>W279+W280+W281+W282</f>
        <v>210022.6</v>
      </c>
      <c r="X278" s="47">
        <f>X279+X280+X281+X282</f>
        <v>186896.2</v>
      </c>
      <c r="Y278" s="25">
        <f>X278/W278*100</f>
        <v>88.988613606345226</v>
      </c>
      <c r="Z278" s="47">
        <f>Z279+Z280+Z281+Z282</f>
        <v>124355.80000000002</v>
      </c>
      <c r="AA278" s="47">
        <f>AA279+AA280+AA281+AA282</f>
        <v>112303.1</v>
      </c>
      <c r="AB278" s="25">
        <f>AA278/Z278*100</f>
        <v>90.307890745747272</v>
      </c>
      <c r="AC278" s="47">
        <f>AC279+AC280+AC281+AC282</f>
        <v>72374.799999999988</v>
      </c>
      <c r="AD278" s="47">
        <f>AD279+AD280+AD281+AD282</f>
        <v>70405.5</v>
      </c>
      <c r="AE278" s="25">
        <f>AD278/AC278*100</f>
        <v>97.279025296097558</v>
      </c>
      <c r="AF278" s="47">
        <f>AF279+AF280+AF281+AF282</f>
        <v>71535.700000000012</v>
      </c>
      <c r="AG278" s="47">
        <f>AG279+AG280+AG281+AG282</f>
        <v>79354.600000000006</v>
      </c>
      <c r="AH278" s="25">
        <f>AG278/AF278*100</f>
        <v>110.93006708538533</v>
      </c>
      <c r="AI278" s="47">
        <f>AI279+AI280+AI281+AI282</f>
        <v>178963.70000000004</v>
      </c>
      <c r="AJ278" s="47">
        <f>AJ279+AJ280+AJ281+AJ282</f>
        <v>0</v>
      </c>
      <c r="AK278" s="25">
        <f>AJ278/AI278*100</f>
        <v>0</v>
      </c>
      <c r="AL278" s="47">
        <f>AL279+AL280+AL281+AL282</f>
        <v>141491.20000000001</v>
      </c>
      <c r="AM278" s="47">
        <f>AM279+AM280+AM281+AM282</f>
        <v>0</v>
      </c>
      <c r="AN278" s="25">
        <f>AM278/AL278*100</f>
        <v>0</v>
      </c>
      <c r="AO278" s="47">
        <f>AO279+AO280+AO281+AO282</f>
        <v>283119.5</v>
      </c>
      <c r="AP278" s="42"/>
      <c r="AQ278" s="22">
        <f t="shared" ref="AQ278" si="422">AP278/AO278</f>
        <v>0</v>
      </c>
      <c r="AR278" s="33"/>
      <c r="AS278" s="33"/>
    </row>
    <row r="279" spans="1:45">
      <c r="A279" s="95"/>
      <c r="B279" s="96"/>
      <c r="C279" s="97"/>
      <c r="D279" s="36" t="s">
        <v>23</v>
      </c>
      <c r="E279" s="37">
        <f t="shared" ref="E279:E282" si="423">H279+K279+N279+Q279+T279+W279+Z279+AC279+AF279+AI279+AL279+AO279</f>
        <v>15792.599999999999</v>
      </c>
      <c r="F279" s="37">
        <f>I279+L279+O279+R279+U279+X279+AA279+AD279+AG279+AJ279+AM279+AP279</f>
        <v>3210.8999999999996</v>
      </c>
      <c r="G279" s="25"/>
      <c r="H279" s="47">
        <f t="shared" ref="H279:AO282" si="424">H260-H285-H291</f>
        <v>0</v>
      </c>
      <c r="I279" s="47">
        <f t="shared" si="424"/>
        <v>0</v>
      </c>
      <c r="J279" s="47">
        <f t="shared" si="424"/>
        <v>0</v>
      </c>
      <c r="K279" s="47">
        <f t="shared" si="424"/>
        <v>0</v>
      </c>
      <c r="L279" s="47">
        <f t="shared" si="424"/>
        <v>0</v>
      </c>
      <c r="M279" s="47">
        <f t="shared" si="424"/>
        <v>0</v>
      </c>
      <c r="N279" s="47">
        <f t="shared" si="424"/>
        <v>0</v>
      </c>
      <c r="O279" s="47">
        <f t="shared" si="424"/>
        <v>0</v>
      </c>
      <c r="P279" s="47">
        <f t="shared" si="424"/>
        <v>0</v>
      </c>
      <c r="Q279" s="47">
        <f t="shared" si="424"/>
        <v>0</v>
      </c>
      <c r="R279" s="47">
        <f t="shared" si="424"/>
        <v>0</v>
      </c>
      <c r="S279" s="47">
        <f t="shared" si="424"/>
        <v>0</v>
      </c>
      <c r="T279" s="47">
        <f t="shared" si="424"/>
        <v>0</v>
      </c>
      <c r="U279" s="47">
        <f t="shared" si="424"/>
        <v>0</v>
      </c>
      <c r="V279" s="47">
        <f t="shared" si="424"/>
        <v>0</v>
      </c>
      <c r="W279" s="47">
        <f t="shared" si="424"/>
        <v>0</v>
      </c>
      <c r="X279" s="47">
        <f t="shared" si="424"/>
        <v>0</v>
      </c>
      <c r="Y279" s="47">
        <f t="shared" si="424"/>
        <v>0</v>
      </c>
      <c r="Z279" s="47">
        <f t="shared" si="424"/>
        <v>0</v>
      </c>
      <c r="AA279" s="47">
        <f t="shared" si="424"/>
        <v>0</v>
      </c>
      <c r="AB279" s="47">
        <f t="shared" si="424"/>
        <v>0</v>
      </c>
      <c r="AC279" s="47">
        <f t="shared" si="424"/>
        <v>0</v>
      </c>
      <c r="AD279" s="47">
        <f t="shared" si="424"/>
        <v>0</v>
      </c>
      <c r="AE279" s="47">
        <f t="shared" si="424"/>
        <v>0</v>
      </c>
      <c r="AF279" s="47">
        <f t="shared" si="424"/>
        <v>3210.8999999999996</v>
      </c>
      <c r="AG279" s="47">
        <f t="shared" si="424"/>
        <v>3210.8999999999996</v>
      </c>
      <c r="AH279" s="47">
        <f t="shared" si="424"/>
        <v>0</v>
      </c>
      <c r="AI279" s="47">
        <f t="shared" si="424"/>
        <v>5458.2</v>
      </c>
      <c r="AJ279" s="47">
        <f t="shared" si="424"/>
        <v>0</v>
      </c>
      <c r="AK279" s="47">
        <f t="shared" si="424"/>
        <v>0</v>
      </c>
      <c r="AL279" s="47">
        <f t="shared" si="424"/>
        <v>3362</v>
      </c>
      <c r="AM279" s="47">
        <f t="shared" si="424"/>
        <v>0</v>
      </c>
      <c r="AN279" s="47">
        <f t="shared" si="424"/>
        <v>0</v>
      </c>
      <c r="AO279" s="47">
        <f t="shared" si="424"/>
        <v>3761.5</v>
      </c>
      <c r="AP279" s="47"/>
      <c r="AQ279" s="22"/>
      <c r="AR279" s="33"/>
      <c r="AS279" s="33"/>
    </row>
    <row r="280" spans="1:45" ht="12" customHeight="1">
      <c r="A280" s="95"/>
      <c r="B280" s="96"/>
      <c r="C280" s="97"/>
      <c r="D280" s="36" t="s">
        <v>5</v>
      </c>
      <c r="E280" s="37">
        <f t="shared" si="423"/>
        <v>1340643.0999999999</v>
      </c>
      <c r="F280" s="37">
        <f t="shared" si="421"/>
        <v>881775.91320000007</v>
      </c>
      <c r="G280" s="25">
        <f>F280/E280*100</f>
        <v>65.772606684060818</v>
      </c>
      <c r="H280" s="47">
        <f t="shared" si="424"/>
        <v>29104</v>
      </c>
      <c r="I280" s="47">
        <f t="shared" si="424"/>
        <v>29076.1</v>
      </c>
      <c r="J280" s="47">
        <f t="shared" si="424"/>
        <v>99.904136888400217</v>
      </c>
      <c r="K280" s="47">
        <f t="shared" si="424"/>
        <v>97726</v>
      </c>
      <c r="L280" s="47">
        <f t="shared" si="424"/>
        <v>96358.000000000015</v>
      </c>
      <c r="M280" s="47">
        <f t="shared" si="424"/>
        <v>98.60016781613902</v>
      </c>
      <c r="N280" s="47">
        <f t="shared" si="424"/>
        <v>97204.5</v>
      </c>
      <c r="O280" s="47">
        <f t="shared" si="424"/>
        <v>96767.699600000007</v>
      </c>
      <c r="P280" s="47">
        <f t="shared" si="424"/>
        <v>99.550637676239276</v>
      </c>
      <c r="Q280" s="47">
        <f t="shared" si="424"/>
        <v>110448.70000000001</v>
      </c>
      <c r="R280" s="47">
        <f t="shared" si="424"/>
        <v>110096.29999999999</v>
      </c>
      <c r="S280" s="47">
        <f t="shared" si="424"/>
        <v>99.680937847163406</v>
      </c>
      <c r="T280" s="47">
        <f t="shared" si="424"/>
        <v>146004.6</v>
      </c>
      <c r="U280" s="47">
        <f t="shared" si="424"/>
        <v>170158.61360000001</v>
      </c>
      <c r="V280" s="47">
        <f t="shared" si="424"/>
        <v>116.15382288172501</v>
      </c>
      <c r="W280" s="47">
        <f t="shared" si="424"/>
        <v>193364</v>
      </c>
      <c r="X280" s="47">
        <f t="shared" si="424"/>
        <v>171910.1</v>
      </c>
      <c r="Y280" s="47">
        <f t="shared" si="424"/>
        <v>88.904915082435195</v>
      </c>
      <c r="Z280" s="47">
        <f t="shared" si="424"/>
        <v>99947.900000000009</v>
      </c>
      <c r="AA280" s="47">
        <f t="shared" si="424"/>
        <v>91046.3</v>
      </c>
      <c r="AB280" s="47">
        <f t="shared" si="424"/>
        <v>91.093759848881263</v>
      </c>
      <c r="AC280" s="47">
        <f t="shared" si="424"/>
        <v>51259.1</v>
      </c>
      <c r="AD280" s="47">
        <f t="shared" si="424"/>
        <v>53460.899999999994</v>
      </c>
      <c r="AE280" s="47">
        <f t="shared" si="424"/>
        <v>-527.98340217426062</v>
      </c>
      <c r="AF280" s="47">
        <f t="shared" si="424"/>
        <v>59419.600000000006</v>
      </c>
      <c r="AG280" s="47">
        <f t="shared" si="424"/>
        <v>62901.900000000016</v>
      </c>
      <c r="AH280" s="47">
        <f t="shared" si="424"/>
        <v>105.86052413681682</v>
      </c>
      <c r="AI280" s="47">
        <f t="shared" si="424"/>
        <v>129851.1</v>
      </c>
      <c r="AJ280" s="47">
        <f t="shared" si="424"/>
        <v>0</v>
      </c>
      <c r="AK280" s="47">
        <f t="shared" si="424"/>
        <v>0</v>
      </c>
      <c r="AL280" s="47">
        <f t="shared" si="424"/>
        <v>100935.40000000001</v>
      </c>
      <c r="AM280" s="47">
        <f t="shared" si="424"/>
        <v>0</v>
      </c>
      <c r="AN280" s="47">
        <f t="shared" si="424"/>
        <v>0</v>
      </c>
      <c r="AO280" s="47">
        <f t="shared" si="424"/>
        <v>225378.2</v>
      </c>
      <c r="AP280" s="47"/>
      <c r="AQ280" s="22">
        <f t="shared" ref="AQ280:AQ281" si="425">AP280/AO280</f>
        <v>0</v>
      </c>
      <c r="AR280" s="33"/>
      <c r="AS280" s="33"/>
    </row>
    <row r="281" spans="1:45" ht="12.75" customHeight="1">
      <c r="A281" s="95"/>
      <c r="B281" s="96"/>
      <c r="C281" s="97"/>
      <c r="D281" s="36" t="s">
        <v>49</v>
      </c>
      <c r="E281" s="37">
        <f t="shared" si="423"/>
        <v>335452.3</v>
      </c>
      <c r="F281" s="37">
        <f t="shared" si="421"/>
        <v>196324.09999999995</v>
      </c>
      <c r="G281" s="25">
        <f t="shared" ref="G281" si="426">F281/E281*100</f>
        <v>58.52519121198452</v>
      </c>
      <c r="H281" s="47">
        <f t="shared" si="424"/>
        <v>7372.3</v>
      </c>
      <c r="I281" s="47">
        <f t="shared" si="424"/>
        <v>7038.8</v>
      </c>
      <c r="J281" s="47">
        <f t="shared" si="424"/>
        <v>95.476309971108066</v>
      </c>
      <c r="K281" s="47">
        <f t="shared" si="424"/>
        <v>34047.599999999999</v>
      </c>
      <c r="L281" s="47">
        <f t="shared" si="424"/>
        <v>33972.199999999997</v>
      </c>
      <c r="M281" s="47">
        <f t="shared" si="424"/>
        <v>99.612950897543413</v>
      </c>
      <c r="N281" s="47">
        <f t="shared" si="424"/>
        <v>28244.9</v>
      </c>
      <c r="O281" s="47">
        <f t="shared" si="424"/>
        <v>28172.299999999996</v>
      </c>
      <c r="P281" s="47">
        <f t="shared" si="424"/>
        <v>98.531762269997643</v>
      </c>
      <c r="Q281" s="47">
        <f t="shared" si="424"/>
        <v>32845.9</v>
      </c>
      <c r="R281" s="47">
        <f t="shared" si="424"/>
        <v>35018.400000000001</v>
      </c>
      <c r="S281" s="47">
        <f t="shared" si="424"/>
        <v>106.75518101193757</v>
      </c>
      <c r="T281" s="47">
        <f t="shared" si="424"/>
        <v>27026.2</v>
      </c>
      <c r="U281" s="47">
        <f t="shared" si="424"/>
        <v>25693.099999999995</v>
      </c>
      <c r="V281" s="47">
        <f t="shared" si="424"/>
        <v>89.29121270569425</v>
      </c>
      <c r="W281" s="47">
        <f t="shared" si="424"/>
        <v>16658.599999999999</v>
      </c>
      <c r="X281" s="47">
        <f t="shared" si="424"/>
        <v>14986.099999999999</v>
      </c>
      <c r="Y281" s="47">
        <f t="shared" si="424"/>
        <v>89.960140708102728</v>
      </c>
      <c r="Z281" s="47">
        <f t="shared" si="424"/>
        <v>24407.9</v>
      </c>
      <c r="AA281" s="47">
        <f t="shared" si="424"/>
        <v>21256.799999999999</v>
      </c>
      <c r="AB281" s="47">
        <f t="shared" si="424"/>
        <v>86.390441161528912</v>
      </c>
      <c r="AC281" s="47">
        <f t="shared" si="424"/>
        <v>21115.699999999997</v>
      </c>
      <c r="AD281" s="47">
        <f t="shared" si="424"/>
        <v>16944.600000000002</v>
      </c>
      <c r="AE281" s="47">
        <f t="shared" si="424"/>
        <v>28.325438708036625</v>
      </c>
      <c r="AF281" s="47">
        <f t="shared" si="424"/>
        <v>8905.2000000000044</v>
      </c>
      <c r="AG281" s="47">
        <f t="shared" si="424"/>
        <v>13241.799999999996</v>
      </c>
      <c r="AH281" s="47">
        <f t="shared" si="424"/>
        <v>79.044560417502979</v>
      </c>
      <c r="AI281" s="47">
        <f t="shared" si="424"/>
        <v>43654.400000000016</v>
      </c>
      <c r="AJ281" s="47">
        <f t="shared" si="424"/>
        <v>0</v>
      </c>
      <c r="AK281" s="47">
        <f t="shared" si="424"/>
        <v>0</v>
      </c>
      <c r="AL281" s="47">
        <f t="shared" si="424"/>
        <v>37193.799999999996</v>
      </c>
      <c r="AM281" s="47">
        <f t="shared" si="424"/>
        <v>0</v>
      </c>
      <c r="AN281" s="47">
        <f t="shared" si="424"/>
        <v>0</v>
      </c>
      <c r="AO281" s="47">
        <f t="shared" si="424"/>
        <v>53979.8</v>
      </c>
      <c r="AP281" s="47"/>
      <c r="AQ281" s="22">
        <f t="shared" si="425"/>
        <v>0</v>
      </c>
      <c r="AR281" s="33"/>
      <c r="AS281" s="33"/>
    </row>
    <row r="282" spans="1:45">
      <c r="A282" s="95"/>
      <c r="B282" s="96"/>
      <c r="C282" s="97"/>
      <c r="D282" s="36" t="s">
        <v>24</v>
      </c>
      <c r="E282" s="37">
        <f t="shared" si="423"/>
        <v>0</v>
      </c>
      <c r="F282" s="37">
        <f t="shared" si="421"/>
        <v>0</v>
      </c>
      <c r="G282" s="25"/>
      <c r="H282" s="47">
        <f t="shared" si="424"/>
        <v>0</v>
      </c>
      <c r="I282" s="47">
        <f t="shared" si="424"/>
        <v>0</v>
      </c>
      <c r="J282" s="47">
        <f t="shared" si="424"/>
        <v>0</v>
      </c>
      <c r="K282" s="47">
        <f t="shared" si="424"/>
        <v>0</v>
      </c>
      <c r="L282" s="47">
        <f t="shared" si="424"/>
        <v>0</v>
      </c>
      <c r="M282" s="47">
        <f t="shared" si="424"/>
        <v>0</v>
      </c>
      <c r="N282" s="47">
        <f t="shared" si="424"/>
        <v>0</v>
      </c>
      <c r="O282" s="47">
        <f t="shared" si="424"/>
        <v>0</v>
      </c>
      <c r="P282" s="47">
        <f t="shared" si="424"/>
        <v>0</v>
      </c>
      <c r="Q282" s="47">
        <f t="shared" si="424"/>
        <v>0</v>
      </c>
      <c r="R282" s="47">
        <f t="shared" si="424"/>
        <v>0</v>
      </c>
      <c r="S282" s="47">
        <f t="shared" si="424"/>
        <v>0</v>
      </c>
      <c r="T282" s="47">
        <f t="shared" si="424"/>
        <v>0</v>
      </c>
      <c r="U282" s="47">
        <f t="shared" si="424"/>
        <v>0</v>
      </c>
      <c r="V282" s="47">
        <f t="shared" si="424"/>
        <v>0</v>
      </c>
      <c r="W282" s="47">
        <f t="shared" si="424"/>
        <v>0</v>
      </c>
      <c r="X282" s="47">
        <f t="shared" si="424"/>
        <v>0</v>
      </c>
      <c r="Y282" s="47">
        <f t="shared" si="424"/>
        <v>0</v>
      </c>
      <c r="Z282" s="47">
        <f t="shared" si="424"/>
        <v>0</v>
      </c>
      <c r="AA282" s="47">
        <f t="shared" si="424"/>
        <v>0</v>
      </c>
      <c r="AB282" s="47">
        <f t="shared" si="424"/>
        <v>0</v>
      </c>
      <c r="AC282" s="47">
        <f t="shared" si="424"/>
        <v>0</v>
      </c>
      <c r="AD282" s="47">
        <f t="shared" si="424"/>
        <v>0</v>
      </c>
      <c r="AE282" s="47">
        <f t="shared" si="424"/>
        <v>0</v>
      </c>
      <c r="AF282" s="47">
        <f t="shared" si="424"/>
        <v>0</v>
      </c>
      <c r="AG282" s="47">
        <f t="shared" si="424"/>
        <v>0</v>
      </c>
      <c r="AH282" s="47">
        <f t="shared" si="424"/>
        <v>0</v>
      </c>
      <c r="AI282" s="47">
        <f t="shared" si="424"/>
        <v>0</v>
      </c>
      <c r="AJ282" s="47">
        <f t="shared" si="424"/>
        <v>0</v>
      </c>
      <c r="AK282" s="47">
        <f t="shared" si="424"/>
        <v>0</v>
      </c>
      <c r="AL282" s="47">
        <f t="shared" si="424"/>
        <v>0</v>
      </c>
      <c r="AM282" s="47">
        <f t="shared" si="424"/>
        <v>0</v>
      </c>
      <c r="AN282" s="47">
        <f t="shared" si="424"/>
        <v>0</v>
      </c>
      <c r="AO282" s="47">
        <f t="shared" si="424"/>
        <v>0</v>
      </c>
      <c r="AP282" s="47"/>
      <c r="AQ282" s="25"/>
      <c r="AR282" s="33"/>
      <c r="AS282" s="33"/>
    </row>
    <row r="283" spans="1:45">
      <c r="A283" s="98"/>
      <c r="B283" s="99"/>
      <c r="C283" s="100"/>
      <c r="D283" s="36" t="s">
        <v>137</v>
      </c>
      <c r="E283" s="37"/>
      <c r="F283" s="37">
        <f t="shared" si="421"/>
        <v>40</v>
      </c>
      <c r="G283" s="25"/>
      <c r="H283" s="47"/>
      <c r="I283" s="47"/>
      <c r="J283" s="47"/>
      <c r="K283" s="47"/>
      <c r="L283" s="47"/>
      <c r="M283" s="47"/>
      <c r="N283" s="47"/>
      <c r="O283" s="47">
        <f>O231</f>
        <v>40</v>
      </c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25"/>
      <c r="AR283" s="33"/>
      <c r="AS283" s="33"/>
    </row>
    <row r="284" spans="1:45" ht="15.75" customHeight="1">
      <c r="A284" s="92" t="s">
        <v>128</v>
      </c>
      <c r="B284" s="93"/>
      <c r="C284" s="94"/>
      <c r="D284" s="36" t="s">
        <v>4</v>
      </c>
      <c r="E284" s="37">
        <f>H284+K284+N284+Q284+T284+W284+Z284+AC284+AF284+AI284+AL284+AO284</f>
        <v>74187.199999999997</v>
      </c>
      <c r="F284" s="37">
        <f t="shared" si="421"/>
        <v>16536.399999999998</v>
      </c>
      <c r="G284" s="25"/>
      <c r="H284" s="47">
        <f>H285+H286+H287+H288</f>
        <v>0</v>
      </c>
      <c r="I284" s="47">
        <f>I285+I286+I287+I288</f>
        <v>0</v>
      </c>
      <c r="J284" s="25"/>
      <c r="K284" s="47">
        <f>K285+K286+K287+K288</f>
        <v>0</v>
      </c>
      <c r="L284" s="47">
        <f>L285+L286+L287+L288</f>
        <v>0</v>
      </c>
      <c r="M284" s="25"/>
      <c r="N284" s="47">
        <f>N285+N286+N287+N288</f>
        <v>46.3</v>
      </c>
      <c r="O284" s="47">
        <f>O285+O286+O287+O288</f>
        <v>0</v>
      </c>
      <c r="P284" s="25"/>
      <c r="Q284" s="47">
        <f>Q285+Q286+Q287+Q288</f>
        <v>0</v>
      </c>
      <c r="R284" s="47">
        <f>R285+R286+R287+R288</f>
        <v>46.3</v>
      </c>
      <c r="S284" s="25"/>
      <c r="T284" s="47">
        <f>T285+T286+T287+T288</f>
        <v>0</v>
      </c>
      <c r="U284" s="47">
        <f>U285+U286+U287+U288</f>
        <v>0</v>
      </c>
      <c r="V284" s="25"/>
      <c r="W284" s="47">
        <f>W285+W286+W287+W288</f>
        <v>0</v>
      </c>
      <c r="X284" s="47">
        <f>X285+X286+X287+X288</f>
        <v>0</v>
      </c>
      <c r="Y284" s="25"/>
      <c r="Z284" s="47">
        <f>Z285+Z286+Z287+Z288</f>
        <v>0</v>
      </c>
      <c r="AA284" s="47">
        <f>AA285+AA286+AA287+AA288</f>
        <v>0</v>
      </c>
      <c r="AB284" s="25"/>
      <c r="AC284" s="47">
        <f>AC285+AC286+AC287+AC288</f>
        <v>41796.300000000003</v>
      </c>
      <c r="AD284" s="47">
        <f>AD285+AD286+AD287+AD288</f>
        <v>0</v>
      </c>
      <c r="AE284" s="25"/>
      <c r="AF284" s="47">
        <f>AF285+AF286+AF287+AF288</f>
        <v>28708.9</v>
      </c>
      <c r="AG284" s="47">
        <f>AG285+AG286+AG287+AG288</f>
        <v>16490.099999999999</v>
      </c>
      <c r="AH284" s="25"/>
      <c r="AI284" s="47">
        <f>AI285+AI286+AI287+AI288</f>
        <v>3635.7000000000003</v>
      </c>
      <c r="AJ284" s="47">
        <f>AJ285+AJ286+AJ287+AJ288</f>
        <v>0</v>
      </c>
      <c r="AK284" s="25"/>
      <c r="AL284" s="47">
        <f>AL285+AL286+AL287+AL288</f>
        <v>0</v>
      </c>
      <c r="AM284" s="47">
        <f>AM285+AM286+AM287+AM288</f>
        <v>0</v>
      </c>
      <c r="AN284" s="25"/>
      <c r="AO284" s="47">
        <f>AO285+AO286+AO287+AO288</f>
        <v>0</v>
      </c>
      <c r="AP284" s="42"/>
      <c r="AQ284" s="22" t="e">
        <f t="shared" ref="AQ284" si="427">AP284/AO284</f>
        <v>#DIV/0!</v>
      </c>
      <c r="AR284" s="33"/>
      <c r="AS284" s="33"/>
    </row>
    <row r="285" spans="1:45" ht="14.25" customHeight="1">
      <c r="A285" s="95"/>
      <c r="B285" s="96"/>
      <c r="C285" s="97"/>
      <c r="D285" s="36" t="s">
        <v>23</v>
      </c>
      <c r="E285" s="37">
        <f t="shared" ref="E285:E288" si="428">H285+K285+N285+Q285+T285+W285+Z285+AC285+AF285+AI285+AL285+AO285</f>
        <v>0</v>
      </c>
      <c r="F285" s="37">
        <f t="shared" si="421"/>
        <v>0</v>
      </c>
      <c r="G285" s="25"/>
      <c r="H285" s="47"/>
      <c r="I285" s="47"/>
      <c r="J285" s="25"/>
      <c r="K285" s="47"/>
      <c r="L285" s="47"/>
      <c r="M285" s="25"/>
      <c r="N285" s="47"/>
      <c r="O285" s="47"/>
      <c r="P285" s="25"/>
      <c r="Q285" s="47"/>
      <c r="R285" s="47"/>
      <c r="S285" s="25"/>
      <c r="T285" s="47"/>
      <c r="U285" s="47"/>
      <c r="V285" s="25"/>
      <c r="W285" s="47"/>
      <c r="X285" s="47"/>
      <c r="Y285" s="25"/>
      <c r="Z285" s="47"/>
      <c r="AA285" s="47"/>
      <c r="AB285" s="25"/>
      <c r="AC285" s="47"/>
      <c r="AD285" s="47"/>
      <c r="AE285" s="25"/>
      <c r="AF285" s="47"/>
      <c r="AG285" s="47"/>
      <c r="AH285" s="25"/>
      <c r="AI285" s="47"/>
      <c r="AJ285" s="47"/>
      <c r="AK285" s="25"/>
      <c r="AL285" s="47"/>
      <c r="AM285" s="47"/>
      <c r="AN285" s="25"/>
      <c r="AO285" s="47"/>
      <c r="AP285" s="42"/>
      <c r="AQ285" s="22"/>
      <c r="AR285" s="33"/>
      <c r="AS285" s="33"/>
    </row>
    <row r="286" spans="1:45" ht="23.25" customHeight="1">
      <c r="A286" s="95"/>
      <c r="B286" s="96"/>
      <c r="C286" s="97"/>
      <c r="D286" s="36" t="s">
        <v>5</v>
      </c>
      <c r="E286" s="37">
        <f t="shared" si="428"/>
        <v>0</v>
      </c>
      <c r="F286" s="37">
        <f t="shared" si="421"/>
        <v>0</v>
      </c>
      <c r="G286" s="25"/>
      <c r="H286" s="47"/>
      <c r="I286" s="47"/>
      <c r="J286" s="25"/>
      <c r="K286" s="47"/>
      <c r="L286" s="47"/>
      <c r="M286" s="25"/>
      <c r="N286" s="47"/>
      <c r="O286" s="47"/>
      <c r="P286" s="25"/>
      <c r="Q286" s="47"/>
      <c r="R286" s="47"/>
      <c r="S286" s="25"/>
      <c r="T286" s="47"/>
      <c r="U286" s="47"/>
      <c r="V286" s="25"/>
      <c r="W286" s="47"/>
      <c r="X286" s="47"/>
      <c r="Y286" s="25"/>
      <c r="Z286" s="47"/>
      <c r="AA286" s="47"/>
      <c r="AB286" s="25"/>
      <c r="AC286" s="47"/>
      <c r="AD286" s="47"/>
      <c r="AE286" s="25"/>
      <c r="AF286" s="47"/>
      <c r="AG286" s="47"/>
      <c r="AH286" s="25"/>
      <c r="AI286" s="47"/>
      <c r="AJ286" s="47"/>
      <c r="AK286" s="25"/>
      <c r="AL286" s="47"/>
      <c r="AM286" s="47"/>
      <c r="AN286" s="25"/>
      <c r="AO286" s="47"/>
      <c r="AP286" s="42"/>
      <c r="AQ286" s="22" t="e">
        <f t="shared" ref="AQ286:AQ287" si="429">AP286/AO286</f>
        <v>#DIV/0!</v>
      </c>
      <c r="AR286" s="33"/>
      <c r="AS286" s="33"/>
    </row>
    <row r="287" spans="1:45" ht="14.25" customHeight="1">
      <c r="A287" s="95"/>
      <c r="B287" s="96"/>
      <c r="C287" s="97"/>
      <c r="D287" s="36" t="s">
        <v>49</v>
      </c>
      <c r="E287" s="37">
        <f t="shared" si="428"/>
        <v>74187.199999999997</v>
      </c>
      <c r="F287" s="37">
        <f t="shared" si="421"/>
        <v>16536.399999999998</v>
      </c>
      <c r="G287" s="25"/>
      <c r="H287" s="47"/>
      <c r="I287" s="47"/>
      <c r="J287" s="25"/>
      <c r="K287" s="47"/>
      <c r="L287" s="47"/>
      <c r="M287" s="25"/>
      <c r="N287" s="47">
        <f>N43+N64</f>
        <v>46.3</v>
      </c>
      <c r="O287" s="47">
        <f>O43+O64</f>
        <v>0</v>
      </c>
      <c r="P287" s="25"/>
      <c r="Q287" s="47">
        <f>Q43+Q64</f>
        <v>0</v>
      </c>
      <c r="R287" s="47">
        <f>R43+R64</f>
        <v>46.3</v>
      </c>
      <c r="S287" s="25"/>
      <c r="T287" s="47">
        <f>T43+T64</f>
        <v>0</v>
      </c>
      <c r="U287" s="47">
        <f>U43+U64</f>
        <v>0</v>
      </c>
      <c r="V287" s="25"/>
      <c r="W287" s="47">
        <f>W43+W64</f>
        <v>0</v>
      </c>
      <c r="X287" s="47">
        <f>X43+X64</f>
        <v>0</v>
      </c>
      <c r="Y287" s="25"/>
      <c r="Z287" s="47">
        <f>Z43+Z64</f>
        <v>0</v>
      </c>
      <c r="AA287" s="47">
        <f>AA43+AA64</f>
        <v>0</v>
      </c>
      <c r="AB287" s="25"/>
      <c r="AC287" s="47">
        <f>AC43+AC64</f>
        <v>41796.300000000003</v>
      </c>
      <c r="AD287" s="47">
        <f>AD43+AD64</f>
        <v>0</v>
      </c>
      <c r="AE287" s="25"/>
      <c r="AF287" s="47">
        <f>AF43+AF64</f>
        <v>28708.9</v>
      </c>
      <c r="AG287" s="47">
        <f>AG43+AG64</f>
        <v>16490.099999999999</v>
      </c>
      <c r="AH287" s="25"/>
      <c r="AI287" s="47">
        <f>AI43+AI64</f>
        <v>3635.7000000000003</v>
      </c>
      <c r="AJ287" s="47">
        <f>AJ43+AJ64</f>
        <v>0</v>
      </c>
      <c r="AK287" s="25"/>
      <c r="AL287" s="47">
        <f>AL43+AL64</f>
        <v>0</v>
      </c>
      <c r="AM287" s="47">
        <f>AM43+AM64</f>
        <v>0</v>
      </c>
      <c r="AN287" s="25"/>
      <c r="AO287" s="47">
        <f>AO43+AO64</f>
        <v>0</v>
      </c>
      <c r="AP287" s="42">
        <f>AP43+AP64</f>
        <v>0</v>
      </c>
      <c r="AQ287" s="22" t="e">
        <f t="shared" si="429"/>
        <v>#DIV/0!</v>
      </c>
      <c r="AR287" s="33"/>
      <c r="AS287" s="33"/>
    </row>
    <row r="288" spans="1:45" ht="14.25" customHeight="1">
      <c r="A288" s="95"/>
      <c r="B288" s="96"/>
      <c r="C288" s="97"/>
      <c r="D288" s="36" t="s">
        <v>24</v>
      </c>
      <c r="E288" s="37">
        <f t="shared" si="428"/>
        <v>0</v>
      </c>
      <c r="F288" s="37">
        <f t="shared" si="421"/>
        <v>0</v>
      </c>
      <c r="G288" s="25"/>
      <c r="H288" s="47"/>
      <c r="I288" s="47"/>
      <c r="J288" s="25"/>
      <c r="K288" s="47"/>
      <c r="L288" s="47"/>
      <c r="M288" s="25"/>
      <c r="N288" s="47"/>
      <c r="O288" s="47"/>
      <c r="P288" s="25"/>
      <c r="Q288" s="47"/>
      <c r="R288" s="47"/>
      <c r="S288" s="25"/>
      <c r="T288" s="47"/>
      <c r="U288" s="47"/>
      <c r="V288" s="25"/>
      <c r="W288" s="47"/>
      <c r="X288" s="47"/>
      <c r="Y288" s="25"/>
      <c r="Z288" s="47"/>
      <c r="AA288" s="47"/>
      <c r="AB288" s="25"/>
      <c r="AC288" s="47"/>
      <c r="AD288" s="47"/>
      <c r="AE288" s="25"/>
      <c r="AF288" s="47"/>
      <c r="AG288" s="47"/>
      <c r="AH288" s="25"/>
      <c r="AI288" s="47"/>
      <c r="AJ288" s="47"/>
      <c r="AK288" s="25"/>
      <c r="AL288" s="47"/>
      <c r="AM288" s="47"/>
      <c r="AN288" s="25"/>
      <c r="AO288" s="47"/>
      <c r="AP288" s="42"/>
      <c r="AQ288" s="25"/>
      <c r="AR288" s="33"/>
      <c r="AS288" s="33"/>
    </row>
    <row r="289" spans="1:67" ht="14.25" customHeight="1">
      <c r="A289" s="98"/>
      <c r="B289" s="99"/>
      <c r="C289" s="100"/>
      <c r="D289" s="36" t="s">
        <v>137</v>
      </c>
      <c r="E289" s="37"/>
      <c r="F289" s="37">
        <f t="shared" si="421"/>
        <v>6372.6</v>
      </c>
      <c r="G289" s="25"/>
      <c r="H289" s="47"/>
      <c r="I289" s="47"/>
      <c r="J289" s="25"/>
      <c r="K289" s="47"/>
      <c r="L289" s="47"/>
      <c r="M289" s="25"/>
      <c r="N289" s="47"/>
      <c r="O289" s="47">
        <f>O45</f>
        <v>4399.2</v>
      </c>
      <c r="P289" s="25"/>
      <c r="Q289" s="47"/>
      <c r="R289" s="47">
        <f>R45</f>
        <v>24</v>
      </c>
      <c r="S289" s="25"/>
      <c r="T289" s="47"/>
      <c r="U289" s="47"/>
      <c r="V289" s="25"/>
      <c r="W289" s="47"/>
      <c r="X289" s="47"/>
      <c r="Y289" s="25"/>
      <c r="Z289" s="47"/>
      <c r="AA289" s="47"/>
      <c r="AB289" s="25"/>
      <c r="AC289" s="47"/>
      <c r="AD289" s="47"/>
      <c r="AE289" s="25"/>
      <c r="AF289" s="47"/>
      <c r="AG289" s="47">
        <f>AG45</f>
        <v>1949.4</v>
      </c>
      <c r="AH289" s="25"/>
      <c r="AI289" s="47"/>
      <c r="AJ289" s="47"/>
      <c r="AK289" s="25"/>
      <c r="AL289" s="47"/>
      <c r="AM289" s="47"/>
      <c r="AN289" s="25"/>
      <c r="AO289" s="47"/>
      <c r="AP289" s="42"/>
      <c r="AQ289" s="25"/>
      <c r="AR289" s="33"/>
      <c r="AS289" s="33"/>
    </row>
    <row r="290" spans="1:67" ht="14.25" customHeight="1">
      <c r="A290" s="91" t="s">
        <v>133</v>
      </c>
      <c r="B290" s="91"/>
      <c r="C290" s="91"/>
      <c r="D290" s="36" t="s">
        <v>4</v>
      </c>
      <c r="E290" s="37">
        <f>H290+K290+N290+Q290+T290+W290+Z290+AC290+AF290+AI290+AL290+AO290</f>
        <v>3301.2000000000003</v>
      </c>
      <c r="F290" s="37">
        <f t="shared" si="421"/>
        <v>1456.8</v>
      </c>
      <c r="G290" s="25">
        <f>F290/E290*100</f>
        <v>44.129407488186104</v>
      </c>
      <c r="H290" s="47">
        <f>H291+H292+H293+H294</f>
        <v>0</v>
      </c>
      <c r="I290" s="47">
        <f>I291+I292+I293+I294</f>
        <v>0</v>
      </c>
      <c r="J290" s="25"/>
      <c r="K290" s="47">
        <f>K291+K292+K293+K294</f>
        <v>56.6</v>
      </c>
      <c r="L290" s="47">
        <f>L291+L292+L293+L294</f>
        <v>0</v>
      </c>
      <c r="M290" s="25"/>
      <c r="N290" s="47">
        <f>N291+N292+N293+N294</f>
        <v>300.89999999999998</v>
      </c>
      <c r="O290" s="47">
        <f>O291+O292+O293+O294</f>
        <v>0</v>
      </c>
      <c r="P290" s="25">
        <f>O290/N290*100</f>
        <v>0</v>
      </c>
      <c r="Q290" s="47">
        <f>Q291+Q292+Q293+Q294</f>
        <v>0</v>
      </c>
      <c r="R290" s="47">
        <f>R291+R292+R293+R294</f>
        <v>0</v>
      </c>
      <c r="S290" s="25"/>
      <c r="T290" s="47">
        <f>T291+T292+T293+T294</f>
        <v>2237.9</v>
      </c>
      <c r="U290" s="47">
        <f>U291+U292+U293+U294</f>
        <v>0</v>
      </c>
      <c r="V290" s="25"/>
      <c r="W290" s="47">
        <f>W291+W292+W293+W294</f>
        <v>0</v>
      </c>
      <c r="X290" s="47">
        <f>X291+X292+X293+X294</f>
        <v>0</v>
      </c>
      <c r="Y290" s="25"/>
      <c r="Z290" s="47">
        <f>Z291+Z292+Z293+Z294</f>
        <v>197.6</v>
      </c>
      <c r="AA290" s="47">
        <f>AA291+AA292+AA293+AA294</f>
        <v>0</v>
      </c>
      <c r="AB290" s="25"/>
      <c r="AC290" s="47">
        <f>AC291+AC292+AC293+AC294</f>
        <v>91.8</v>
      </c>
      <c r="AD290" s="47">
        <f>AD291+AD292+AD293+AD294</f>
        <v>1456.8</v>
      </c>
      <c r="AE290" s="25">
        <f>AD290/AC290*100</f>
        <v>1586.9281045751634</v>
      </c>
      <c r="AF290" s="47">
        <f>AF291+AF292+AF293+AF294</f>
        <v>0</v>
      </c>
      <c r="AG290" s="47">
        <f>AG291+AG292+AG293+AG294</f>
        <v>0</v>
      </c>
      <c r="AH290" s="25"/>
      <c r="AI290" s="47">
        <f>AI291+AI292+AI293+AI294</f>
        <v>0</v>
      </c>
      <c r="AJ290" s="47">
        <f>AJ291+AJ292+AJ293+AJ294</f>
        <v>0</v>
      </c>
      <c r="AK290" s="25"/>
      <c r="AL290" s="47">
        <f>AL291+AL292+AL293+AL294</f>
        <v>255.60000000000002</v>
      </c>
      <c r="AM290" s="47">
        <f>AM291+AM292+AM293+AM294</f>
        <v>0</v>
      </c>
      <c r="AN290" s="25">
        <f>AM290/AL290*100</f>
        <v>0</v>
      </c>
      <c r="AO290" s="47">
        <f>AO291+AO292+AO293+AO294</f>
        <v>160.80000000000001</v>
      </c>
      <c r="AP290" s="42"/>
      <c r="AQ290" s="22">
        <f t="shared" ref="AQ290" si="430">AP290/AO290</f>
        <v>0</v>
      </c>
      <c r="AR290" s="33"/>
      <c r="AS290" s="33"/>
    </row>
    <row r="291" spans="1:67" ht="14.25" customHeight="1">
      <c r="A291" s="91"/>
      <c r="B291" s="91"/>
      <c r="C291" s="91"/>
      <c r="D291" s="36" t="s">
        <v>23</v>
      </c>
      <c r="E291" s="37">
        <f t="shared" ref="E291:E294" si="431">H291+K291+N291+Q291+T291+W291+Z291+AC291+AF291+AI291+AL291+AO291</f>
        <v>0</v>
      </c>
      <c r="F291" s="37">
        <f t="shared" si="421"/>
        <v>0</v>
      </c>
      <c r="G291" s="25"/>
      <c r="H291" s="47"/>
      <c r="I291" s="47"/>
      <c r="J291" s="25"/>
      <c r="K291" s="47"/>
      <c r="L291" s="47"/>
      <c r="M291" s="25"/>
      <c r="N291" s="47"/>
      <c r="O291" s="47"/>
      <c r="P291" s="25"/>
      <c r="Q291" s="47"/>
      <c r="R291" s="47"/>
      <c r="S291" s="25"/>
      <c r="T291" s="47"/>
      <c r="U291" s="47"/>
      <c r="V291" s="25"/>
      <c r="W291" s="47"/>
      <c r="X291" s="47"/>
      <c r="Y291" s="25"/>
      <c r="Z291" s="47"/>
      <c r="AA291" s="47"/>
      <c r="AB291" s="25"/>
      <c r="AC291" s="47"/>
      <c r="AD291" s="47"/>
      <c r="AE291" s="25"/>
      <c r="AF291" s="47"/>
      <c r="AG291" s="47"/>
      <c r="AH291" s="25"/>
      <c r="AI291" s="47"/>
      <c r="AJ291" s="47"/>
      <c r="AK291" s="25"/>
      <c r="AL291" s="47"/>
      <c r="AM291" s="47">
        <f>AM67+AM104+AM170+AM206+AM239+AM260+AM285</f>
        <v>0</v>
      </c>
      <c r="AN291" s="25"/>
      <c r="AO291" s="47"/>
      <c r="AP291" s="42"/>
      <c r="AQ291" s="22"/>
      <c r="AR291" s="33"/>
      <c r="AS291" s="33"/>
    </row>
    <row r="292" spans="1:67" ht="26.25" customHeight="1">
      <c r="A292" s="91"/>
      <c r="B292" s="91"/>
      <c r="C292" s="91"/>
      <c r="D292" s="36" t="s">
        <v>5</v>
      </c>
      <c r="E292" s="37">
        <f t="shared" si="431"/>
        <v>751.3</v>
      </c>
      <c r="F292" s="37">
        <f t="shared" si="421"/>
        <v>581.29999999999995</v>
      </c>
      <c r="G292" s="25">
        <f>F292/E292*100</f>
        <v>77.372554239318518</v>
      </c>
      <c r="H292" s="47"/>
      <c r="I292" s="47"/>
      <c r="J292" s="25"/>
      <c r="K292" s="47"/>
      <c r="L292" s="47"/>
      <c r="M292" s="25"/>
      <c r="N292" s="47">
        <f>169.9-169.9</f>
        <v>0</v>
      </c>
      <c r="O292" s="47"/>
      <c r="P292" s="25"/>
      <c r="Q292" s="47"/>
      <c r="R292" s="47"/>
      <c r="S292" s="25"/>
      <c r="T292" s="47">
        <v>489.6</v>
      </c>
      <c r="U292" s="47"/>
      <c r="V292" s="25"/>
      <c r="W292" s="47"/>
      <c r="X292" s="47"/>
      <c r="Y292" s="25"/>
      <c r="Z292" s="47"/>
      <c r="AA292" s="47"/>
      <c r="AB292" s="25"/>
      <c r="AC292" s="47">
        <v>91.8</v>
      </c>
      <c r="AD292" s="47">
        <v>581.29999999999995</v>
      </c>
      <c r="AE292" s="25">
        <f>AD292/AC292*100</f>
        <v>633.22440087145969</v>
      </c>
      <c r="AF292" s="47"/>
      <c r="AG292" s="47"/>
      <c r="AH292" s="25"/>
      <c r="AI292" s="47"/>
      <c r="AJ292" s="47"/>
      <c r="AK292" s="25"/>
      <c r="AL292" s="47">
        <v>116.3</v>
      </c>
      <c r="AM292" s="47">
        <f>AM68+AM105+AM171+AM207+AM240+AM261+AM286</f>
        <v>0</v>
      </c>
      <c r="AN292" s="25">
        <f>AM292/AL292*100</f>
        <v>0</v>
      </c>
      <c r="AO292" s="47">
        <v>53.6</v>
      </c>
      <c r="AP292" s="42"/>
      <c r="AQ292" s="22">
        <f t="shared" ref="AQ292:AQ293" si="432">AP292/AO292</f>
        <v>0</v>
      </c>
      <c r="AR292" s="33"/>
      <c r="AS292" s="33"/>
    </row>
    <row r="293" spans="1:67" ht="14.25" customHeight="1">
      <c r="A293" s="91"/>
      <c r="B293" s="91"/>
      <c r="C293" s="91"/>
      <c r="D293" s="36" t="s">
        <v>49</v>
      </c>
      <c r="E293" s="37">
        <f t="shared" si="431"/>
        <v>2549.9</v>
      </c>
      <c r="F293" s="37">
        <f t="shared" si="421"/>
        <v>875.5</v>
      </c>
      <c r="G293" s="25">
        <f t="shared" ref="G293" si="433">F293/E293*100</f>
        <v>34.334679791364366</v>
      </c>
      <c r="H293" s="47"/>
      <c r="I293" s="47"/>
      <c r="J293" s="25"/>
      <c r="K293" s="47">
        <v>56.6</v>
      </c>
      <c r="L293" s="47"/>
      <c r="M293" s="25"/>
      <c r="N293" s="47">
        <v>300.89999999999998</v>
      </c>
      <c r="O293" s="47"/>
      <c r="P293" s="25">
        <f t="shared" ref="P293" si="434">O293/N293*100</f>
        <v>0</v>
      </c>
      <c r="Q293" s="47"/>
      <c r="R293" s="47"/>
      <c r="S293" s="25"/>
      <c r="T293" s="47">
        <v>1748.3</v>
      </c>
      <c r="U293" s="47"/>
      <c r="V293" s="25"/>
      <c r="W293" s="47"/>
      <c r="X293" s="47"/>
      <c r="Y293" s="25"/>
      <c r="Z293" s="47">
        <v>197.6</v>
      </c>
      <c r="AA293" s="47"/>
      <c r="AB293" s="25"/>
      <c r="AC293" s="47"/>
      <c r="AD293" s="47">
        <v>875.5</v>
      </c>
      <c r="AE293" s="25"/>
      <c r="AF293" s="47"/>
      <c r="AG293" s="47"/>
      <c r="AH293" s="25"/>
      <c r="AI293" s="47"/>
      <c r="AJ293" s="47"/>
      <c r="AK293" s="25"/>
      <c r="AL293" s="47">
        <v>139.30000000000001</v>
      </c>
      <c r="AM293" s="47">
        <f>AM69+AM106+AM172+AM208+AM241+AM262+AM287</f>
        <v>0</v>
      </c>
      <c r="AN293" s="25">
        <f t="shared" ref="AN293" si="435">AM293/AL293*100</f>
        <v>0</v>
      </c>
      <c r="AO293" s="47">
        <f>106.5+0.7</f>
        <v>107.2</v>
      </c>
      <c r="AP293" s="42"/>
      <c r="AQ293" s="22">
        <f t="shared" si="432"/>
        <v>0</v>
      </c>
      <c r="AR293" s="33"/>
      <c r="AS293" s="33"/>
    </row>
    <row r="294" spans="1:67" ht="14.25" customHeight="1">
      <c r="A294" s="91"/>
      <c r="B294" s="91"/>
      <c r="C294" s="91"/>
      <c r="D294" s="36" t="s">
        <v>24</v>
      </c>
      <c r="E294" s="37">
        <f t="shared" si="431"/>
        <v>0</v>
      </c>
      <c r="F294" s="37">
        <f t="shared" si="421"/>
        <v>0</v>
      </c>
      <c r="G294" s="25"/>
      <c r="H294" s="47"/>
      <c r="I294" s="47"/>
      <c r="J294" s="25"/>
      <c r="K294" s="47"/>
      <c r="L294" s="47"/>
      <c r="M294" s="25"/>
      <c r="N294" s="47"/>
      <c r="O294" s="47"/>
      <c r="P294" s="25"/>
      <c r="Q294" s="47"/>
      <c r="R294" s="47"/>
      <c r="S294" s="25"/>
      <c r="T294" s="47"/>
      <c r="U294" s="47"/>
      <c r="V294" s="25"/>
      <c r="W294" s="47"/>
      <c r="X294" s="47"/>
      <c r="Y294" s="25"/>
      <c r="Z294" s="47"/>
      <c r="AA294" s="47"/>
      <c r="AB294" s="25"/>
      <c r="AC294" s="47"/>
      <c r="AD294" s="47"/>
      <c r="AE294" s="25"/>
      <c r="AF294" s="47"/>
      <c r="AG294" s="47"/>
      <c r="AH294" s="25"/>
      <c r="AI294" s="47"/>
      <c r="AJ294" s="47"/>
      <c r="AK294" s="25"/>
      <c r="AL294" s="47"/>
      <c r="AM294" s="47">
        <f>AM70+AM107+AM173+AM209+AM242+AM263+AM288</f>
        <v>0</v>
      </c>
      <c r="AN294" s="25"/>
      <c r="AO294" s="47"/>
      <c r="AP294" s="42"/>
      <c r="AQ294" s="25"/>
      <c r="AR294" s="33"/>
      <c r="AS294" s="33"/>
    </row>
    <row r="295" spans="1:67" ht="15.75">
      <c r="A295" s="48"/>
    </row>
    <row r="296" spans="1:67" ht="15.75">
      <c r="A296" s="48"/>
      <c r="D296" s="61"/>
      <c r="E296" s="61"/>
      <c r="F296" s="61"/>
      <c r="G296" s="61"/>
      <c r="H296" s="61"/>
      <c r="N296" s="56"/>
    </row>
    <row r="297" spans="1:67" s="8" customFormat="1" ht="68.25" customHeight="1">
      <c r="A297" s="1"/>
      <c r="B297" s="2" t="s">
        <v>136</v>
      </c>
      <c r="C297" s="2"/>
      <c r="D297" s="74"/>
      <c r="E297" s="75"/>
      <c r="F297" s="75"/>
      <c r="G297" s="75"/>
      <c r="H297" s="76"/>
      <c r="I297" s="20"/>
      <c r="J297" s="20"/>
      <c r="K297" s="3" t="s">
        <v>48</v>
      </c>
      <c r="L297" s="3"/>
      <c r="M297" s="3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2"/>
      <c r="AG297" s="2"/>
      <c r="AH297" s="2"/>
      <c r="AI297" s="2"/>
      <c r="AJ297" s="2"/>
      <c r="AK297" s="2"/>
      <c r="AL297" s="5"/>
      <c r="AM297" s="5"/>
      <c r="AN297" s="5"/>
      <c r="AO297" s="5" t="s">
        <v>42</v>
      </c>
      <c r="AP297" s="5"/>
      <c r="AQ297" s="5"/>
      <c r="AR297" s="11"/>
      <c r="AS297" s="11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7"/>
      <c r="BM297" s="7"/>
      <c r="BN297" s="7"/>
      <c r="BO297" s="7"/>
    </row>
    <row r="298" spans="1:67" s="8" customFormat="1" ht="83.25" customHeight="1">
      <c r="A298" s="1"/>
      <c r="B298" s="80" t="s">
        <v>162</v>
      </c>
      <c r="C298" s="62"/>
      <c r="D298" s="63"/>
      <c r="E298" s="64"/>
      <c r="F298" s="64"/>
      <c r="G298" s="64"/>
      <c r="H298" s="65"/>
      <c r="I298" s="66"/>
      <c r="J298" s="66"/>
      <c r="K298" s="67" t="s">
        <v>163</v>
      </c>
      <c r="L298" s="68"/>
      <c r="M298" s="68"/>
      <c r="N298" s="69"/>
      <c r="O298" s="69"/>
      <c r="P298" s="69"/>
      <c r="Q298" s="69"/>
      <c r="R298" s="69"/>
      <c r="S298" s="69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62"/>
      <c r="AG298" s="62"/>
      <c r="AH298" s="62"/>
      <c r="AI298" s="62"/>
      <c r="AJ298" s="62"/>
      <c r="AK298" s="62"/>
      <c r="AL298" s="69"/>
      <c r="AM298" s="69"/>
      <c r="AN298" s="69"/>
      <c r="AO298" s="71" t="s">
        <v>43</v>
      </c>
      <c r="AR298" s="11"/>
      <c r="AS298" s="11"/>
      <c r="AT298" s="6"/>
      <c r="AU298" s="6"/>
      <c r="AV298" s="6"/>
      <c r="AW298" s="6"/>
      <c r="AX298" s="6"/>
      <c r="AY298" s="6"/>
      <c r="AZ298" s="6"/>
      <c r="BA298" s="6"/>
      <c r="BB298" s="9"/>
      <c r="BC298" s="9"/>
      <c r="BD298" s="9"/>
      <c r="BE298" s="9"/>
      <c r="BF298" s="9"/>
      <c r="BG298" s="9"/>
      <c r="BH298" s="9"/>
      <c r="BI298" s="10"/>
      <c r="BJ298" s="10"/>
      <c r="BK298" s="10"/>
      <c r="BL298" s="7"/>
      <c r="BM298" s="7"/>
      <c r="BN298" s="7"/>
      <c r="BO298" s="7"/>
    </row>
    <row r="299" spans="1:67" ht="46.5" customHeight="1"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2"/>
      <c r="AK299" s="72"/>
      <c r="AL299" s="72"/>
      <c r="AM299" s="72"/>
      <c r="AN299" s="72"/>
      <c r="AO299" s="73" t="s">
        <v>134</v>
      </c>
    </row>
    <row r="300" spans="1:67" ht="15.75" customHeight="1"/>
    <row r="301" spans="1:67" s="12" customFormat="1" ht="14.25" customHeight="1">
      <c r="A301" s="14" t="s">
        <v>44</v>
      </c>
      <c r="B301" s="14"/>
      <c r="C301" s="82"/>
      <c r="D301" s="13"/>
      <c r="E301" s="15"/>
      <c r="F301" s="15"/>
      <c r="G301" s="15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1"/>
      <c r="AS301" s="11"/>
      <c r="AT301" s="6"/>
      <c r="AU301" s="6"/>
      <c r="AV301" s="6"/>
      <c r="AW301" s="6"/>
      <c r="AX301" s="6"/>
      <c r="AY301" s="6"/>
      <c r="AZ301" s="6"/>
      <c r="BA301" s="6"/>
      <c r="BB301" s="11"/>
      <c r="BC301" s="11"/>
      <c r="BD301" s="11"/>
      <c r="BE301" s="6"/>
      <c r="BF301" s="6"/>
      <c r="BG301" s="6"/>
      <c r="BH301" s="10"/>
      <c r="BI301" s="10"/>
      <c r="BJ301" s="10"/>
      <c r="BK301" s="10"/>
      <c r="BL301" s="7"/>
      <c r="BM301" s="7"/>
      <c r="BN301" s="7"/>
      <c r="BO301" s="16"/>
    </row>
    <row r="302" spans="1:67" s="12" customFormat="1">
      <c r="A302" s="88" t="s">
        <v>135</v>
      </c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2"/>
      <c r="M302" s="82"/>
      <c r="N302" s="18"/>
      <c r="O302" s="18"/>
      <c r="P302" s="18"/>
      <c r="Q302" s="11"/>
      <c r="R302" s="11"/>
      <c r="S302" s="11"/>
      <c r="T302" s="11"/>
      <c r="U302" s="11"/>
      <c r="V302" s="11"/>
      <c r="W302" s="19"/>
      <c r="X302" s="19"/>
      <c r="Y302" s="19"/>
      <c r="Z302" s="11"/>
      <c r="AA302" s="11"/>
      <c r="AB302" s="11"/>
      <c r="AC302" s="11"/>
      <c r="AD302" s="11"/>
      <c r="AE302" s="11"/>
      <c r="AF302" s="18"/>
      <c r="AG302" s="18"/>
      <c r="AH302" s="18"/>
      <c r="AI302" s="11"/>
      <c r="AJ302" s="11"/>
      <c r="AK302" s="11"/>
      <c r="AL302" s="11"/>
      <c r="AM302" s="11"/>
      <c r="AN302" s="11"/>
      <c r="AO302" s="18"/>
      <c r="AP302" s="18"/>
      <c r="AQ302" s="18"/>
      <c r="AR302" s="11"/>
      <c r="AS302" s="11"/>
      <c r="AT302" s="6"/>
      <c r="AU302" s="6"/>
      <c r="AV302" s="6"/>
      <c r="AW302" s="6"/>
      <c r="AX302" s="6"/>
      <c r="AY302" s="6"/>
      <c r="AZ302" s="6"/>
      <c r="BA302" s="6"/>
      <c r="BB302" s="11"/>
      <c r="BC302" s="11"/>
      <c r="BD302" s="11"/>
      <c r="BE302" s="6"/>
      <c r="BF302" s="6"/>
      <c r="BG302" s="6"/>
      <c r="BH302" s="10"/>
      <c r="BI302" s="10"/>
      <c r="BJ302" s="10"/>
      <c r="BK302" s="10"/>
      <c r="BL302" s="7"/>
      <c r="BM302" s="7"/>
      <c r="BN302" s="7"/>
    </row>
  </sheetData>
  <mergeCells count="166">
    <mergeCell ref="AR139:AR141"/>
    <mergeCell ref="AR206:AR208"/>
    <mergeCell ref="AS206:AS208"/>
    <mergeCell ref="AR241:AR242"/>
    <mergeCell ref="AS246:AS247"/>
    <mergeCell ref="A133:A137"/>
    <mergeCell ref="B133:B137"/>
    <mergeCell ref="C133:C137"/>
    <mergeCell ref="A138:A142"/>
    <mergeCell ref="B138:B142"/>
    <mergeCell ref="C138:C142"/>
    <mergeCell ref="A143:C147"/>
    <mergeCell ref="A149:A153"/>
    <mergeCell ref="B149:B153"/>
    <mergeCell ref="C149:C153"/>
    <mergeCell ref="A154:A158"/>
    <mergeCell ref="B154:B158"/>
    <mergeCell ref="C154:C158"/>
    <mergeCell ref="A159:A163"/>
    <mergeCell ref="B159:B163"/>
    <mergeCell ref="C159:C163"/>
    <mergeCell ref="A200:A204"/>
    <mergeCell ref="B200:B204"/>
    <mergeCell ref="C200:C204"/>
    <mergeCell ref="AS241:AS242"/>
    <mergeCell ref="A244:A248"/>
    <mergeCell ref="B244:B248"/>
    <mergeCell ref="C244:C248"/>
    <mergeCell ref="C164:C168"/>
    <mergeCell ref="A169:A173"/>
    <mergeCell ref="B169:B173"/>
    <mergeCell ref="C169:C173"/>
    <mergeCell ref="A174:A178"/>
    <mergeCell ref="B174:B178"/>
    <mergeCell ref="C174:C178"/>
    <mergeCell ref="A179:C183"/>
    <mergeCell ref="A185:A189"/>
    <mergeCell ref="B185:B189"/>
    <mergeCell ref="C185:C189"/>
    <mergeCell ref="A164:A168"/>
    <mergeCell ref="B164:B168"/>
    <mergeCell ref="A190:A194"/>
    <mergeCell ref="B190:B194"/>
    <mergeCell ref="C190:C194"/>
    <mergeCell ref="A195:A199"/>
    <mergeCell ref="B195:B199"/>
    <mergeCell ref="C195:C199"/>
    <mergeCell ref="A205:A209"/>
    <mergeCell ref="A1:AS1"/>
    <mergeCell ref="A3:AS3"/>
    <mergeCell ref="A5:A7"/>
    <mergeCell ref="B5:B7"/>
    <mergeCell ref="C5:C7"/>
    <mergeCell ref="D5:D7"/>
    <mergeCell ref="E5:G6"/>
    <mergeCell ref="H5:AQ5"/>
    <mergeCell ref="AR5:AR7"/>
    <mergeCell ref="AS5:AS7"/>
    <mergeCell ref="Z6:AB6"/>
    <mergeCell ref="AC6:AE6"/>
    <mergeCell ref="AF6:AH6"/>
    <mergeCell ref="AI6:AK6"/>
    <mergeCell ref="AL6:AN6"/>
    <mergeCell ref="AO6:AQ6"/>
    <mergeCell ref="H6:J6"/>
    <mergeCell ref="K6:M6"/>
    <mergeCell ref="N6:P6"/>
    <mergeCell ref="Q6:S6"/>
    <mergeCell ref="T6:V6"/>
    <mergeCell ref="W6:Y6"/>
    <mergeCell ref="A19:A23"/>
    <mergeCell ref="B19:B23"/>
    <mergeCell ref="C19:C23"/>
    <mergeCell ref="A24:A28"/>
    <mergeCell ref="B24:B28"/>
    <mergeCell ref="C24:C28"/>
    <mergeCell ref="A9:A13"/>
    <mergeCell ref="B9:B13"/>
    <mergeCell ref="C9:C13"/>
    <mergeCell ref="A14:A18"/>
    <mergeCell ref="B14:B18"/>
    <mergeCell ref="C14:C18"/>
    <mergeCell ref="A46:A50"/>
    <mergeCell ref="B46:B50"/>
    <mergeCell ref="C46:C50"/>
    <mergeCell ref="A61:A65"/>
    <mergeCell ref="B61:B65"/>
    <mergeCell ref="C61:C65"/>
    <mergeCell ref="A29:C33"/>
    <mergeCell ref="A35:A39"/>
    <mergeCell ref="B35:B39"/>
    <mergeCell ref="C35:C39"/>
    <mergeCell ref="A40:A45"/>
    <mergeCell ref="B40:B45"/>
    <mergeCell ref="A51:A55"/>
    <mergeCell ref="B51:B55"/>
    <mergeCell ref="C51:C55"/>
    <mergeCell ref="A56:A60"/>
    <mergeCell ref="B56:B60"/>
    <mergeCell ref="C56:C60"/>
    <mergeCell ref="C40:C45"/>
    <mergeCell ref="A66:A70"/>
    <mergeCell ref="B66:B70"/>
    <mergeCell ref="C66:C70"/>
    <mergeCell ref="A71:A75"/>
    <mergeCell ref="B71:B75"/>
    <mergeCell ref="C71:C75"/>
    <mergeCell ref="A76:C81"/>
    <mergeCell ref="A83:A87"/>
    <mergeCell ref="B83:B87"/>
    <mergeCell ref="C83:C87"/>
    <mergeCell ref="A88:A92"/>
    <mergeCell ref="B88:B92"/>
    <mergeCell ref="C88:C92"/>
    <mergeCell ref="A93:A97"/>
    <mergeCell ref="B93:B97"/>
    <mergeCell ref="C93:C97"/>
    <mergeCell ref="A98:A102"/>
    <mergeCell ref="B98:B102"/>
    <mergeCell ref="C98:C102"/>
    <mergeCell ref="A103:A107"/>
    <mergeCell ref="B103:B107"/>
    <mergeCell ref="C103:C107"/>
    <mergeCell ref="A108:A112"/>
    <mergeCell ref="B108:B112"/>
    <mergeCell ref="C108:C112"/>
    <mergeCell ref="A113:A117"/>
    <mergeCell ref="B113:B117"/>
    <mergeCell ref="C113:C117"/>
    <mergeCell ref="A118:A122"/>
    <mergeCell ref="B118:B122"/>
    <mergeCell ref="C118:C122"/>
    <mergeCell ref="A123:A127"/>
    <mergeCell ref="B123:B127"/>
    <mergeCell ref="C123:C127"/>
    <mergeCell ref="A128:A132"/>
    <mergeCell ref="B128:B132"/>
    <mergeCell ref="C128:C132"/>
    <mergeCell ref="B205:B209"/>
    <mergeCell ref="C205:C209"/>
    <mergeCell ref="A210:C214"/>
    <mergeCell ref="A216:A220"/>
    <mergeCell ref="B216:B220"/>
    <mergeCell ref="C216:C220"/>
    <mergeCell ref="A221:A225"/>
    <mergeCell ref="B221:B225"/>
    <mergeCell ref="C221:C225"/>
    <mergeCell ref="A226:A231"/>
    <mergeCell ref="B226:B231"/>
    <mergeCell ref="C226:C231"/>
    <mergeCell ref="A232:C237"/>
    <mergeCell ref="A239:A243"/>
    <mergeCell ref="B239:B243"/>
    <mergeCell ref="C239:C243"/>
    <mergeCell ref="A284:C289"/>
    <mergeCell ref="A290:C294"/>
    <mergeCell ref="A302:K302"/>
    <mergeCell ref="A249:A253"/>
    <mergeCell ref="B249:B253"/>
    <mergeCell ref="C249:C253"/>
    <mergeCell ref="A254:C258"/>
    <mergeCell ref="A259:C264"/>
    <mergeCell ref="A265:C270"/>
    <mergeCell ref="A271:C276"/>
    <mergeCell ref="A277:C277"/>
    <mergeCell ref="A278:C283"/>
  </mergeCells>
  <pageMargins left="0.70866141732283472" right="0.70866141732283472" top="0.74803149606299213" bottom="0.74803149606299213" header="0.31496062992125984" footer="0.31496062992125984"/>
  <pageSetup paperSize="9" scale="29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мес</vt:lpstr>
      <vt:lpstr>'9 мес'!Область_печати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Невская Светлана Евгеньевна</dc:creator>
  <cp:lastModifiedBy>LENOVO</cp:lastModifiedBy>
  <cp:lastPrinted>2020-10-08T05:39:30Z</cp:lastPrinted>
  <dcterms:created xsi:type="dcterms:W3CDTF">2006-09-28T05:33:00Z</dcterms:created>
  <dcterms:modified xsi:type="dcterms:W3CDTF">2020-10-15T06:44:36Z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</Properties>
</file>